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hidePivotFieldList="1" defaultThemeVersion="166925"/>
  <xr:revisionPtr revIDLastSave="0" documentId="13_ncr:1_{F63754DA-D722-4E3E-907F-5891ABE2B59C}" xr6:coauthVersionLast="47" xr6:coauthVersionMax="47" xr10:uidLastSave="{00000000-0000-0000-0000-000000000000}"/>
  <bookViews>
    <workbookView xWindow="1710" yWindow="-120" windowWidth="27210" windowHeight="16440" tabRatio="868" xr2:uid="{CBAE23CD-0A71-4156-AA8D-CFD0827531C7}"/>
  </bookViews>
  <sheets>
    <sheet name="Cover page" sheetId="66" r:id="rId1"/>
    <sheet name="Title" sheetId="63" r:id="rId2"/>
    <sheet name="Dashboard" sheetId="13" r:id="rId3"/>
    <sheet name="WorkedExample" sheetId="65" r:id="rId4"/>
    <sheet name="PresetInputs" sheetId="22" r:id="rId5"/>
    <sheet name="pMenus" sheetId="16" r:id="rId6"/>
    <sheet name="pLanekmVKT" sheetId="15" r:id="rId7"/>
    <sheet name="pONF" sheetId="25" r:id="rId8"/>
    <sheet name="Calculations" sheetId="17" r:id="rId9"/>
    <sheet name="cLanekmElasticity" sheetId="14" r:id="rId10"/>
    <sheet name="cGC" sheetId="5" r:id="rId11"/>
    <sheet name="cConvergenceC1" sheetId="8" r:id="rId12"/>
    <sheet name="cConvergenceC2" sheetId="39" r:id="rId13"/>
    <sheet name="cVolDelay" sheetId="2" r:id="rId14"/>
    <sheet name="Assumptions" sheetId="18" r:id="rId15"/>
    <sheet name="aLanekmElas" sheetId="23" r:id="rId16"/>
    <sheet name="aMBCMtables" sheetId="6" r:id="rId17"/>
    <sheet name="aCASTCI" sheetId="7" r:id="rId18"/>
    <sheet name="Notes" sheetId="40" r:id="rId19"/>
    <sheet name="nGlossary" sheetId="59" r:id="rId20"/>
    <sheet name="nMethods" sheetId="41" r:id="rId21"/>
    <sheet name="nMethod1" sheetId="42" r:id="rId22"/>
    <sheet name="nMethod2" sheetId="43" r:id="rId23"/>
    <sheet name="nMethod3" sheetId="44" r:id="rId24"/>
    <sheet name="nRegion" sheetId="45" r:id="rId25"/>
    <sheet name="nAdmin" sheetId="46" r:id="rId26"/>
    <sheet name="nONF" sheetId="47" r:id="rId27"/>
    <sheet name="nGTC" sheetId="48" r:id="rId28"/>
    <sheet name="nLanes" sheetId="49" r:id="rId29"/>
    <sheet name="nWithincity" sheetId="50" r:id="rId30"/>
    <sheet name="nDistance" sheetId="52" r:id="rId31"/>
    <sheet name="nTolls" sheetId="53" r:id="rId32"/>
    <sheet name="nPT" sheetId="54" r:id="rId33"/>
    <sheet name="nLanduse" sheetId="55" r:id="rId34"/>
    <sheet name="nShort" sheetId="56" r:id="rId35"/>
    <sheet name="nOverride" sheetId="57" r:id="rId36"/>
    <sheet name="nDiverted" sheetId="58" r:id="rId37"/>
  </sheets>
  <definedNames>
    <definedName name="_xlnm._FilterDatabase" localSheetId="26" hidden="1">nONF!$B$30:$B$40</definedName>
    <definedName name="_xlnm._FilterDatabase" localSheetId="6" hidden="1">pLanekmVKT!$B$15:$BP$390</definedName>
    <definedName name="_xlnm.Print_Area" localSheetId="2">Dashboard!$B$5:$G$104</definedName>
    <definedName name="_xlnm.Print_Area" localSheetId="3">WorkedExample!$B$5:$M$103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 i="23" l="1"/>
  <c r="B29" i="23"/>
  <c r="B28" i="23"/>
  <c r="B27" i="23"/>
  <c r="B26" i="23"/>
  <c r="B25" i="23"/>
  <c r="B24" i="23"/>
  <c r="B23" i="23"/>
  <c r="B22" i="23"/>
  <c r="B21" i="23"/>
  <c r="B20" i="23"/>
  <c r="B19" i="23"/>
  <c r="B18" i="23"/>
  <c r="B17" i="23"/>
  <c r="B46" i="23"/>
  <c r="B45" i="23"/>
  <c r="B44" i="23"/>
  <c r="B43" i="23"/>
  <c r="B42" i="23"/>
  <c r="B41" i="23"/>
  <c r="B40" i="23"/>
  <c r="B39" i="23"/>
  <c r="B38" i="23"/>
  <c r="B37" i="23"/>
  <c r="B36" i="23"/>
  <c r="B35" i="23"/>
  <c r="B34" i="23"/>
  <c r="B33" i="23"/>
  <c r="L45" i="13"/>
  <c r="J41" i="13"/>
  <c r="E22" i="5" l="1"/>
  <c r="C43" i="13"/>
  <c r="L46" i="65" l="1"/>
  <c r="C49" i="13"/>
  <c r="C44" i="13"/>
  <c r="C40" i="13"/>
  <c r="F44" i="13" l="1"/>
  <c r="F45" i="13" l="1"/>
  <c r="E23" i="5"/>
  <c r="J42" i="13" l="1"/>
  <c r="E29" i="5"/>
  <c r="C8" i="48"/>
  <c r="D8" i="43"/>
  <c r="D7" i="43"/>
  <c r="C8" i="14"/>
  <c r="C7" i="14"/>
  <c r="C7" i="42"/>
  <c r="C9" i="41"/>
  <c r="C8" i="41"/>
  <c r="C7" i="41"/>
  <c r="C6" i="14"/>
  <c r="D6" i="5"/>
  <c r="D11" i="5"/>
  <c r="D10" i="5"/>
  <c r="D9" i="5"/>
  <c r="D8" i="5"/>
  <c r="D7" i="5"/>
  <c r="BQ197" i="15"/>
  <c r="BQ196" i="15"/>
  <c r="BQ195" i="15"/>
  <c r="BQ194" i="15"/>
  <c r="BQ193" i="15"/>
  <c r="BQ192" i="15"/>
  <c r="BQ191" i="15"/>
  <c r="BQ190" i="15"/>
  <c r="BQ189" i="15"/>
  <c r="BQ188" i="15"/>
  <c r="BQ187" i="15"/>
  <c r="BQ186" i="15"/>
  <c r="BQ185" i="15"/>
  <c r="BQ184" i="15"/>
  <c r="BQ183" i="15"/>
  <c r="BQ182" i="15"/>
  <c r="BQ181" i="15"/>
  <c r="BQ180" i="15"/>
  <c r="BQ179" i="15"/>
  <c r="BQ178" i="15"/>
  <c r="BQ177" i="15"/>
  <c r="BQ176" i="15"/>
  <c r="BQ175" i="15"/>
  <c r="BQ174" i="15"/>
  <c r="BQ173" i="15"/>
  <c r="BQ172" i="15"/>
  <c r="BQ171" i="15"/>
  <c r="BQ170" i="15"/>
  <c r="BQ169" i="15"/>
  <c r="BQ168" i="15"/>
  <c r="BQ167" i="15"/>
  <c r="BQ166" i="15"/>
  <c r="BQ165" i="15"/>
  <c r="BQ164" i="15"/>
  <c r="BQ163" i="15"/>
  <c r="BQ162" i="15"/>
  <c r="BQ161" i="15"/>
  <c r="BQ160" i="15"/>
  <c r="BQ159" i="15"/>
  <c r="BQ158" i="15"/>
  <c r="BQ157" i="15"/>
  <c r="BQ156" i="15"/>
  <c r="BQ155" i="15"/>
  <c r="BQ154" i="15"/>
  <c r="BQ153" i="15"/>
  <c r="BQ152" i="15"/>
  <c r="BQ151" i="15"/>
  <c r="BQ150" i="15"/>
  <c r="BQ149" i="15"/>
  <c r="BQ148" i="15"/>
  <c r="BQ147" i="15"/>
  <c r="BQ146" i="15"/>
  <c r="BQ145" i="15"/>
  <c r="BQ144" i="15"/>
  <c r="BQ143" i="15"/>
  <c r="BQ142" i="15"/>
  <c r="BQ141" i="15"/>
  <c r="BQ140" i="15"/>
  <c r="BQ139" i="15"/>
  <c r="BQ138" i="15"/>
  <c r="BQ137" i="15"/>
  <c r="BQ136" i="15"/>
  <c r="BQ135" i="15"/>
  <c r="BQ134" i="15"/>
  <c r="BQ133" i="15"/>
  <c r="BQ132" i="15"/>
  <c r="BQ131" i="15"/>
  <c r="BQ130" i="15"/>
  <c r="BQ129" i="15"/>
  <c r="BQ128" i="15"/>
  <c r="BQ127" i="15"/>
  <c r="BQ126" i="15"/>
  <c r="BQ125" i="15"/>
  <c r="BQ124" i="15"/>
  <c r="BQ123" i="15"/>
  <c r="BQ122" i="15"/>
  <c r="BQ121" i="15"/>
  <c r="BQ120" i="15"/>
  <c r="BQ119" i="15"/>
  <c r="BQ118" i="15"/>
  <c r="BQ117" i="15"/>
  <c r="BQ116" i="15"/>
  <c r="BQ115" i="15"/>
  <c r="BQ114" i="15"/>
  <c r="BQ113" i="15"/>
  <c r="BQ112" i="15"/>
  <c r="BQ111" i="15"/>
  <c r="BQ110" i="15"/>
  <c r="BQ109" i="15"/>
  <c r="BQ108" i="15"/>
  <c r="BQ107" i="15"/>
  <c r="BQ106" i="15"/>
  <c r="BQ105" i="15"/>
  <c r="BQ104" i="15"/>
  <c r="BQ103" i="15"/>
  <c r="BQ102" i="15"/>
  <c r="BQ101" i="15"/>
  <c r="BQ100" i="15"/>
  <c r="BQ99" i="15"/>
  <c r="BQ98" i="15"/>
  <c r="BQ97" i="15"/>
  <c r="BQ96" i="15"/>
  <c r="BQ95" i="15"/>
  <c r="BQ94" i="15"/>
  <c r="BQ93" i="15"/>
  <c r="BQ92" i="15"/>
  <c r="BQ91" i="15"/>
  <c r="BQ90" i="15"/>
  <c r="BQ89" i="15"/>
  <c r="BQ88" i="15"/>
  <c r="BQ87" i="15"/>
  <c r="BQ86" i="15"/>
  <c r="BQ85" i="15"/>
  <c r="BQ84" i="15"/>
  <c r="BQ83" i="15"/>
  <c r="BQ82" i="15"/>
  <c r="BQ81" i="15"/>
  <c r="BQ80" i="15"/>
  <c r="BQ79" i="15"/>
  <c r="BQ78" i="15"/>
  <c r="BQ77" i="15"/>
  <c r="BQ76" i="15"/>
  <c r="BQ75" i="15"/>
  <c r="BQ74" i="15"/>
  <c r="BQ73" i="15"/>
  <c r="BQ72" i="15"/>
  <c r="BQ71" i="15"/>
  <c r="BQ70" i="15"/>
  <c r="BQ69" i="15"/>
  <c r="BQ68" i="15"/>
  <c r="BQ67" i="15"/>
  <c r="BQ66" i="15"/>
  <c r="BQ65" i="15"/>
  <c r="BQ64" i="15"/>
  <c r="BQ63" i="15"/>
  <c r="BQ62" i="15"/>
  <c r="BQ61" i="15"/>
  <c r="BQ60" i="15"/>
  <c r="BQ59" i="15"/>
  <c r="BQ58" i="15"/>
  <c r="BQ57" i="15"/>
  <c r="BQ56" i="15"/>
  <c r="BQ55" i="15"/>
  <c r="BQ54" i="15"/>
  <c r="BQ53" i="15"/>
  <c r="BQ52" i="15"/>
  <c r="BQ51" i="15"/>
  <c r="BQ50" i="15"/>
  <c r="BQ49" i="15"/>
  <c r="BQ48" i="15"/>
  <c r="BQ47" i="15"/>
  <c r="BQ46" i="15"/>
  <c r="BQ45" i="15"/>
  <c r="BQ44" i="15"/>
  <c r="BQ43" i="15"/>
  <c r="BQ42" i="15"/>
  <c r="BQ41" i="15"/>
  <c r="BQ40" i="15"/>
  <c r="BQ39" i="15"/>
  <c r="BQ38" i="15"/>
  <c r="BQ37" i="15"/>
  <c r="BQ36" i="15"/>
  <c r="BQ35" i="15"/>
  <c r="BQ34" i="15"/>
  <c r="BQ33" i="15"/>
  <c r="BQ32" i="15"/>
  <c r="BQ31" i="15"/>
  <c r="BQ30" i="15"/>
  <c r="BQ29" i="15"/>
  <c r="BQ28" i="15"/>
  <c r="BQ27" i="15"/>
  <c r="BQ26" i="15"/>
  <c r="BQ25" i="15"/>
  <c r="BQ24" i="15"/>
  <c r="BQ23" i="15"/>
  <c r="BQ22" i="15"/>
  <c r="BQ21" i="15"/>
  <c r="BQ20" i="15"/>
  <c r="BQ19" i="15"/>
  <c r="BQ18" i="15"/>
  <c r="BQ17" i="15"/>
  <c r="BQ16" i="15"/>
  <c r="BB197" i="15"/>
  <c r="BB196" i="15"/>
  <c r="BB195" i="15"/>
  <c r="BB194" i="15"/>
  <c r="BB193" i="15"/>
  <c r="BB192" i="15"/>
  <c r="BB191" i="15"/>
  <c r="BB190" i="15"/>
  <c r="BB189" i="15"/>
  <c r="BB188" i="15"/>
  <c r="BB187" i="15"/>
  <c r="BB186" i="15"/>
  <c r="BB185" i="15"/>
  <c r="BB184" i="15"/>
  <c r="BB183" i="15"/>
  <c r="BB182" i="15"/>
  <c r="BB181" i="15"/>
  <c r="BB180" i="15"/>
  <c r="BB179" i="15"/>
  <c r="BB178" i="15"/>
  <c r="BB177" i="15"/>
  <c r="BB176" i="15"/>
  <c r="BB175" i="15"/>
  <c r="BB174" i="15"/>
  <c r="BB173" i="15"/>
  <c r="BB172" i="15"/>
  <c r="BB171" i="15"/>
  <c r="BB170" i="15"/>
  <c r="BB169" i="15"/>
  <c r="BB168" i="15"/>
  <c r="BB167" i="15"/>
  <c r="BB166" i="15"/>
  <c r="BB165" i="15"/>
  <c r="BB164" i="15"/>
  <c r="BB163" i="15"/>
  <c r="BB162" i="15"/>
  <c r="BB161" i="15"/>
  <c r="BB160" i="15"/>
  <c r="BB159" i="15"/>
  <c r="BB158" i="15"/>
  <c r="BB157" i="15"/>
  <c r="BB156" i="15"/>
  <c r="BB155" i="15"/>
  <c r="BB154" i="15"/>
  <c r="BB153" i="15"/>
  <c r="BB152" i="15"/>
  <c r="BB151" i="15"/>
  <c r="BB150" i="15"/>
  <c r="BB149" i="15"/>
  <c r="BB148" i="15"/>
  <c r="BB147" i="15"/>
  <c r="BB146" i="15"/>
  <c r="BB145" i="15"/>
  <c r="BB144" i="15"/>
  <c r="BB143" i="15"/>
  <c r="BB142" i="15"/>
  <c r="BB141" i="15"/>
  <c r="BB140" i="15"/>
  <c r="BB139" i="15"/>
  <c r="BB138" i="15"/>
  <c r="BB137" i="15"/>
  <c r="BB136" i="15"/>
  <c r="BB135" i="15"/>
  <c r="BB134" i="15"/>
  <c r="BB133" i="15"/>
  <c r="BB132" i="15"/>
  <c r="BB131" i="15"/>
  <c r="BB130" i="15"/>
  <c r="BB129" i="15"/>
  <c r="BB128" i="15"/>
  <c r="BB127" i="15"/>
  <c r="BB126" i="15"/>
  <c r="BB125" i="15"/>
  <c r="BB124" i="15"/>
  <c r="BB123" i="15"/>
  <c r="BB122" i="15"/>
  <c r="BB121" i="15"/>
  <c r="BB120" i="15"/>
  <c r="BB119" i="15"/>
  <c r="BB118" i="15"/>
  <c r="BB117" i="15"/>
  <c r="BB116" i="15"/>
  <c r="BB115" i="15"/>
  <c r="BB114" i="15"/>
  <c r="BB113" i="15"/>
  <c r="BB112" i="15"/>
  <c r="BB111" i="15"/>
  <c r="BB110" i="15"/>
  <c r="BB109" i="15"/>
  <c r="BB108" i="15"/>
  <c r="BB107" i="15"/>
  <c r="BB106" i="15"/>
  <c r="BB105" i="15"/>
  <c r="BB104" i="15"/>
  <c r="BB103" i="15"/>
  <c r="BB102" i="15"/>
  <c r="BB101" i="15"/>
  <c r="BB100" i="15"/>
  <c r="BB99" i="15"/>
  <c r="BB98" i="15"/>
  <c r="BB97" i="15"/>
  <c r="BB96" i="15"/>
  <c r="BB95" i="15"/>
  <c r="BB94" i="15"/>
  <c r="BB93" i="15"/>
  <c r="BB92" i="15"/>
  <c r="BB91" i="15"/>
  <c r="BB90" i="15"/>
  <c r="BB89" i="15"/>
  <c r="BB88" i="15"/>
  <c r="BB87" i="15"/>
  <c r="BB86" i="15"/>
  <c r="BB85" i="15"/>
  <c r="BB84" i="15"/>
  <c r="BB83" i="15"/>
  <c r="BB82" i="15"/>
  <c r="BB81" i="15"/>
  <c r="BB80" i="15"/>
  <c r="BB79" i="15"/>
  <c r="BB78" i="15"/>
  <c r="BB77" i="15"/>
  <c r="BB76" i="15"/>
  <c r="BB75" i="15"/>
  <c r="BB74" i="15"/>
  <c r="BB73" i="15"/>
  <c r="BB72" i="15"/>
  <c r="BB71" i="15"/>
  <c r="BB70" i="15"/>
  <c r="BB69" i="15"/>
  <c r="BB68" i="15"/>
  <c r="BB67" i="15"/>
  <c r="BB66" i="15"/>
  <c r="BB65" i="15"/>
  <c r="BB64" i="15"/>
  <c r="BB63" i="15"/>
  <c r="BB62" i="15"/>
  <c r="BB61" i="15"/>
  <c r="BB60" i="15"/>
  <c r="BB59" i="15"/>
  <c r="BB58" i="15"/>
  <c r="BB57" i="15"/>
  <c r="BB56" i="15"/>
  <c r="BB55" i="15"/>
  <c r="BB54" i="15"/>
  <c r="BB53" i="15"/>
  <c r="BB52" i="15"/>
  <c r="BB51" i="15"/>
  <c r="BB50" i="15"/>
  <c r="BB49" i="15"/>
  <c r="BB48" i="15"/>
  <c r="BB47" i="15"/>
  <c r="BB46" i="15"/>
  <c r="BB45" i="15"/>
  <c r="BB44" i="15"/>
  <c r="BB43" i="15"/>
  <c r="BB42" i="15"/>
  <c r="BB41" i="15"/>
  <c r="BB40" i="15"/>
  <c r="BB39" i="15"/>
  <c r="BB38" i="15"/>
  <c r="BB37" i="15"/>
  <c r="BB36" i="15"/>
  <c r="BB35" i="15"/>
  <c r="BB34" i="15"/>
  <c r="BB33" i="15"/>
  <c r="BB32" i="15"/>
  <c r="BB31" i="15"/>
  <c r="BB30" i="15"/>
  <c r="BB29" i="15"/>
  <c r="BB28" i="15"/>
  <c r="BB27" i="15"/>
  <c r="BB26" i="15"/>
  <c r="BB25" i="15"/>
  <c r="BB24" i="15"/>
  <c r="BB23" i="15"/>
  <c r="BB22" i="15"/>
  <c r="BB21" i="15"/>
  <c r="BB20" i="15"/>
  <c r="BB19" i="15"/>
  <c r="BB18" i="15"/>
  <c r="BB17" i="15"/>
  <c r="BB16" i="15"/>
  <c r="F110" i="16"/>
  <c r="F109" i="16"/>
  <c r="F108" i="16"/>
  <c r="C39" i="13"/>
  <c r="L37" i="13"/>
  <c r="H14" i="13"/>
  <c r="E6" i="2"/>
  <c r="E7" i="2" s="1"/>
  <c r="K41" i="13"/>
  <c r="G138" i="7" l="1"/>
  <c r="E138" i="7"/>
  <c r="M138" i="7"/>
  <c r="G137" i="7"/>
  <c r="E137" i="7"/>
  <c r="B137" i="7"/>
  <c r="G136" i="7"/>
  <c r="E136" i="7"/>
  <c r="M136" i="7"/>
  <c r="G135" i="7"/>
  <c r="M135" i="7"/>
  <c r="G134" i="7"/>
  <c r="E134" i="7"/>
  <c r="M134" i="7"/>
  <c r="G133" i="7"/>
  <c r="E133" i="7"/>
  <c r="M133" i="7"/>
  <c r="G132" i="7"/>
  <c r="E132" i="7"/>
  <c r="M132" i="7"/>
  <c r="G131" i="7"/>
  <c r="E131" i="7"/>
  <c r="B131" i="7"/>
  <c r="G130" i="7"/>
  <c r="E130" i="7"/>
  <c r="M130" i="7"/>
  <c r="B132" i="7" l="1"/>
  <c r="B136" i="7"/>
  <c r="B133" i="7"/>
  <c r="B130" i="7"/>
  <c r="M137" i="7"/>
  <c r="B134" i="7"/>
  <c r="B138" i="7"/>
  <c r="M131" i="7"/>
  <c r="B135" i="7"/>
  <c r="E108" i="43"/>
  <c r="E107" i="43"/>
  <c r="E101" i="43"/>
  <c r="E99" i="43"/>
  <c r="E105" i="43"/>
  <c r="E92" i="43"/>
  <c r="E102" i="43" l="1"/>
  <c r="E106" i="43" s="1"/>
  <c r="E112" i="43" s="1"/>
  <c r="E113" i="43" s="1"/>
  <c r="E114" i="43" s="1"/>
  <c r="E32" i="2" l="1"/>
  <c r="D32" i="2"/>
  <c r="F35" i="6"/>
  <c r="M221" i="7"/>
  <c r="H221" i="7"/>
  <c r="G221" i="7"/>
  <c r="E221" i="7"/>
  <c r="B221" i="7" s="1"/>
  <c r="M220" i="7"/>
  <c r="H220" i="7"/>
  <c r="G220" i="7"/>
  <c r="E220" i="7"/>
  <c r="B220" i="7" s="1"/>
  <c r="M219" i="7"/>
  <c r="H219" i="7"/>
  <c r="G219" i="7"/>
  <c r="E219" i="7"/>
  <c r="B219" i="7" s="1"/>
  <c r="M218" i="7"/>
  <c r="H218" i="7"/>
  <c r="G218" i="7"/>
  <c r="E218" i="7"/>
  <c r="B218" i="7" s="1"/>
  <c r="M217" i="7"/>
  <c r="H217" i="7"/>
  <c r="G217" i="7"/>
  <c r="E217" i="7"/>
  <c r="B217" i="7" s="1"/>
  <c r="M216" i="7"/>
  <c r="H216" i="7"/>
  <c r="G216" i="7"/>
  <c r="E216" i="7"/>
  <c r="B216" i="7"/>
  <c r="M215" i="7"/>
  <c r="H215" i="7"/>
  <c r="G215" i="7"/>
  <c r="E215" i="7"/>
  <c r="B215" i="7" s="1"/>
  <c r="M214" i="7"/>
  <c r="H214" i="7"/>
  <c r="G214" i="7"/>
  <c r="E214" i="7"/>
  <c r="B214" i="7" s="1"/>
  <c r="M213" i="7"/>
  <c r="H213" i="7"/>
  <c r="G213" i="7"/>
  <c r="E213" i="7"/>
  <c r="B213" i="7" s="1"/>
  <c r="M212" i="7"/>
  <c r="H212" i="7"/>
  <c r="G212" i="7"/>
  <c r="E212" i="7"/>
  <c r="B212" i="7" s="1"/>
  <c r="M211" i="7"/>
  <c r="H211" i="7"/>
  <c r="G211" i="7"/>
  <c r="E211" i="7"/>
  <c r="B211" i="7" s="1"/>
  <c r="M210" i="7"/>
  <c r="H210" i="7"/>
  <c r="G210" i="7"/>
  <c r="E210" i="7"/>
  <c r="B210" i="7" s="1"/>
  <c r="M209" i="7"/>
  <c r="H209" i="7"/>
  <c r="G209" i="7"/>
  <c r="E209" i="7"/>
  <c r="B209" i="7" s="1"/>
  <c r="M208" i="7"/>
  <c r="H208" i="7"/>
  <c r="G208" i="7"/>
  <c r="E208" i="7"/>
  <c r="B208" i="7" s="1"/>
  <c r="M207" i="7"/>
  <c r="H207" i="7"/>
  <c r="G207" i="7"/>
  <c r="E207" i="7"/>
  <c r="B207" i="7" s="1"/>
  <c r="M206" i="7"/>
  <c r="H206" i="7"/>
  <c r="G206" i="7"/>
  <c r="E206" i="7"/>
  <c r="B206" i="7" s="1"/>
  <c r="M205" i="7"/>
  <c r="H205" i="7"/>
  <c r="G205" i="7"/>
  <c r="E205" i="7"/>
  <c r="B205" i="7" s="1"/>
  <c r="M204" i="7"/>
  <c r="H204" i="7"/>
  <c r="G204" i="7"/>
  <c r="E204" i="7"/>
  <c r="B204" i="7"/>
  <c r="M203" i="7"/>
  <c r="H203" i="7"/>
  <c r="G203" i="7"/>
  <c r="E203" i="7"/>
  <c r="B203" i="7"/>
  <c r="M202" i="7"/>
  <c r="H202" i="7"/>
  <c r="G202" i="7"/>
  <c r="E202" i="7"/>
  <c r="B202" i="7" s="1"/>
  <c r="M201" i="7"/>
  <c r="H201" i="7"/>
  <c r="G201" i="7"/>
  <c r="E201" i="7"/>
  <c r="B201" i="7" s="1"/>
  <c r="M200" i="7"/>
  <c r="H200" i="7"/>
  <c r="G200" i="7"/>
  <c r="E200" i="7"/>
  <c r="B200" i="7" s="1"/>
  <c r="M199" i="7"/>
  <c r="H199" i="7"/>
  <c r="G199" i="7"/>
  <c r="E199" i="7"/>
  <c r="B199" i="7" s="1"/>
  <c r="M198" i="7"/>
  <c r="H198" i="7"/>
  <c r="G198" i="7"/>
  <c r="E198" i="7"/>
  <c r="B198" i="7" s="1"/>
  <c r="M197" i="7"/>
  <c r="H197" i="7"/>
  <c r="G197" i="7"/>
  <c r="E197" i="7"/>
  <c r="B197" i="7" s="1"/>
  <c r="M196" i="7"/>
  <c r="H196" i="7"/>
  <c r="G196" i="7"/>
  <c r="E196" i="7"/>
  <c r="B196" i="7" s="1"/>
  <c r="M195" i="7"/>
  <c r="H195" i="7"/>
  <c r="G195" i="7"/>
  <c r="E195" i="7"/>
  <c r="B195" i="7" s="1"/>
  <c r="G194" i="7"/>
  <c r="E194" i="7"/>
  <c r="D194" i="7"/>
  <c r="M194" i="7" s="1"/>
  <c r="G193" i="7"/>
  <c r="E193" i="7"/>
  <c r="D193" i="7"/>
  <c r="B193" i="7" s="1"/>
  <c r="G192" i="7"/>
  <c r="E192" i="7"/>
  <c r="D192" i="7"/>
  <c r="M192" i="7" s="1"/>
  <c r="G191" i="7"/>
  <c r="E191" i="7"/>
  <c r="D191" i="7"/>
  <c r="G190" i="7"/>
  <c r="E190" i="7"/>
  <c r="D190" i="7"/>
  <c r="G189" i="7"/>
  <c r="E189" i="7"/>
  <c r="D189" i="7"/>
  <c r="B189" i="7" s="1"/>
  <c r="G188" i="7"/>
  <c r="E188" i="7"/>
  <c r="D188" i="7"/>
  <c r="G187" i="7"/>
  <c r="E187" i="7"/>
  <c r="D187" i="7"/>
  <c r="B187" i="7" s="1"/>
  <c r="G186" i="7"/>
  <c r="E186" i="7"/>
  <c r="D186" i="7"/>
  <c r="M186" i="7" s="1"/>
  <c r="H257" i="7"/>
  <c r="H256" i="7"/>
  <c r="H255" i="7"/>
  <c r="H254" i="7"/>
  <c r="H253" i="7"/>
  <c r="H252" i="7"/>
  <c r="H251" i="7"/>
  <c r="H250" i="7"/>
  <c r="H249" i="7"/>
  <c r="H248" i="7"/>
  <c r="H247" i="7"/>
  <c r="H246" i="7"/>
  <c r="H245" i="7"/>
  <c r="H244" i="7"/>
  <c r="H243" i="7"/>
  <c r="H242" i="7"/>
  <c r="H241" i="7"/>
  <c r="H240" i="7"/>
  <c r="M239" i="7"/>
  <c r="H239" i="7"/>
  <c r="G239" i="7"/>
  <c r="E239" i="7"/>
  <c r="B239" i="7" s="1"/>
  <c r="M238" i="7"/>
  <c r="H238" i="7"/>
  <c r="G238" i="7"/>
  <c r="E238" i="7"/>
  <c r="B238" i="7" s="1"/>
  <c r="M237" i="7"/>
  <c r="H237" i="7"/>
  <c r="G237" i="7"/>
  <c r="E237" i="7"/>
  <c r="B237" i="7"/>
  <c r="M236" i="7"/>
  <c r="H236" i="7"/>
  <c r="G236" i="7"/>
  <c r="E236" i="7"/>
  <c r="B236" i="7"/>
  <c r="M235" i="7"/>
  <c r="H235" i="7"/>
  <c r="G235" i="7"/>
  <c r="E235" i="7"/>
  <c r="B235" i="7" s="1"/>
  <c r="M234" i="7"/>
  <c r="H234" i="7"/>
  <c r="G234" i="7"/>
  <c r="E234" i="7"/>
  <c r="B234" i="7" s="1"/>
  <c r="M233" i="7"/>
  <c r="H233" i="7"/>
  <c r="G233" i="7"/>
  <c r="E233" i="7"/>
  <c r="B233" i="7" s="1"/>
  <c r="M232" i="7"/>
  <c r="H232" i="7"/>
  <c r="G232" i="7"/>
  <c r="E232" i="7"/>
  <c r="B232" i="7" s="1"/>
  <c r="M231" i="7"/>
  <c r="H231" i="7"/>
  <c r="G231" i="7"/>
  <c r="E231" i="7"/>
  <c r="B231" i="7" s="1"/>
  <c r="G230" i="7"/>
  <c r="E230" i="7"/>
  <c r="D230" i="7"/>
  <c r="G229" i="7"/>
  <c r="E229" i="7"/>
  <c r="D229" i="7"/>
  <c r="G228" i="7"/>
  <c r="E228" i="7"/>
  <c r="D228" i="7"/>
  <c r="M228" i="7" s="1"/>
  <c r="G227" i="7"/>
  <c r="E227" i="7"/>
  <c r="D227" i="7"/>
  <c r="M227" i="7" s="1"/>
  <c r="G226" i="7"/>
  <c r="E226" i="7"/>
  <c r="D226" i="7"/>
  <c r="M226" i="7" s="1"/>
  <c r="G225" i="7"/>
  <c r="E225" i="7"/>
  <c r="D225" i="7"/>
  <c r="M225" i="7" s="1"/>
  <c r="G224" i="7"/>
  <c r="E224" i="7"/>
  <c r="D224" i="7"/>
  <c r="B224" i="7" s="1"/>
  <c r="G223" i="7"/>
  <c r="E223" i="7"/>
  <c r="D223" i="7"/>
  <c r="M223" i="7" s="1"/>
  <c r="G222" i="7"/>
  <c r="E222" i="7"/>
  <c r="D222" i="7"/>
  <c r="M222" i="7" s="1"/>
  <c r="M257" i="7"/>
  <c r="G257" i="7"/>
  <c r="E257" i="7"/>
  <c r="B257" i="7" s="1"/>
  <c r="G256" i="7"/>
  <c r="E256" i="7"/>
  <c r="M256" i="7"/>
  <c r="G255" i="7"/>
  <c r="E255" i="7"/>
  <c r="M255" i="7"/>
  <c r="M254" i="7"/>
  <c r="G254" i="7"/>
  <c r="E254" i="7"/>
  <c r="B254" i="7" s="1"/>
  <c r="G253" i="7"/>
  <c r="E253" i="7"/>
  <c r="M253" i="7"/>
  <c r="G252" i="7"/>
  <c r="E252" i="7"/>
  <c r="M252" i="7"/>
  <c r="G251" i="7"/>
  <c r="E251" i="7"/>
  <c r="B251" i="7" s="1"/>
  <c r="G250" i="7"/>
  <c r="E250" i="7"/>
  <c r="B250" i="7" s="1"/>
  <c r="G249" i="7"/>
  <c r="E249" i="7"/>
  <c r="M249" i="7"/>
  <c r="H185" i="7"/>
  <c r="H184" i="7"/>
  <c r="H183" i="7"/>
  <c r="H182" i="7"/>
  <c r="H181" i="7"/>
  <c r="H180" i="7"/>
  <c r="H179" i="7"/>
  <c r="H178" i="7"/>
  <c r="H177" i="7"/>
  <c r="G185" i="7"/>
  <c r="E185" i="7"/>
  <c r="M185" i="7"/>
  <c r="G184" i="7"/>
  <c r="E184" i="7"/>
  <c r="M184" i="7"/>
  <c r="G183" i="7"/>
  <c r="E183" i="7"/>
  <c r="B183" i="7" s="1"/>
  <c r="M183" i="7"/>
  <c r="M182" i="7"/>
  <c r="G182" i="7"/>
  <c r="B182" i="7"/>
  <c r="G181" i="7"/>
  <c r="E181" i="7"/>
  <c r="M181" i="7"/>
  <c r="G180" i="7"/>
  <c r="E180" i="7"/>
  <c r="M180" i="7"/>
  <c r="G179" i="7"/>
  <c r="E179" i="7"/>
  <c r="M179" i="7"/>
  <c r="G178" i="7"/>
  <c r="E178" i="7"/>
  <c r="B178" i="7" s="1"/>
  <c r="M178" i="7"/>
  <c r="G177" i="7"/>
  <c r="E177" i="7"/>
  <c r="M177" i="7"/>
  <c r="H144" i="7"/>
  <c r="H143" i="7"/>
  <c r="G144" i="7"/>
  <c r="B144" i="7"/>
  <c r="G143" i="7"/>
  <c r="E143" i="7"/>
  <c r="M143" i="7"/>
  <c r="H45" i="7"/>
  <c r="H44" i="7"/>
  <c r="H43" i="7"/>
  <c r="H42" i="7"/>
  <c r="H41" i="7"/>
  <c r="G45" i="7"/>
  <c r="E45" i="7"/>
  <c r="M45" i="7"/>
  <c r="G44" i="7"/>
  <c r="E44" i="7"/>
  <c r="M44" i="7"/>
  <c r="G43" i="7"/>
  <c r="E43" i="7"/>
  <c r="B43" i="7" s="1"/>
  <c r="G42" i="7"/>
  <c r="E42" i="7"/>
  <c r="B42" i="7" s="1"/>
  <c r="G41" i="7"/>
  <c r="E41" i="7"/>
  <c r="B41" i="7" s="1"/>
  <c r="E38" i="5"/>
  <c r="O45" i="7"/>
  <c r="O44" i="7"/>
  <c r="O43" i="7"/>
  <c r="O42" i="7"/>
  <c r="O41" i="7"/>
  <c r="M187" i="7" l="1"/>
  <c r="B186" i="7"/>
  <c r="M189" i="7"/>
  <c r="B190" i="7"/>
  <c r="M190" i="7"/>
  <c r="M224" i="7"/>
  <c r="M193" i="7"/>
  <c r="B222" i="7"/>
  <c r="B188" i="7"/>
  <c r="B191" i="7"/>
  <c r="M191" i="7"/>
  <c r="B225" i="7"/>
  <c r="M188" i="7"/>
  <c r="B229" i="7"/>
  <c r="B194" i="7"/>
  <c r="B223" i="7"/>
  <c r="B192" i="7"/>
  <c r="M229" i="7"/>
  <c r="B230" i="7"/>
  <c r="B228" i="7"/>
  <c r="B226" i="7"/>
  <c r="M230" i="7"/>
  <c r="B227" i="7"/>
  <c r="B255" i="7"/>
  <c r="B253" i="7"/>
  <c r="B256" i="7"/>
  <c r="M250" i="7"/>
  <c r="B249" i="7"/>
  <c r="M251" i="7"/>
  <c r="B252" i="7"/>
  <c r="B181" i="7"/>
  <c r="B179" i="7"/>
  <c r="B184" i="7"/>
  <c r="B177" i="7"/>
  <c r="B180" i="7"/>
  <c r="B185" i="7"/>
  <c r="M144" i="7"/>
  <c r="B143" i="7"/>
  <c r="M42" i="7"/>
  <c r="M43" i="7"/>
  <c r="B44" i="7"/>
  <c r="M41" i="7"/>
  <c r="B45" i="7"/>
  <c r="G248" i="7"/>
  <c r="G247" i="7"/>
  <c r="G246" i="7"/>
  <c r="G245" i="7"/>
  <c r="G244" i="7"/>
  <c r="G243" i="7"/>
  <c r="G242" i="7"/>
  <c r="G241" i="7"/>
  <c r="G240"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2" i="7"/>
  <c r="G141" i="7"/>
  <c r="G140" i="7"/>
  <c r="G139"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J37" i="13" l="1"/>
  <c r="K37" i="13"/>
  <c r="E21" i="5" l="1"/>
  <c r="E30" i="5"/>
  <c r="E40" i="13"/>
  <c r="E38" i="13"/>
  <c r="O16" i="16"/>
  <c r="Q25" i="7" l="1"/>
  <c r="E36" i="5"/>
  <c r="E26" i="5"/>
  <c r="E52" i="8"/>
  <c r="E52" i="39"/>
  <c r="P25" i="7"/>
  <c r="BO27" i="15"/>
  <c r="E17" i="15"/>
  <c r="G67" i="6"/>
  <c r="G65" i="6"/>
  <c r="G66" i="6" s="1"/>
  <c r="AL12" i="15" l="1"/>
  <c r="AL11" i="15"/>
  <c r="AK11" i="15"/>
  <c r="AJ11" i="15"/>
  <c r="AI11" i="15"/>
  <c r="AG11" i="15"/>
  <c r="AD11" i="15"/>
  <c r="AA11" i="15"/>
  <c r="I30" i="13" l="1"/>
  <c r="D91" i="13"/>
  <c r="F91" i="13" s="1"/>
  <c r="D90" i="13"/>
  <c r="F90" i="13" s="1"/>
  <c r="D89" i="13"/>
  <c r="F89" i="13" s="1"/>
  <c r="G11" i="39"/>
  <c r="H11" i="39" s="1"/>
  <c r="I11" i="39" s="1"/>
  <c r="J11" i="39" s="1"/>
  <c r="K11" i="39" s="1"/>
  <c r="L11" i="39" s="1"/>
  <c r="M11" i="39" s="1"/>
  <c r="N11" i="39" s="1"/>
  <c r="O11" i="39" s="1"/>
  <c r="P11" i="39" s="1"/>
  <c r="Q11" i="39" s="1"/>
  <c r="R11" i="39" s="1"/>
  <c r="S11" i="39" s="1"/>
  <c r="T11" i="39" s="1"/>
  <c r="F11" i="39"/>
  <c r="F96" i="13"/>
  <c r="F93" i="13"/>
  <c r="F94" i="13"/>
  <c r="G19" i="58"/>
  <c r="G21" i="58" s="1"/>
  <c r="D19" i="58"/>
  <c r="D21" i="58" s="1"/>
  <c r="F17" i="58"/>
  <c r="F19" i="58" s="1"/>
  <c r="E17" i="58"/>
  <c r="E19" i="58" s="1"/>
  <c r="E73" i="14"/>
  <c r="C87" i="13"/>
  <c r="C86" i="13"/>
  <c r="C79" i="13"/>
  <c r="C78" i="13"/>
  <c r="C60" i="13"/>
  <c r="C59" i="13"/>
  <c r="C37" i="13"/>
  <c r="C13" i="13"/>
  <c r="C36" i="13"/>
  <c r="C12" i="13"/>
  <c r="D53" i="39"/>
  <c r="E25" i="5"/>
  <c r="D16" i="5"/>
  <c r="D12" i="2"/>
  <c r="P10" i="7" l="1"/>
  <c r="E22" i="58"/>
  <c r="F22" i="58"/>
  <c r="G22" i="58"/>
  <c r="H17" i="58"/>
  <c r="E20" i="58"/>
  <c r="E21" i="58" s="1"/>
  <c r="I17" i="58"/>
  <c r="F20" i="58"/>
  <c r="F21" i="58" s="1"/>
  <c r="D22" i="58"/>
  <c r="D73" i="14"/>
  <c r="D60" i="14"/>
  <c r="B19" i="14"/>
  <c r="B20" i="14"/>
  <c r="B21" i="14"/>
  <c r="B22" i="14"/>
  <c r="B18" i="14"/>
  <c r="B14" i="14"/>
  <c r="B15" i="14"/>
  <c r="B16" i="14"/>
  <c r="B13" i="14"/>
  <c r="B11" i="14"/>
  <c r="E46" i="23"/>
  <c r="E45" i="23"/>
  <c r="E44" i="23"/>
  <c r="E43" i="23"/>
  <c r="E42" i="23"/>
  <c r="E41" i="23"/>
  <c r="E40" i="23"/>
  <c r="E39" i="23"/>
  <c r="E38" i="23"/>
  <c r="E37" i="23"/>
  <c r="E36" i="23"/>
  <c r="E35" i="23"/>
  <c r="E34" i="23"/>
  <c r="E33" i="23"/>
  <c r="E30" i="23"/>
  <c r="E29" i="23"/>
  <c r="E28" i="23"/>
  <c r="E27" i="23"/>
  <c r="E26" i="23"/>
  <c r="E25" i="23"/>
  <c r="E24" i="23"/>
  <c r="E23" i="23"/>
  <c r="E22" i="23"/>
  <c r="E21" i="23"/>
  <c r="E20" i="23"/>
  <c r="E19" i="23"/>
  <c r="E18" i="23"/>
  <c r="E17" i="23"/>
  <c r="E176" i="7"/>
  <c r="D176" i="7"/>
  <c r="E175" i="7"/>
  <c r="D175" i="7"/>
  <c r="E174" i="7"/>
  <c r="D174" i="7"/>
  <c r="M174" i="7" s="1"/>
  <c r="D173" i="7"/>
  <c r="M173" i="7" s="1"/>
  <c r="E172" i="7"/>
  <c r="D172" i="7"/>
  <c r="M172" i="7" s="1"/>
  <c r="E171" i="7"/>
  <c r="D171" i="7"/>
  <c r="E170" i="7"/>
  <c r="D170" i="7"/>
  <c r="E169" i="7"/>
  <c r="D169" i="7"/>
  <c r="E168" i="7"/>
  <c r="D168" i="7"/>
  <c r="M168" i="7" s="1"/>
  <c r="E167" i="7"/>
  <c r="D167" i="7"/>
  <c r="M167" i="7" s="1"/>
  <c r="E166" i="7"/>
  <c r="D166" i="7"/>
  <c r="M166" i="7" s="1"/>
  <c r="E165" i="7"/>
  <c r="D165" i="7"/>
  <c r="M165" i="7" s="1"/>
  <c r="E164" i="7"/>
  <c r="D164" i="7"/>
  <c r="E163" i="7"/>
  <c r="D163" i="7"/>
  <c r="E162" i="7"/>
  <c r="D162" i="7"/>
  <c r="M162" i="7" s="1"/>
  <c r="E161" i="7"/>
  <c r="D161" i="7"/>
  <c r="M161" i="7" s="1"/>
  <c r="E160" i="7"/>
  <c r="D160" i="7"/>
  <c r="M160" i="7" s="1"/>
  <c r="E159" i="7"/>
  <c r="D159" i="7"/>
  <c r="M159" i="7" s="1"/>
  <c r="E158" i="7"/>
  <c r="D158" i="7"/>
  <c r="E157" i="7"/>
  <c r="D157" i="7"/>
  <c r="E156" i="7"/>
  <c r="D156" i="7"/>
  <c r="M156" i="7" s="1"/>
  <c r="E155" i="7"/>
  <c r="D155" i="7"/>
  <c r="M155" i="7" s="1"/>
  <c r="E154" i="7"/>
  <c r="D154" i="7"/>
  <c r="M154" i="7" s="1"/>
  <c r="E153" i="7"/>
  <c r="D153" i="7"/>
  <c r="E152" i="7"/>
  <c r="D152" i="7"/>
  <c r="E151" i="7"/>
  <c r="D151" i="7"/>
  <c r="E150" i="7"/>
  <c r="D150" i="7"/>
  <c r="M150" i="7" s="1"/>
  <c r="E149" i="7"/>
  <c r="D149" i="7"/>
  <c r="M149" i="7" s="1"/>
  <c r="E148" i="7"/>
  <c r="D148" i="7"/>
  <c r="M148" i="7" s="1"/>
  <c r="E147" i="7"/>
  <c r="D147" i="7"/>
  <c r="E146" i="7"/>
  <c r="D146" i="7"/>
  <c r="E145" i="7"/>
  <c r="D145" i="7"/>
  <c r="D142" i="7"/>
  <c r="E141" i="7"/>
  <c r="D141" i="7"/>
  <c r="M141" i="7" s="1"/>
  <c r="D140" i="7"/>
  <c r="E139" i="7"/>
  <c r="D139" i="7"/>
  <c r="M139" i="7" s="1"/>
  <c r="O40" i="7"/>
  <c r="O39" i="7"/>
  <c r="O38" i="7"/>
  <c r="O37" i="7"/>
  <c r="O36" i="7"/>
  <c r="B147" i="7" l="1"/>
  <c r="M147" i="7"/>
  <c r="B140" i="7"/>
  <c r="M140" i="7"/>
  <c r="B142" i="7"/>
  <c r="M142" i="7"/>
  <c r="B175" i="7"/>
  <c r="M175" i="7"/>
  <c r="B145" i="7"/>
  <c r="M145" i="7"/>
  <c r="B151" i="7"/>
  <c r="M151" i="7"/>
  <c r="B157" i="7"/>
  <c r="M157" i="7"/>
  <c r="B163" i="7"/>
  <c r="M163" i="7"/>
  <c r="B169" i="7"/>
  <c r="M169" i="7"/>
  <c r="B176" i="7"/>
  <c r="M176" i="7"/>
  <c r="B146" i="7"/>
  <c r="M146" i="7"/>
  <c r="B152" i="7"/>
  <c r="M152" i="7"/>
  <c r="B158" i="7"/>
  <c r="M158" i="7"/>
  <c r="B164" i="7"/>
  <c r="M164" i="7"/>
  <c r="B170" i="7"/>
  <c r="M170" i="7"/>
  <c r="B153" i="7"/>
  <c r="M153" i="7"/>
  <c r="B171" i="7"/>
  <c r="M171" i="7"/>
  <c r="I20" i="58"/>
  <c r="I19" i="58"/>
  <c r="H19" i="58"/>
  <c r="H20" i="58"/>
  <c r="B141" i="7"/>
  <c r="B149" i="7"/>
  <c r="B173" i="7"/>
  <c r="B168" i="7"/>
  <c r="B139" i="7"/>
  <c r="B150" i="7"/>
  <c r="B156" i="7"/>
  <c r="B162" i="7"/>
  <c r="B174" i="7"/>
  <c r="B172" i="7"/>
  <c r="B159" i="7"/>
  <c r="B165" i="7"/>
  <c r="B148" i="7"/>
  <c r="B154" i="7"/>
  <c r="B160" i="7"/>
  <c r="B166" i="7"/>
  <c r="B155" i="7"/>
  <c r="B161" i="7"/>
  <c r="B167" i="7"/>
  <c r="H22" i="58" l="1"/>
  <c r="H21" i="58"/>
  <c r="I21" i="58"/>
  <c r="I22" i="58"/>
  <c r="E129" i="7"/>
  <c r="D129" i="7"/>
  <c r="M129" i="7" s="1"/>
  <c r="E128" i="7"/>
  <c r="D128" i="7"/>
  <c r="M128" i="7" s="1"/>
  <c r="E127" i="7"/>
  <c r="D127" i="7"/>
  <c r="M127" i="7" s="1"/>
  <c r="D126" i="7"/>
  <c r="M126" i="7" s="1"/>
  <c r="E125" i="7"/>
  <c r="D125" i="7"/>
  <c r="M125" i="7" s="1"/>
  <c r="E124" i="7"/>
  <c r="D124" i="7"/>
  <c r="M124" i="7" s="1"/>
  <c r="E123" i="7"/>
  <c r="D123" i="7"/>
  <c r="M123" i="7" s="1"/>
  <c r="E122" i="7"/>
  <c r="D122" i="7"/>
  <c r="M122" i="7" s="1"/>
  <c r="E121" i="7"/>
  <c r="D121" i="7"/>
  <c r="M121" i="7" s="1"/>
  <c r="F34" i="6"/>
  <c r="F33" i="6"/>
  <c r="F32" i="6"/>
  <c r="F31" i="6"/>
  <c r="F30" i="6"/>
  <c r="F29" i="6"/>
  <c r="F28" i="6"/>
  <c r="F27" i="6"/>
  <c r="F26" i="6"/>
  <c r="F25" i="6"/>
  <c r="Y27" i="16"/>
  <c r="Y26" i="16"/>
  <c r="Y25" i="16"/>
  <c r="Y24" i="16"/>
  <c r="Y23" i="16"/>
  <c r="Y22" i="16"/>
  <c r="Y21" i="16"/>
  <c r="Y20" i="16"/>
  <c r="Y19" i="16"/>
  <c r="Y18" i="16"/>
  <c r="B121" i="7" l="1"/>
  <c r="B122" i="7"/>
  <c r="B128" i="7"/>
  <c r="B124" i="7"/>
  <c r="B127" i="7"/>
  <c r="B125" i="7"/>
  <c r="B126" i="7"/>
  <c r="B123" i="7"/>
  <c r="B129" i="7"/>
  <c r="C18" i="16"/>
  <c r="C12" i="16"/>
  <c r="C11" i="16"/>
  <c r="C10" i="16"/>
  <c r="P27" i="16"/>
  <c r="P28" i="16" s="1"/>
  <c r="K23" i="16"/>
  <c r="K22" i="16"/>
  <c r="I15" i="16"/>
  <c r="I16" i="16"/>
  <c r="K21" i="16"/>
  <c r="K20" i="16"/>
  <c r="J20" i="16"/>
  <c r="D23" i="16" s="1"/>
  <c r="J18" i="16"/>
  <c r="D10" i="16" s="1"/>
  <c r="J15" i="16"/>
  <c r="D16" i="16" s="1"/>
  <c r="K13" i="16"/>
  <c r="K12" i="16"/>
  <c r="J12" i="16"/>
  <c r="D15" i="16" s="1"/>
  <c r="I13" i="16"/>
  <c r="I12" i="16"/>
  <c r="H12" i="16"/>
  <c r="C17" i="16" s="1"/>
  <c r="J10" i="16"/>
  <c r="D19" i="16" s="1"/>
  <c r="H10" i="16"/>
  <c r="C14" i="16" s="1"/>
  <c r="O13" i="16"/>
  <c r="O14" i="16"/>
  <c r="O15" i="16"/>
  <c r="O12" i="16"/>
  <c r="P10" i="16"/>
  <c r="P11" i="16" s="1"/>
  <c r="AL363" i="15"/>
  <c r="AL107" i="15" s="1"/>
  <c r="AK363" i="15"/>
  <c r="AK107" i="15" s="1"/>
  <c r="AJ363" i="15"/>
  <c r="AJ107" i="15" s="1"/>
  <c r="AI363" i="15"/>
  <c r="AI107" i="15" s="1"/>
  <c r="AG363" i="15"/>
  <c r="AG107" i="15" s="1"/>
  <c r="AL362" i="15"/>
  <c r="AL106" i="15" s="1"/>
  <c r="AK362" i="15"/>
  <c r="AK106" i="15" s="1"/>
  <c r="AJ362" i="15"/>
  <c r="AJ106" i="15" s="1"/>
  <c r="AI362" i="15"/>
  <c r="AI106" i="15" s="1"/>
  <c r="AG362" i="15"/>
  <c r="AG106" i="15" s="1"/>
  <c r="AL361" i="15"/>
  <c r="AL105" i="15" s="1"/>
  <c r="AK361" i="15"/>
  <c r="AK105" i="15" s="1"/>
  <c r="AJ361" i="15"/>
  <c r="AJ105" i="15" s="1"/>
  <c r="AI361" i="15"/>
  <c r="AI105" i="15" s="1"/>
  <c r="AG361" i="15"/>
  <c r="AG105" i="15" s="1"/>
  <c r="AL360" i="15"/>
  <c r="AL104" i="15" s="1"/>
  <c r="AK360" i="15"/>
  <c r="AK104" i="15" s="1"/>
  <c r="AJ360" i="15"/>
  <c r="AJ104" i="15" s="1"/>
  <c r="AI360" i="15"/>
  <c r="AI104" i="15" s="1"/>
  <c r="AG360" i="15"/>
  <c r="AG104" i="15" s="1"/>
  <c r="AL359" i="15"/>
  <c r="AL103" i="15" s="1"/>
  <c r="AK359" i="15"/>
  <c r="AK103" i="15" s="1"/>
  <c r="AJ359" i="15"/>
  <c r="AJ103" i="15" s="1"/>
  <c r="AI359" i="15"/>
  <c r="AI103" i="15" s="1"/>
  <c r="AG359" i="15"/>
  <c r="AG103" i="15" s="1"/>
  <c r="AL358" i="15"/>
  <c r="AL102" i="15" s="1"/>
  <c r="AK358" i="15"/>
  <c r="AK102" i="15" s="1"/>
  <c r="AJ358" i="15"/>
  <c r="AJ102" i="15" s="1"/>
  <c r="AI358" i="15"/>
  <c r="AI102" i="15" s="1"/>
  <c r="AG358" i="15"/>
  <c r="AG102" i="15" s="1"/>
  <c r="AL357" i="15"/>
  <c r="AL101" i="15" s="1"/>
  <c r="AK357" i="15"/>
  <c r="AK101" i="15" s="1"/>
  <c r="AJ357" i="15"/>
  <c r="AJ101" i="15" s="1"/>
  <c r="AI357" i="15"/>
  <c r="AI101" i="15" s="1"/>
  <c r="AG357" i="15"/>
  <c r="AG101" i="15" s="1"/>
  <c r="AL356" i="15"/>
  <c r="AL100" i="15" s="1"/>
  <c r="AK356" i="15"/>
  <c r="AK100" i="15" s="1"/>
  <c r="AJ356" i="15"/>
  <c r="AJ100" i="15" s="1"/>
  <c r="AI356" i="15"/>
  <c r="AI100" i="15" s="1"/>
  <c r="AG356" i="15"/>
  <c r="AG100" i="15" s="1"/>
  <c r="AL355" i="15"/>
  <c r="AL99" i="15" s="1"/>
  <c r="AK355" i="15"/>
  <c r="AK99" i="15" s="1"/>
  <c r="AJ355" i="15"/>
  <c r="AJ99" i="15" s="1"/>
  <c r="AI355" i="15"/>
  <c r="AG355" i="15"/>
  <c r="AG99" i="15" s="1"/>
  <c r="AL354" i="15"/>
  <c r="AL98" i="15" s="1"/>
  <c r="AK354" i="15"/>
  <c r="AK98" i="15" s="1"/>
  <c r="AJ354" i="15"/>
  <c r="AJ98" i="15" s="1"/>
  <c r="AI354" i="15"/>
  <c r="AI98" i="15" s="1"/>
  <c r="AG354" i="15"/>
  <c r="AG98" i="15" s="1"/>
  <c r="AL353" i="15"/>
  <c r="AL97" i="15" s="1"/>
  <c r="AK353" i="15"/>
  <c r="AK97" i="15" s="1"/>
  <c r="AJ353" i="15"/>
  <c r="AJ97" i="15" s="1"/>
  <c r="AI353" i="15"/>
  <c r="AI97" i="15" s="1"/>
  <c r="AG353" i="15"/>
  <c r="AG97" i="15" s="1"/>
  <c r="AL352" i="15"/>
  <c r="AL96" i="15" s="1"/>
  <c r="AK352" i="15"/>
  <c r="AK96" i="15" s="1"/>
  <c r="AJ352" i="15"/>
  <c r="AJ96" i="15" s="1"/>
  <c r="AI352" i="15"/>
  <c r="AI96" i="15" s="1"/>
  <c r="AI99" i="15"/>
  <c r="AG352" i="15"/>
  <c r="AG96" i="15" s="1"/>
  <c r="AL399" i="15"/>
  <c r="AL400" i="15"/>
  <c r="BE197" i="15"/>
  <c r="BE196" i="15"/>
  <c r="BE195" i="15"/>
  <c r="BE194" i="15"/>
  <c r="BE193" i="15"/>
  <c r="BE192" i="15"/>
  <c r="BE191" i="15"/>
  <c r="BE190" i="15"/>
  <c r="E14" i="15"/>
  <c r="AU197" i="15"/>
  <c r="AT197" i="15"/>
  <c r="AS197" i="15"/>
  <c r="AR197" i="15"/>
  <c r="AQ197" i="15"/>
  <c r="AU196" i="15"/>
  <c r="AT196" i="15"/>
  <c r="AS196" i="15"/>
  <c r="AR196" i="15"/>
  <c r="AQ196" i="15"/>
  <c r="AU195" i="15"/>
  <c r="AT195" i="15"/>
  <c r="AS195" i="15"/>
  <c r="AR195" i="15"/>
  <c r="AQ195" i="15"/>
  <c r="AU194" i="15"/>
  <c r="AT194" i="15"/>
  <c r="AS194" i="15"/>
  <c r="AR194" i="15"/>
  <c r="AQ194" i="15"/>
  <c r="AU193" i="15"/>
  <c r="AT193" i="15"/>
  <c r="AS193" i="15"/>
  <c r="AR193" i="15"/>
  <c r="AQ193" i="15"/>
  <c r="AU192" i="15"/>
  <c r="AT192" i="15"/>
  <c r="AS192" i="15"/>
  <c r="AR192" i="15"/>
  <c r="AQ192" i="15"/>
  <c r="AU191" i="15"/>
  <c r="AT191" i="15"/>
  <c r="AS191" i="15"/>
  <c r="AR191" i="15"/>
  <c r="AQ191" i="15"/>
  <c r="AU190" i="15"/>
  <c r="AT190" i="15"/>
  <c r="AS190" i="15"/>
  <c r="AR190" i="15"/>
  <c r="AQ190" i="15"/>
  <c r="AU189" i="15"/>
  <c r="AT189" i="15"/>
  <c r="AS189" i="15"/>
  <c r="AR189" i="15"/>
  <c r="AQ189" i="15"/>
  <c r="AU188" i="15"/>
  <c r="AT188" i="15"/>
  <c r="AS188" i="15"/>
  <c r="AR188" i="15"/>
  <c r="AQ188" i="15"/>
  <c r="AU187" i="15"/>
  <c r="AT187" i="15"/>
  <c r="AS187" i="15"/>
  <c r="AR187" i="15"/>
  <c r="AQ187" i="15"/>
  <c r="AU186" i="15"/>
  <c r="AT186" i="15"/>
  <c r="AS186" i="15"/>
  <c r="AR186" i="15"/>
  <c r="AQ186" i="15"/>
  <c r="AU185" i="15"/>
  <c r="AT185" i="15"/>
  <c r="AS185" i="15"/>
  <c r="AR185" i="15"/>
  <c r="AQ185" i="15"/>
  <c r="AU184" i="15"/>
  <c r="AT184" i="15"/>
  <c r="AS184" i="15"/>
  <c r="AR184" i="15"/>
  <c r="AQ184" i="15"/>
  <c r="AU183" i="15"/>
  <c r="AT183" i="15"/>
  <c r="AS183" i="15"/>
  <c r="AR183" i="15"/>
  <c r="AQ183" i="15"/>
  <c r="AU182" i="15"/>
  <c r="AT182" i="15"/>
  <c r="AS182" i="15"/>
  <c r="AR182" i="15"/>
  <c r="AQ182" i="15"/>
  <c r="AU181" i="15"/>
  <c r="AT181" i="15"/>
  <c r="AS181" i="15"/>
  <c r="AR181" i="15"/>
  <c r="AQ181" i="15"/>
  <c r="AU180" i="15"/>
  <c r="AT180" i="15"/>
  <c r="AS180" i="15"/>
  <c r="AR180" i="15"/>
  <c r="AQ180" i="15"/>
  <c r="AU179" i="15"/>
  <c r="AT179" i="15"/>
  <c r="AS179" i="15"/>
  <c r="AR179" i="15"/>
  <c r="AQ179" i="15"/>
  <c r="AU178" i="15"/>
  <c r="AT178" i="15"/>
  <c r="AS178" i="15"/>
  <c r="AR178" i="15"/>
  <c r="AQ178" i="15"/>
  <c r="AU177" i="15"/>
  <c r="AT177" i="15"/>
  <c r="AS177" i="15"/>
  <c r="AR177" i="15"/>
  <c r="AQ177" i="15"/>
  <c r="AU176" i="15"/>
  <c r="AT176" i="15"/>
  <c r="AS176" i="15"/>
  <c r="AR176" i="15"/>
  <c r="AQ176" i="15"/>
  <c r="AU175" i="15"/>
  <c r="AT175" i="15"/>
  <c r="AS175" i="15"/>
  <c r="AR175" i="15"/>
  <c r="AQ175" i="15"/>
  <c r="AU174" i="15"/>
  <c r="AT174" i="15"/>
  <c r="AS174" i="15"/>
  <c r="AR174" i="15"/>
  <c r="AQ174" i="15"/>
  <c r="AU173" i="15"/>
  <c r="AT173" i="15"/>
  <c r="AS173" i="15"/>
  <c r="AR173" i="15"/>
  <c r="AQ173" i="15"/>
  <c r="AU172" i="15"/>
  <c r="AT172" i="15"/>
  <c r="AS172" i="15"/>
  <c r="AR172" i="15"/>
  <c r="AQ172" i="15"/>
  <c r="AU171" i="15"/>
  <c r="AT171" i="15"/>
  <c r="AS171" i="15"/>
  <c r="AR171" i="15"/>
  <c r="AQ171" i="15"/>
  <c r="AU170" i="15"/>
  <c r="AT170" i="15"/>
  <c r="AS170" i="15"/>
  <c r="AR170" i="15"/>
  <c r="AQ170" i="15"/>
  <c r="AU169" i="15"/>
  <c r="AT169" i="15"/>
  <c r="AS169" i="15"/>
  <c r="AR169" i="15"/>
  <c r="AQ169" i="15"/>
  <c r="AU168" i="15"/>
  <c r="AT168" i="15"/>
  <c r="AS168" i="15"/>
  <c r="AR168" i="15"/>
  <c r="AQ168" i="15"/>
  <c r="AU167" i="15"/>
  <c r="AT167" i="15"/>
  <c r="AS167" i="15"/>
  <c r="AR167" i="15"/>
  <c r="AQ167" i="15"/>
  <c r="AU166" i="15"/>
  <c r="AT166" i="15"/>
  <c r="AS166" i="15"/>
  <c r="AR166" i="15"/>
  <c r="AQ166" i="15"/>
  <c r="AU165" i="15"/>
  <c r="AT165" i="15"/>
  <c r="AS165" i="15"/>
  <c r="AR165" i="15"/>
  <c r="AQ165" i="15"/>
  <c r="AU164" i="15"/>
  <c r="AT164" i="15"/>
  <c r="AS164" i="15"/>
  <c r="AR164" i="15"/>
  <c r="AQ164" i="15"/>
  <c r="AU163" i="15"/>
  <c r="AT163" i="15"/>
  <c r="AS163" i="15"/>
  <c r="AR163" i="15"/>
  <c r="AQ163" i="15"/>
  <c r="AU162" i="15"/>
  <c r="AT162" i="15"/>
  <c r="AS162" i="15"/>
  <c r="AR162" i="15"/>
  <c r="AQ162" i="15"/>
  <c r="AU161" i="15"/>
  <c r="AT161" i="15"/>
  <c r="AS161" i="15"/>
  <c r="AR161" i="15"/>
  <c r="AQ161" i="15"/>
  <c r="AU160" i="15"/>
  <c r="AT160" i="15"/>
  <c r="AS160" i="15"/>
  <c r="AR160" i="15"/>
  <c r="AQ160" i="15"/>
  <c r="AU159" i="15"/>
  <c r="AT159" i="15"/>
  <c r="AS159" i="15"/>
  <c r="AR159" i="15"/>
  <c r="AQ159" i="15"/>
  <c r="AU158" i="15"/>
  <c r="AT158" i="15"/>
  <c r="AS158" i="15"/>
  <c r="AR158" i="15"/>
  <c r="AQ158" i="15"/>
  <c r="AU157" i="15"/>
  <c r="AT157" i="15"/>
  <c r="AS157" i="15"/>
  <c r="AR157" i="15"/>
  <c r="AQ157" i="15"/>
  <c r="AU156" i="15"/>
  <c r="AT156" i="15"/>
  <c r="AS156" i="15"/>
  <c r="AR156" i="15"/>
  <c r="AQ156" i="15"/>
  <c r="AU155" i="15"/>
  <c r="AT155" i="15"/>
  <c r="AS155" i="15"/>
  <c r="AR155" i="15"/>
  <c r="AQ155" i="15"/>
  <c r="AU154" i="15"/>
  <c r="AT154" i="15"/>
  <c r="AS154" i="15"/>
  <c r="AR154" i="15"/>
  <c r="AQ154" i="15"/>
  <c r="AU153" i="15"/>
  <c r="AT153" i="15"/>
  <c r="AS153" i="15"/>
  <c r="AR153" i="15"/>
  <c r="AQ153" i="15"/>
  <c r="AU152" i="15"/>
  <c r="AT152" i="15"/>
  <c r="AS152" i="15"/>
  <c r="AR152" i="15"/>
  <c r="AQ152" i="15"/>
  <c r="AU151" i="15"/>
  <c r="AT151" i="15"/>
  <c r="AS151" i="15"/>
  <c r="AR151" i="15"/>
  <c r="AQ151" i="15"/>
  <c r="AU150" i="15"/>
  <c r="AT150" i="15"/>
  <c r="AS150" i="15"/>
  <c r="AR150" i="15"/>
  <c r="AQ150" i="15"/>
  <c r="AU149" i="15"/>
  <c r="AT149" i="15"/>
  <c r="AS149" i="15"/>
  <c r="AR149" i="15"/>
  <c r="AQ149" i="15"/>
  <c r="AU148" i="15"/>
  <c r="AT148" i="15"/>
  <c r="AS148" i="15"/>
  <c r="AR148" i="15"/>
  <c r="AQ148" i="15"/>
  <c r="AU147" i="15"/>
  <c r="AT147" i="15"/>
  <c r="AS147" i="15"/>
  <c r="AR147" i="15"/>
  <c r="AQ147" i="15"/>
  <c r="AU146" i="15"/>
  <c r="AT146" i="15"/>
  <c r="AS146" i="15"/>
  <c r="AR146" i="15"/>
  <c r="AQ146" i="15"/>
  <c r="AU145" i="15"/>
  <c r="AT145" i="15"/>
  <c r="AS145" i="15"/>
  <c r="AR145" i="15"/>
  <c r="AQ145" i="15"/>
  <c r="AU144" i="15"/>
  <c r="AT144" i="15"/>
  <c r="AS144" i="15"/>
  <c r="AR144" i="15"/>
  <c r="AQ144" i="15"/>
  <c r="AU143" i="15"/>
  <c r="AT143" i="15"/>
  <c r="AS143" i="15"/>
  <c r="AR143" i="15"/>
  <c r="AQ143" i="15"/>
  <c r="AU142" i="15"/>
  <c r="AT142" i="15"/>
  <c r="AS142" i="15"/>
  <c r="AR142" i="15"/>
  <c r="AQ142" i="15"/>
  <c r="AU141" i="15"/>
  <c r="AT141" i="15"/>
  <c r="AS141" i="15"/>
  <c r="AR141" i="15"/>
  <c r="AQ141" i="15"/>
  <c r="AU140" i="15"/>
  <c r="AT140" i="15"/>
  <c r="AS140" i="15"/>
  <c r="AR140" i="15"/>
  <c r="AQ140" i="15"/>
  <c r="AU139" i="15"/>
  <c r="AT139" i="15"/>
  <c r="AS139" i="15"/>
  <c r="AR139" i="15"/>
  <c r="AQ139" i="15"/>
  <c r="AU138" i="15"/>
  <c r="AT138" i="15"/>
  <c r="AS138" i="15"/>
  <c r="AR138" i="15"/>
  <c r="AQ138" i="15"/>
  <c r="AU137" i="15"/>
  <c r="AT137" i="15"/>
  <c r="AS137" i="15"/>
  <c r="AR137" i="15"/>
  <c r="AQ137" i="15"/>
  <c r="AU136" i="15"/>
  <c r="AT136" i="15"/>
  <c r="AS136" i="15"/>
  <c r="AR136" i="15"/>
  <c r="AQ136" i="15"/>
  <c r="AU135" i="15"/>
  <c r="AT135" i="15"/>
  <c r="AS135" i="15"/>
  <c r="AR135" i="15"/>
  <c r="AQ135" i="15"/>
  <c r="AU134" i="15"/>
  <c r="AT134" i="15"/>
  <c r="AS134" i="15"/>
  <c r="AR134" i="15"/>
  <c r="AQ134" i="15"/>
  <c r="AU133" i="15"/>
  <c r="AT133" i="15"/>
  <c r="AS133" i="15"/>
  <c r="AR133" i="15"/>
  <c r="AQ133" i="15"/>
  <c r="AU132" i="15"/>
  <c r="AT132" i="15"/>
  <c r="AS132" i="15"/>
  <c r="AR132" i="15"/>
  <c r="AQ132" i="15"/>
  <c r="AU131" i="15"/>
  <c r="AT131" i="15"/>
  <c r="AS131" i="15"/>
  <c r="AR131" i="15"/>
  <c r="AQ131" i="15"/>
  <c r="AU130" i="15"/>
  <c r="AT130" i="15"/>
  <c r="AS130" i="15"/>
  <c r="AR130" i="15"/>
  <c r="AQ130" i="15"/>
  <c r="AU129" i="15"/>
  <c r="AT129" i="15"/>
  <c r="AS129" i="15"/>
  <c r="AR129" i="15"/>
  <c r="AQ129" i="15"/>
  <c r="AU128" i="15"/>
  <c r="AT128" i="15"/>
  <c r="AS128" i="15"/>
  <c r="AR128" i="15"/>
  <c r="AQ128" i="15"/>
  <c r="AU127" i="15"/>
  <c r="AT127" i="15"/>
  <c r="AS127" i="15"/>
  <c r="AR127" i="15"/>
  <c r="AQ127" i="15"/>
  <c r="AU126" i="15"/>
  <c r="AT126" i="15"/>
  <c r="AS126" i="15"/>
  <c r="AR126" i="15"/>
  <c r="AQ126" i="15"/>
  <c r="AU125" i="15"/>
  <c r="AT125" i="15"/>
  <c r="AS125" i="15"/>
  <c r="AR125" i="15"/>
  <c r="AQ125" i="15"/>
  <c r="AU124" i="15"/>
  <c r="AT124" i="15"/>
  <c r="AS124" i="15"/>
  <c r="AR124" i="15"/>
  <c r="AQ124" i="15"/>
  <c r="AU123" i="15"/>
  <c r="AT123" i="15"/>
  <c r="AS123" i="15"/>
  <c r="AR123" i="15"/>
  <c r="AQ123" i="15"/>
  <c r="AU122" i="15"/>
  <c r="AT122" i="15"/>
  <c r="AS122" i="15"/>
  <c r="AR122" i="15"/>
  <c r="AQ122" i="15"/>
  <c r="AU121" i="15"/>
  <c r="AT121" i="15"/>
  <c r="AS121" i="15"/>
  <c r="AR121" i="15"/>
  <c r="AQ121" i="15"/>
  <c r="AU120" i="15"/>
  <c r="AT120" i="15"/>
  <c r="AS120" i="15"/>
  <c r="AR120" i="15"/>
  <c r="AQ120" i="15"/>
  <c r="AU119" i="15"/>
  <c r="AT119" i="15"/>
  <c r="AS119" i="15"/>
  <c r="AR119" i="15"/>
  <c r="AQ119" i="15"/>
  <c r="AU118" i="15"/>
  <c r="AT118" i="15"/>
  <c r="AS118" i="15"/>
  <c r="AR118" i="15"/>
  <c r="AQ118" i="15"/>
  <c r="AU117" i="15"/>
  <c r="AT117" i="15"/>
  <c r="AS117" i="15"/>
  <c r="AR117" i="15"/>
  <c r="AQ117" i="15"/>
  <c r="AU116" i="15"/>
  <c r="AT116" i="15"/>
  <c r="AS116" i="15"/>
  <c r="AR116" i="15"/>
  <c r="AQ116" i="15"/>
  <c r="AU115" i="15"/>
  <c r="AT115" i="15"/>
  <c r="AS115" i="15"/>
  <c r="AR115" i="15"/>
  <c r="AQ115" i="15"/>
  <c r="AU114" i="15"/>
  <c r="AT114" i="15"/>
  <c r="AS114" i="15"/>
  <c r="AR114" i="15"/>
  <c r="AQ114" i="15"/>
  <c r="AU113" i="15"/>
  <c r="AT113" i="15"/>
  <c r="AS113" i="15"/>
  <c r="AR113" i="15"/>
  <c r="AQ113" i="15"/>
  <c r="AU112" i="15"/>
  <c r="AT112" i="15"/>
  <c r="AS112" i="15"/>
  <c r="AR112" i="15"/>
  <c r="AQ112" i="15"/>
  <c r="AU111" i="15"/>
  <c r="AT111" i="15"/>
  <c r="AS111" i="15"/>
  <c r="AR111" i="15"/>
  <c r="AQ111" i="15"/>
  <c r="AU110" i="15"/>
  <c r="AT110" i="15"/>
  <c r="AS110" i="15"/>
  <c r="AR110" i="15"/>
  <c r="AQ110" i="15"/>
  <c r="AU109" i="15"/>
  <c r="AT109" i="15"/>
  <c r="AS109" i="15"/>
  <c r="AR109" i="15"/>
  <c r="AQ109" i="15"/>
  <c r="AU108" i="15"/>
  <c r="AT108" i="15"/>
  <c r="AS108" i="15"/>
  <c r="AR108" i="15"/>
  <c r="AQ108" i="15"/>
  <c r="AU107" i="15"/>
  <c r="AT107" i="15"/>
  <c r="AS107" i="15"/>
  <c r="AR107" i="15"/>
  <c r="AQ107" i="15"/>
  <c r="AU106" i="15"/>
  <c r="AT106" i="15"/>
  <c r="AS106" i="15"/>
  <c r="AR106" i="15"/>
  <c r="AQ106" i="15"/>
  <c r="AU105" i="15"/>
  <c r="AT105" i="15"/>
  <c r="AS105" i="15"/>
  <c r="AR105" i="15"/>
  <c r="AQ105" i="15"/>
  <c r="AU104" i="15"/>
  <c r="AT104" i="15"/>
  <c r="AS104" i="15"/>
  <c r="AR104" i="15"/>
  <c r="AQ104" i="15"/>
  <c r="AU103" i="15"/>
  <c r="AT103" i="15"/>
  <c r="AS103" i="15"/>
  <c r="AR103" i="15"/>
  <c r="AQ103" i="15"/>
  <c r="AU102" i="15"/>
  <c r="AT102" i="15"/>
  <c r="AS102" i="15"/>
  <c r="AR102" i="15"/>
  <c r="AQ102" i="15"/>
  <c r="AU101" i="15"/>
  <c r="AT101" i="15"/>
  <c r="AS101" i="15"/>
  <c r="AR101" i="15"/>
  <c r="AQ101" i="15"/>
  <c r="AU100" i="15"/>
  <c r="AT100" i="15"/>
  <c r="AS100" i="15"/>
  <c r="AR100" i="15"/>
  <c r="AQ100" i="15"/>
  <c r="AU99" i="15"/>
  <c r="AT99" i="15"/>
  <c r="AS99" i="15"/>
  <c r="AR99" i="15"/>
  <c r="AQ99" i="15"/>
  <c r="AU98" i="15"/>
  <c r="AT98" i="15"/>
  <c r="AS98" i="15"/>
  <c r="AR98" i="15"/>
  <c r="AQ98" i="15"/>
  <c r="AU97" i="15"/>
  <c r="AT97" i="15"/>
  <c r="AS97" i="15"/>
  <c r="AR97" i="15"/>
  <c r="AQ97" i="15"/>
  <c r="AU96" i="15"/>
  <c r="AT96" i="15"/>
  <c r="AS96" i="15"/>
  <c r="AR96" i="15"/>
  <c r="AQ96" i="15"/>
  <c r="AU95" i="15"/>
  <c r="AT95" i="15"/>
  <c r="AS95" i="15"/>
  <c r="AR95" i="15"/>
  <c r="AQ95" i="15"/>
  <c r="AU94" i="15"/>
  <c r="AT94" i="15"/>
  <c r="AS94" i="15"/>
  <c r="AR94" i="15"/>
  <c r="AQ94" i="15"/>
  <c r="AU93" i="15"/>
  <c r="AT93" i="15"/>
  <c r="AS93" i="15"/>
  <c r="AR93" i="15"/>
  <c r="AQ93" i="15"/>
  <c r="AU92" i="15"/>
  <c r="AT92" i="15"/>
  <c r="AS92" i="15"/>
  <c r="AR92" i="15"/>
  <c r="AQ92" i="15"/>
  <c r="AU91" i="15"/>
  <c r="AT91" i="15"/>
  <c r="AS91" i="15"/>
  <c r="AR91" i="15"/>
  <c r="AQ91" i="15"/>
  <c r="AU90" i="15"/>
  <c r="AT90" i="15"/>
  <c r="AS90" i="15"/>
  <c r="AR90" i="15"/>
  <c r="AQ90" i="15"/>
  <c r="AU89" i="15"/>
  <c r="B271" i="15" s="1"/>
  <c r="AT89" i="15"/>
  <c r="AS89" i="15"/>
  <c r="AR89" i="15"/>
  <c r="AQ89" i="15"/>
  <c r="AU88" i="15"/>
  <c r="AT88" i="15"/>
  <c r="AS88" i="15"/>
  <c r="AR88" i="15"/>
  <c r="AQ88" i="15"/>
  <c r="AU87" i="15"/>
  <c r="AT87" i="15"/>
  <c r="AS87" i="15"/>
  <c r="AR87" i="15"/>
  <c r="AQ87" i="15"/>
  <c r="AU86" i="15"/>
  <c r="AT86" i="15"/>
  <c r="AS86" i="15"/>
  <c r="AR86" i="15"/>
  <c r="AQ86" i="15"/>
  <c r="AU85" i="15"/>
  <c r="AT85" i="15"/>
  <c r="AS85" i="15"/>
  <c r="AR85" i="15"/>
  <c r="AQ85" i="15"/>
  <c r="AU84" i="15"/>
  <c r="AT84" i="15"/>
  <c r="AS84" i="15"/>
  <c r="AR84" i="15"/>
  <c r="AQ84" i="15"/>
  <c r="AU83" i="15"/>
  <c r="AT83" i="15"/>
  <c r="AS83" i="15"/>
  <c r="AR83" i="15"/>
  <c r="AQ83" i="15"/>
  <c r="AU82" i="15"/>
  <c r="AT82" i="15"/>
  <c r="AS82" i="15"/>
  <c r="AR82" i="15"/>
  <c r="AQ82" i="15"/>
  <c r="AU81" i="15"/>
  <c r="AT81" i="15"/>
  <c r="AS81" i="15"/>
  <c r="AR81" i="15"/>
  <c r="AQ81" i="15"/>
  <c r="AU80" i="15"/>
  <c r="AT80" i="15"/>
  <c r="AS80" i="15"/>
  <c r="AR80" i="15"/>
  <c r="AQ80" i="15"/>
  <c r="AU79" i="15"/>
  <c r="AT79" i="15"/>
  <c r="AS79" i="15"/>
  <c r="AR79" i="15"/>
  <c r="AQ79" i="15"/>
  <c r="AU78" i="15"/>
  <c r="AT78" i="15"/>
  <c r="AS78" i="15"/>
  <c r="AR78" i="15"/>
  <c r="AQ78" i="15"/>
  <c r="AU77" i="15"/>
  <c r="AT77" i="15"/>
  <c r="AS77" i="15"/>
  <c r="AR77" i="15"/>
  <c r="AQ77" i="15"/>
  <c r="AU76" i="15"/>
  <c r="AT76" i="15"/>
  <c r="AS76" i="15"/>
  <c r="AR76" i="15"/>
  <c r="AQ76" i="15"/>
  <c r="AU75" i="15"/>
  <c r="AT75" i="15"/>
  <c r="AS75" i="15"/>
  <c r="AR75" i="15"/>
  <c r="AQ75" i="15"/>
  <c r="AU74" i="15"/>
  <c r="AT74" i="15"/>
  <c r="AS74" i="15"/>
  <c r="AR74" i="15"/>
  <c r="AQ74" i="15"/>
  <c r="AU73" i="15"/>
  <c r="AT73" i="15"/>
  <c r="AS73" i="15"/>
  <c r="AR73" i="15"/>
  <c r="AQ73" i="15"/>
  <c r="AU72" i="15"/>
  <c r="AT72" i="15"/>
  <c r="AS72" i="15"/>
  <c r="AR72" i="15"/>
  <c r="AQ72" i="15"/>
  <c r="AU71" i="15"/>
  <c r="AT71" i="15"/>
  <c r="AS71" i="15"/>
  <c r="AR71" i="15"/>
  <c r="AQ71" i="15"/>
  <c r="AU70" i="15"/>
  <c r="AT70" i="15"/>
  <c r="AS70" i="15"/>
  <c r="AR70" i="15"/>
  <c r="AQ70" i="15"/>
  <c r="AU69" i="15"/>
  <c r="AT69" i="15"/>
  <c r="AS69" i="15"/>
  <c r="AR69" i="15"/>
  <c r="AQ69" i="15"/>
  <c r="AU68" i="15"/>
  <c r="AT68" i="15"/>
  <c r="AS68" i="15"/>
  <c r="AR68" i="15"/>
  <c r="AQ68" i="15"/>
  <c r="AU67" i="15"/>
  <c r="AT67" i="15"/>
  <c r="AS67" i="15"/>
  <c r="AR67" i="15"/>
  <c r="AQ67" i="15"/>
  <c r="AU66" i="15"/>
  <c r="AT66" i="15"/>
  <c r="AS66" i="15"/>
  <c r="AR66" i="15"/>
  <c r="AQ66" i="15"/>
  <c r="AU65" i="15"/>
  <c r="AT65" i="15"/>
  <c r="AS65" i="15"/>
  <c r="AR65" i="15"/>
  <c r="AQ65" i="15"/>
  <c r="AU64" i="15"/>
  <c r="AT64" i="15"/>
  <c r="AS64" i="15"/>
  <c r="AR64" i="15"/>
  <c r="AQ64" i="15"/>
  <c r="AU63" i="15"/>
  <c r="AT63" i="15"/>
  <c r="AS63" i="15"/>
  <c r="AR63" i="15"/>
  <c r="AQ63" i="15"/>
  <c r="AU62" i="15"/>
  <c r="AT62" i="15"/>
  <c r="AS62" i="15"/>
  <c r="AR62" i="15"/>
  <c r="AQ62" i="15"/>
  <c r="AU61" i="15"/>
  <c r="AT61" i="15"/>
  <c r="AS61" i="15"/>
  <c r="AR61" i="15"/>
  <c r="AQ61" i="15"/>
  <c r="AU60" i="15"/>
  <c r="AT60" i="15"/>
  <c r="AS60" i="15"/>
  <c r="AR60" i="15"/>
  <c r="AQ60" i="15"/>
  <c r="AU59" i="15"/>
  <c r="AT59" i="15"/>
  <c r="AS59" i="15"/>
  <c r="AR59" i="15"/>
  <c r="AQ59" i="15"/>
  <c r="AU58" i="15"/>
  <c r="AT58" i="15"/>
  <c r="AS58" i="15"/>
  <c r="AR58" i="15"/>
  <c r="AQ58" i="15"/>
  <c r="AU57" i="15"/>
  <c r="AT57" i="15"/>
  <c r="AS57" i="15"/>
  <c r="AR57" i="15"/>
  <c r="AQ57" i="15"/>
  <c r="AU56" i="15"/>
  <c r="AT56" i="15"/>
  <c r="AS56" i="15"/>
  <c r="AR56" i="15"/>
  <c r="AQ56" i="15"/>
  <c r="AU55" i="15"/>
  <c r="AT55" i="15"/>
  <c r="AS55" i="15"/>
  <c r="AR55" i="15"/>
  <c r="AQ55" i="15"/>
  <c r="AU54" i="15"/>
  <c r="AT54" i="15"/>
  <c r="AS54" i="15"/>
  <c r="AR54" i="15"/>
  <c r="AQ54" i="15"/>
  <c r="AU53" i="15"/>
  <c r="AT53" i="15"/>
  <c r="AS53" i="15"/>
  <c r="AR53" i="15"/>
  <c r="AQ53" i="15"/>
  <c r="AU52" i="15"/>
  <c r="AT52" i="15"/>
  <c r="AS52" i="15"/>
  <c r="AR52" i="15"/>
  <c r="AQ52" i="15"/>
  <c r="AU51" i="15"/>
  <c r="AT51" i="15"/>
  <c r="AS51" i="15"/>
  <c r="AR51" i="15"/>
  <c r="AQ51" i="15"/>
  <c r="AU50" i="15"/>
  <c r="AT50" i="15"/>
  <c r="AS50" i="15"/>
  <c r="AR50" i="15"/>
  <c r="AQ50" i="15"/>
  <c r="AU49" i="15"/>
  <c r="B231" i="15" s="1"/>
  <c r="AT49" i="15"/>
  <c r="AS49" i="15"/>
  <c r="AR49" i="15"/>
  <c r="AQ49" i="15"/>
  <c r="AU48" i="15"/>
  <c r="AT48" i="15"/>
  <c r="AS48" i="15"/>
  <c r="AR48" i="15"/>
  <c r="AQ48" i="15"/>
  <c r="AU47" i="15"/>
  <c r="AT47" i="15"/>
  <c r="AS47" i="15"/>
  <c r="AR47" i="15"/>
  <c r="AQ47" i="15"/>
  <c r="AU46" i="15"/>
  <c r="AT46" i="15"/>
  <c r="AS46" i="15"/>
  <c r="AR46" i="15"/>
  <c r="AQ46" i="15"/>
  <c r="AU45" i="15"/>
  <c r="AT45" i="15"/>
  <c r="AS45" i="15"/>
  <c r="AR45" i="15"/>
  <c r="AQ45" i="15"/>
  <c r="AU44" i="15"/>
  <c r="AT44" i="15"/>
  <c r="AS44" i="15"/>
  <c r="AR44" i="15"/>
  <c r="AQ44" i="15"/>
  <c r="AU43" i="15"/>
  <c r="AT43" i="15"/>
  <c r="AS43" i="15"/>
  <c r="AR43" i="15"/>
  <c r="AQ43" i="15"/>
  <c r="AU42" i="15"/>
  <c r="AT42" i="15"/>
  <c r="AS42" i="15"/>
  <c r="AR42" i="15"/>
  <c r="AQ42" i="15"/>
  <c r="AU41" i="15"/>
  <c r="AT41" i="15"/>
  <c r="AS41" i="15"/>
  <c r="AR41" i="15"/>
  <c r="AQ41" i="15"/>
  <c r="AU40" i="15"/>
  <c r="AT40" i="15"/>
  <c r="AS40" i="15"/>
  <c r="AR40" i="15"/>
  <c r="AQ40" i="15"/>
  <c r="AU39" i="15"/>
  <c r="AT39" i="15"/>
  <c r="AS39" i="15"/>
  <c r="AR39" i="15"/>
  <c r="AQ39" i="15"/>
  <c r="AU38" i="15"/>
  <c r="AT38" i="15"/>
  <c r="AS38" i="15"/>
  <c r="AR38" i="15"/>
  <c r="AQ38" i="15"/>
  <c r="AU37" i="15"/>
  <c r="AT37" i="15"/>
  <c r="AS37" i="15"/>
  <c r="AR37" i="15"/>
  <c r="AQ37" i="15"/>
  <c r="AU36" i="15"/>
  <c r="AT36" i="15"/>
  <c r="AS36" i="15"/>
  <c r="AR36" i="15"/>
  <c r="AQ36" i="15"/>
  <c r="AU35" i="15"/>
  <c r="AT35" i="15"/>
  <c r="AS35" i="15"/>
  <c r="AR35" i="15"/>
  <c r="AQ35" i="15"/>
  <c r="AU34" i="15"/>
  <c r="AT34" i="15"/>
  <c r="AS34" i="15"/>
  <c r="AR34" i="15"/>
  <c r="AQ34" i="15"/>
  <c r="AU33" i="15"/>
  <c r="AT33" i="15"/>
  <c r="AS33" i="15"/>
  <c r="AR33" i="15"/>
  <c r="AQ33" i="15"/>
  <c r="AU32" i="15"/>
  <c r="AT32" i="15"/>
  <c r="AS32" i="15"/>
  <c r="AR32" i="15"/>
  <c r="AQ32" i="15"/>
  <c r="AU31" i="15"/>
  <c r="AT31" i="15"/>
  <c r="AS31" i="15"/>
  <c r="AR31" i="15"/>
  <c r="AQ31" i="15"/>
  <c r="AU30" i="15"/>
  <c r="AT30" i="15"/>
  <c r="AS30" i="15"/>
  <c r="AR30" i="15"/>
  <c r="AQ30" i="15"/>
  <c r="AU29" i="15"/>
  <c r="AT29" i="15"/>
  <c r="AS29" i="15"/>
  <c r="AR29" i="15"/>
  <c r="AQ29" i="15"/>
  <c r="AU28" i="15"/>
  <c r="AT28" i="15"/>
  <c r="AS28" i="15"/>
  <c r="AR28" i="15"/>
  <c r="AQ28" i="15"/>
  <c r="AU27" i="15"/>
  <c r="AT27" i="15"/>
  <c r="AS27" i="15"/>
  <c r="AR27" i="15"/>
  <c r="AQ27" i="15"/>
  <c r="AU26" i="15"/>
  <c r="AT26" i="15"/>
  <c r="AS26" i="15"/>
  <c r="AR26" i="15"/>
  <c r="AQ26" i="15"/>
  <c r="AU25" i="15"/>
  <c r="AT25" i="15"/>
  <c r="AS25" i="15"/>
  <c r="AR25" i="15"/>
  <c r="AQ25" i="15"/>
  <c r="AU24" i="15"/>
  <c r="AT24" i="15"/>
  <c r="AS24" i="15"/>
  <c r="AR24" i="15"/>
  <c r="AQ24" i="15"/>
  <c r="AU23" i="15"/>
  <c r="AT23" i="15"/>
  <c r="AS23" i="15"/>
  <c r="AR23" i="15"/>
  <c r="AQ23" i="15"/>
  <c r="AU22" i="15"/>
  <c r="AT22" i="15"/>
  <c r="AS22" i="15"/>
  <c r="AR22" i="15"/>
  <c r="AQ22" i="15"/>
  <c r="AU21" i="15"/>
  <c r="AT21" i="15"/>
  <c r="AS21" i="15"/>
  <c r="AR21" i="15"/>
  <c r="AQ21" i="15"/>
  <c r="AU20" i="15"/>
  <c r="AT20" i="15"/>
  <c r="AS20" i="15"/>
  <c r="AR20" i="15"/>
  <c r="AQ20" i="15"/>
  <c r="AU19" i="15"/>
  <c r="AT19" i="15"/>
  <c r="AS19" i="15"/>
  <c r="AR19" i="15"/>
  <c r="AQ19" i="15"/>
  <c r="AU18" i="15"/>
  <c r="AT18" i="15"/>
  <c r="AS18" i="15"/>
  <c r="AR18" i="15"/>
  <c r="AQ18" i="15"/>
  <c r="AU17" i="15"/>
  <c r="AT17" i="15"/>
  <c r="AS17" i="15"/>
  <c r="AR17" i="15"/>
  <c r="AQ17" i="15"/>
  <c r="AU16" i="15"/>
  <c r="AT16" i="15"/>
  <c r="AS16" i="15"/>
  <c r="AR16" i="15"/>
  <c r="AQ16" i="15"/>
  <c r="BJ197" i="15"/>
  <c r="BI197" i="15"/>
  <c r="BH197" i="15"/>
  <c r="BG197" i="15"/>
  <c r="BF197" i="15"/>
  <c r="BJ196" i="15"/>
  <c r="BI196" i="15"/>
  <c r="BH196" i="15"/>
  <c r="BG196" i="15"/>
  <c r="BF196" i="15"/>
  <c r="BJ195" i="15"/>
  <c r="BI195" i="15"/>
  <c r="BH195" i="15"/>
  <c r="BG195" i="15"/>
  <c r="BF195" i="15"/>
  <c r="BJ194" i="15"/>
  <c r="BI194" i="15"/>
  <c r="BH194" i="15"/>
  <c r="BG194" i="15"/>
  <c r="BF194" i="15"/>
  <c r="BJ193" i="15"/>
  <c r="BI193" i="15"/>
  <c r="BH193" i="15"/>
  <c r="BG193" i="15"/>
  <c r="BF193" i="15"/>
  <c r="BJ192" i="15"/>
  <c r="BI192" i="15"/>
  <c r="BH192" i="15"/>
  <c r="BG192" i="15"/>
  <c r="BF192" i="15"/>
  <c r="BJ191" i="15"/>
  <c r="BI191" i="15"/>
  <c r="BH191" i="15"/>
  <c r="BG191" i="15"/>
  <c r="BF191" i="15"/>
  <c r="BJ190" i="15"/>
  <c r="BI190" i="15"/>
  <c r="BH190" i="15"/>
  <c r="BG190" i="15"/>
  <c r="BF190" i="15"/>
  <c r="BJ189" i="15"/>
  <c r="BI189" i="15"/>
  <c r="BH189" i="15"/>
  <c r="BG189" i="15"/>
  <c r="BF189" i="15"/>
  <c r="BJ188" i="15"/>
  <c r="BI188" i="15"/>
  <c r="BH188" i="15"/>
  <c r="BG188" i="15"/>
  <c r="BF188" i="15"/>
  <c r="BJ187" i="15"/>
  <c r="BI187" i="15"/>
  <c r="BH187" i="15"/>
  <c r="BG187" i="15"/>
  <c r="BF187" i="15"/>
  <c r="BJ186" i="15"/>
  <c r="BI186" i="15"/>
  <c r="BH186" i="15"/>
  <c r="BG186" i="15"/>
  <c r="BF186" i="15"/>
  <c r="BJ185" i="15"/>
  <c r="BI185" i="15"/>
  <c r="BH185" i="15"/>
  <c r="BG185" i="15"/>
  <c r="BF185" i="15"/>
  <c r="BJ184" i="15"/>
  <c r="BI184" i="15"/>
  <c r="BH184" i="15"/>
  <c r="BG184" i="15"/>
  <c r="BF184" i="15"/>
  <c r="BJ183" i="15"/>
  <c r="BI183" i="15"/>
  <c r="BH183" i="15"/>
  <c r="BG183" i="15"/>
  <c r="BF183" i="15"/>
  <c r="BJ182" i="15"/>
  <c r="BI182" i="15"/>
  <c r="BH182" i="15"/>
  <c r="BG182" i="15"/>
  <c r="BF182" i="15"/>
  <c r="BJ181" i="15"/>
  <c r="BI181" i="15"/>
  <c r="BH181" i="15"/>
  <c r="BG181" i="15"/>
  <c r="BF181" i="15"/>
  <c r="BJ180" i="15"/>
  <c r="BI180" i="15"/>
  <c r="BH180" i="15"/>
  <c r="BG180" i="15"/>
  <c r="BF180" i="15"/>
  <c r="BJ179" i="15"/>
  <c r="BI179" i="15"/>
  <c r="BH179" i="15"/>
  <c r="BG179" i="15"/>
  <c r="BF179" i="15"/>
  <c r="BJ178" i="15"/>
  <c r="BI178" i="15"/>
  <c r="BH178" i="15"/>
  <c r="BG178" i="15"/>
  <c r="BF178" i="15"/>
  <c r="BJ177" i="15"/>
  <c r="BI177" i="15"/>
  <c r="BH177" i="15"/>
  <c r="BG177" i="15"/>
  <c r="BF177" i="15"/>
  <c r="BJ176" i="15"/>
  <c r="BI176" i="15"/>
  <c r="BH176" i="15"/>
  <c r="BG176" i="15"/>
  <c r="BF176" i="15"/>
  <c r="BJ175" i="15"/>
  <c r="BI175" i="15"/>
  <c r="BH175" i="15"/>
  <c r="BG175" i="15"/>
  <c r="BF175" i="15"/>
  <c r="BJ174" i="15"/>
  <c r="BI174" i="15"/>
  <c r="BH174" i="15"/>
  <c r="BG174" i="15"/>
  <c r="BF174" i="15"/>
  <c r="BJ173" i="15"/>
  <c r="BI173" i="15"/>
  <c r="BH173" i="15"/>
  <c r="BG173" i="15"/>
  <c r="BF173" i="15"/>
  <c r="BJ172" i="15"/>
  <c r="BI172" i="15"/>
  <c r="BH172" i="15"/>
  <c r="BG172" i="15"/>
  <c r="BF172" i="15"/>
  <c r="BJ171" i="15"/>
  <c r="BI171" i="15"/>
  <c r="BH171" i="15"/>
  <c r="BG171" i="15"/>
  <c r="BF171" i="15"/>
  <c r="BJ170" i="15"/>
  <c r="BI170" i="15"/>
  <c r="BH170" i="15"/>
  <c r="BG170" i="15"/>
  <c r="BF170" i="15"/>
  <c r="BJ169" i="15"/>
  <c r="BI169" i="15"/>
  <c r="BH169" i="15"/>
  <c r="BG169" i="15"/>
  <c r="BF169" i="15"/>
  <c r="BJ168" i="15"/>
  <c r="BI168" i="15"/>
  <c r="BH168" i="15"/>
  <c r="BG168" i="15"/>
  <c r="BF168" i="15"/>
  <c r="BJ167" i="15"/>
  <c r="BI167" i="15"/>
  <c r="BH167" i="15"/>
  <c r="BG167" i="15"/>
  <c r="BF167" i="15"/>
  <c r="BJ166" i="15"/>
  <c r="BI166" i="15"/>
  <c r="BH166" i="15"/>
  <c r="BG166" i="15"/>
  <c r="BF166" i="15"/>
  <c r="BJ165" i="15"/>
  <c r="BI165" i="15"/>
  <c r="BH165" i="15"/>
  <c r="BG165" i="15"/>
  <c r="BF165" i="15"/>
  <c r="BJ164" i="15"/>
  <c r="BI164" i="15"/>
  <c r="BH164" i="15"/>
  <c r="BG164" i="15"/>
  <c r="BF164" i="15"/>
  <c r="BJ163" i="15"/>
  <c r="BI163" i="15"/>
  <c r="BH163" i="15"/>
  <c r="BG163" i="15"/>
  <c r="BF163" i="15"/>
  <c r="BJ162" i="15"/>
  <c r="BI162" i="15"/>
  <c r="BH162" i="15"/>
  <c r="BG162" i="15"/>
  <c r="BF162" i="15"/>
  <c r="BJ161" i="15"/>
  <c r="BI161" i="15"/>
  <c r="BH161" i="15"/>
  <c r="BG161" i="15"/>
  <c r="BF161" i="15"/>
  <c r="BJ160" i="15"/>
  <c r="BI160" i="15"/>
  <c r="BH160" i="15"/>
  <c r="BG160" i="15"/>
  <c r="BF160" i="15"/>
  <c r="BJ159" i="15"/>
  <c r="BI159" i="15"/>
  <c r="BH159" i="15"/>
  <c r="BG159" i="15"/>
  <c r="BF159" i="15"/>
  <c r="BJ158" i="15"/>
  <c r="BI158" i="15"/>
  <c r="BH158" i="15"/>
  <c r="BG158" i="15"/>
  <c r="BF158" i="15"/>
  <c r="BJ157" i="15"/>
  <c r="BI157" i="15"/>
  <c r="BH157" i="15"/>
  <c r="BG157" i="15"/>
  <c r="BF157" i="15"/>
  <c r="BJ156" i="15"/>
  <c r="BI156" i="15"/>
  <c r="BH156" i="15"/>
  <c r="BG156" i="15"/>
  <c r="BF156" i="15"/>
  <c r="BJ155" i="15"/>
  <c r="BI155" i="15"/>
  <c r="BH155" i="15"/>
  <c r="BG155" i="15"/>
  <c r="BF155" i="15"/>
  <c r="BJ154" i="15"/>
  <c r="BI154" i="15"/>
  <c r="BH154" i="15"/>
  <c r="BG154" i="15"/>
  <c r="BF154" i="15"/>
  <c r="BJ153" i="15"/>
  <c r="BI153" i="15"/>
  <c r="BH153" i="15"/>
  <c r="BG153" i="15"/>
  <c r="BF153" i="15"/>
  <c r="BJ152" i="15"/>
  <c r="BI152" i="15"/>
  <c r="BH152" i="15"/>
  <c r="BG152" i="15"/>
  <c r="BF152" i="15"/>
  <c r="BJ151" i="15"/>
  <c r="BI151" i="15"/>
  <c r="BH151" i="15"/>
  <c r="BG151" i="15"/>
  <c r="BF151" i="15"/>
  <c r="BJ150" i="15"/>
  <c r="BI150" i="15"/>
  <c r="BH150" i="15"/>
  <c r="BG150" i="15"/>
  <c r="BF150" i="15"/>
  <c r="BJ149" i="15"/>
  <c r="BI149" i="15"/>
  <c r="BH149" i="15"/>
  <c r="BG149" i="15"/>
  <c r="BF149" i="15"/>
  <c r="BJ148" i="15"/>
  <c r="BI148" i="15"/>
  <c r="BH148" i="15"/>
  <c r="BG148" i="15"/>
  <c r="BF148" i="15"/>
  <c r="BJ147" i="15"/>
  <c r="BI147" i="15"/>
  <c r="BH147" i="15"/>
  <c r="BG147" i="15"/>
  <c r="BF147" i="15"/>
  <c r="BJ146" i="15"/>
  <c r="BI146" i="15"/>
  <c r="BH146" i="15"/>
  <c r="BG146" i="15"/>
  <c r="BF146" i="15"/>
  <c r="BJ145" i="15"/>
  <c r="BI145" i="15"/>
  <c r="BH145" i="15"/>
  <c r="BG145" i="15"/>
  <c r="BF145" i="15"/>
  <c r="BJ144" i="15"/>
  <c r="BI144" i="15"/>
  <c r="BH144" i="15"/>
  <c r="BG144" i="15"/>
  <c r="BF144" i="15"/>
  <c r="BJ143" i="15"/>
  <c r="BI143" i="15"/>
  <c r="BH143" i="15"/>
  <c r="BG143" i="15"/>
  <c r="BF143" i="15"/>
  <c r="BJ142" i="15"/>
  <c r="BI142" i="15"/>
  <c r="BH142" i="15"/>
  <c r="BG142" i="15"/>
  <c r="BF142" i="15"/>
  <c r="BJ141" i="15"/>
  <c r="BI141" i="15"/>
  <c r="BH141" i="15"/>
  <c r="BG141" i="15"/>
  <c r="BF141" i="15"/>
  <c r="BJ140" i="15"/>
  <c r="BI140" i="15"/>
  <c r="BH140" i="15"/>
  <c r="BG140" i="15"/>
  <c r="BF140" i="15"/>
  <c r="BJ139" i="15"/>
  <c r="BI139" i="15"/>
  <c r="BH139" i="15"/>
  <c r="BG139" i="15"/>
  <c r="BF139" i="15"/>
  <c r="BJ138" i="15"/>
  <c r="BI138" i="15"/>
  <c r="BH138" i="15"/>
  <c r="BG138" i="15"/>
  <c r="BF138" i="15"/>
  <c r="BJ137" i="15"/>
  <c r="BI137" i="15"/>
  <c r="BH137" i="15"/>
  <c r="BG137" i="15"/>
  <c r="BF137" i="15"/>
  <c r="BJ136" i="15"/>
  <c r="BI136" i="15"/>
  <c r="BH136" i="15"/>
  <c r="BG136" i="15"/>
  <c r="BF136" i="15"/>
  <c r="BJ135" i="15"/>
  <c r="BI135" i="15"/>
  <c r="BH135" i="15"/>
  <c r="BG135" i="15"/>
  <c r="BF135" i="15"/>
  <c r="BJ134" i="15"/>
  <c r="BI134" i="15"/>
  <c r="BH134" i="15"/>
  <c r="BG134" i="15"/>
  <c r="BF134" i="15"/>
  <c r="BJ133" i="15"/>
  <c r="BI133" i="15"/>
  <c r="BH133" i="15"/>
  <c r="BG133" i="15"/>
  <c r="BF133" i="15"/>
  <c r="BJ132" i="15"/>
  <c r="BI132" i="15"/>
  <c r="BH132" i="15"/>
  <c r="BG132" i="15"/>
  <c r="BF132" i="15"/>
  <c r="BJ131" i="15"/>
  <c r="BI131" i="15"/>
  <c r="BH131" i="15"/>
  <c r="BG131" i="15"/>
  <c r="BF131" i="15"/>
  <c r="BJ130" i="15"/>
  <c r="BI130" i="15"/>
  <c r="BH130" i="15"/>
  <c r="BG130" i="15"/>
  <c r="BF130" i="15"/>
  <c r="BJ129" i="15"/>
  <c r="BI129" i="15"/>
  <c r="BH129" i="15"/>
  <c r="BG129" i="15"/>
  <c r="BF129" i="15"/>
  <c r="BJ128" i="15"/>
  <c r="BI128" i="15"/>
  <c r="BH128" i="15"/>
  <c r="BG128" i="15"/>
  <c r="BF128" i="15"/>
  <c r="BJ127" i="15"/>
  <c r="BI127" i="15"/>
  <c r="BH127" i="15"/>
  <c r="BG127" i="15"/>
  <c r="BF127" i="15"/>
  <c r="BJ126" i="15"/>
  <c r="BI126" i="15"/>
  <c r="BH126" i="15"/>
  <c r="BG126" i="15"/>
  <c r="BF126" i="15"/>
  <c r="BJ125" i="15"/>
  <c r="BI125" i="15"/>
  <c r="BH125" i="15"/>
  <c r="BG125" i="15"/>
  <c r="BF125" i="15"/>
  <c r="BJ124" i="15"/>
  <c r="BI124" i="15"/>
  <c r="BH124" i="15"/>
  <c r="BG124" i="15"/>
  <c r="BF124" i="15"/>
  <c r="BJ123" i="15"/>
  <c r="BI123" i="15"/>
  <c r="BH123" i="15"/>
  <c r="BG123" i="15"/>
  <c r="BF123" i="15"/>
  <c r="BJ122" i="15"/>
  <c r="BI122" i="15"/>
  <c r="BH122" i="15"/>
  <c r="BG122" i="15"/>
  <c r="BF122" i="15"/>
  <c r="BJ121" i="15"/>
  <c r="BI121" i="15"/>
  <c r="BH121" i="15"/>
  <c r="BG121" i="15"/>
  <c r="BF121" i="15"/>
  <c r="BJ120" i="15"/>
  <c r="BI120" i="15"/>
  <c r="BH120" i="15"/>
  <c r="BG120" i="15"/>
  <c r="BF120" i="15"/>
  <c r="BJ119" i="15"/>
  <c r="BI119" i="15"/>
  <c r="BH119" i="15"/>
  <c r="BG119" i="15"/>
  <c r="BF119" i="15"/>
  <c r="BJ118" i="15"/>
  <c r="BI118" i="15"/>
  <c r="BH118" i="15"/>
  <c r="BG118" i="15"/>
  <c r="BF118" i="15"/>
  <c r="BJ117" i="15"/>
  <c r="BI117" i="15"/>
  <c r="BH117" i="15"/>
  <c r="BG117" i="15"/>
  <c r="BF117" i="15"/>
  <c r="BJ116" i="15"/>
  <c r="BI116" i="15"/>
  <c r="BH116" i="15"/>
  <c r="BG116" i="15"/>
  <c r="BF116" i="15"/>
  <c r="BJ115" i="15"/>
  <c r="BI115" i="15"/>
  <c r="BH115" i="15"/>
  <c r="BG115" i="15"/>
  <c r="BF115" i="15"/>
  <c r="BJ114" i="15"/>
  <c r="BI114" i="15"/>
  <c r="BH114" i="15"/>
  <c r="BG114" i="15"/>
  <c r="BF114" i="15"/>
  <c r="BJ113" i="15"/>
  <c r="BI113" i="15"/>
  <c r="BH113" i="15"/>
  <c r="BG113" i="15"/>
  <c r="BF113" i="15"/>
  <c r="BJ112" i="15"/>
  <c r="BI112" i="15"/>
  <c r="BH112" i="15"/>
  <c r="BG112" i="15"/>
  <c r="BF112" i="15"/>
  <c r="BJ111" i="15"/>
  <c r="BI111" i="15"/>
  <c r="BH111" i="15"/>
  <c r="BG111" i="15"/>
  <c r="BF111" i="15"/>
  <c r="BJ110" i="15"/>
  <c r="BI110" i="15"/>
  <c r="BH110" i="15"/>
  <c r="BG110" i="15"/>
  <c r="BF110" i="15"/>
  <c r="BJ109" i="15"/>
  <c r="BI109" i="15"/>
  <c r="BH109" i="15"/>
  <c r="BG109" i="15"/>
  <c r="BF109" i="15"/>
  <c r="BJ108" i="15"/>
  <c r="BI108" i="15"/>
  <c r="BH108" i="15"/>
  <c r="BG108" i="15"/>
  <c r="BF108" i="15"/>
  <c r="BJ107" i="15"/>
  <c r="BI107" i="15"/>
  <c r="BH107" i="15"/>
  <c r="BG107" i="15"/>
  <c r="BF107" i="15"/>
  <c r="BJ106" i="15"/>
  <c r="BI106" i="15"/>
  <c r="BH106" i="15"/>
  <c r="BG106" i="15"/>
  <c r="BF106" i="15"/>
  <c r="BJ105" i="15"/>
  <c r="BI105" i="15"/>
  <c r="BH105" i="15"/>
  <c r="BG105" i="15"/>
  <c r="BF105" i="15"/>
  <c r="BJ104" i="15"/>
  <c r="BI104" i="15"/>
  <c r="BH104" i="15"/>
  <c r="BG104" i="15"/>
  <c r="BF104" i="15"/>
  <c r="BJ103" i="15"/>
  <c r="BI103" i="15"/>
  <c r="BH103" i="15"/>
  <c r="BG103" i="15"/>
  <c r="BF103" i="15"/>
  <c r="BJ102" i="15"/>
  <c r="BI102" i="15"/>
  <c r="BH102" i="15"/>
  <c r="BG102" i="15"/>
  <c r="BF102" i="15"/>
  <c r="BJ101" i="15"/>
  <c r="BI101" i="15"/>
  <c r="BH101" i="15"/>
  <c r="BG101" i="15"/>
  <c r="BF101" i="15"/>
  <c r="BJ100" i="15"/>
  <c r="BI100" i="15"/>
  <c r="BH100" i="15"/>
  <c r="BG100" i="15"/>
  <c r="BF100" i="15"/>
  <c r="BJ99" i="15"/>
  <c r="BI99" i="15"/>
  <c r="BH99" i="15"/>
  <c r="BG99" i="15"/>
  <c r="BF99" i="15"/>
  <c r="BJ98" i="15"/>
  <c r="BI98" i="15"/>
  <c r="BH98" i="15"/>
  <c r="BG98" i="15"/>
  <c r="BF98" i="15"/>
  <c r="BJ97" i="15"/>
  <c r="BI97" i="15"/>
  <c r="BH97" i="15"/>
  <c r="BG97" i="15"/>
  <c r="BF97" i="15"/>
  <c r="BJ96" i="15"/>
  <c r="BI96" i="15"/>
  <c r="BH96" i="15"/>
  <c r="BG96" i="15"/>
  <c r="BF96" i="15"/>
  <c r="BJ95" i="15"/>
  <c r="BI95" i="15"/>
  <c r="BH95" i="15"/>
  <c r="BG95" i="15"/>
  <c r="BF95" i="15"/>
  <c r="BJ94" i="15"/>
  <c r="BI94" i="15"/>
  <c r="BH94" i="15"/>
  <c r="BG94" i="15"/>
  <c r="BF94" i="15"/>
  <c r="BJ93" i="15"/>
  <c r="BI93" i="15"/>
  <c r="BH93" i="15"/>
  <c r="BG93" i="15"/>
  <c r="BF93" i="15"/>
  <c r="BJ92" i="15"/>
  <c r="BI92" i="15"/>
  <c r="BH92" i="15"/>
  <c r="BG92" i="15"/>
  <c r="BF92" i="15"/>
  <c r="BJ91" i="15"/>
  <c r="BI91" i="15"/>
  <c r="BH91" i="15"/>
  <c r="BG91" i="15"/>
  <c r="BF91" i="15"/>
  <c r="BJ90" i="15"/>
  <c r="BI90" i="15"/>
  <c r="BH90" i="15"/>
  <c r="BG90" i="15"/>
  <c r="BF90" i="15"/>
  <c r="BJ89" i="15"/>
  <c r="BI89" i="15"/>
  <c r="BH89" i="15"/>
  <c r="BG89" i="15"/>
  <c r="BF89" i="15"/>
  <c r="BJ88" i="15"/>
  <c r="BI88" i="15"/>
  <c r="BH88" i="15"/>
  <c r="BG88" i="15"/>
  <c r="BF88" i="15"/>
  <c r="BJ87" i="15"/>
  <c r="BI87" i="15"/>
  <c r="BH87" i="15"/>
  <c r="BG87" i="15"/>
  <c r="BF87" i="15"/>
  <c r="BJ86" i="15"/>
  <c r="BI86" i="15"/>
  <c r="BH86" i="15"/>
  <c r="BG86" i="15"/>
  <c r="BF86" i="15"/>
  <c r="BJ85" i="15"/>
  <c r="BI85" i="15"/>
  <c r="BH85" i="15"/>
  <c r="BG85" i="15"/>
  <c r="BF85" i="15"/>
  <c r="BJ84" i="15"/>
  <c r="BI84" i="15"/>
  <c r="BH84" i="15"/>
  <c r="BG84" i="15"/>
  <c r="BF84" i="15"/>
  <c r="BJ83" i="15"/>
  <c r="BI83" i="15"/>
  <c r="BH83" i="15"/>
  <c r="BG83" i="15"/>
  <c r="BF83" i="15"/>
  <c r="BJ82" i="15"/>
  <c r="BI82" i="15"/>
  <c r="BH82" i="15"/>
  <c r="BG82" i="15"/>
  <c r="BF82" i="15"/>
  <c r="BJ81" i="15"/>
  <c r="BI81" i="15"/>
  <c r="BH81" i="15"/>
  <c r="BG81" i="15"/>
  <c r="BF81" i="15"/>
  <c r="BJ80" i="15"/>
  <c r="BI80" i="15"/>
  <c r="BH80" i="15"/>
  <c r="BG80" i="15"/>
  <c r="BF80" i="15"/>
  <c r="BJ79" i="15"/>
  <c r="BI79" i="15"/>
  <c r="BH79" i="15"/>
  <c r="BG79" i="15"/>
  <c r="BF79" i="15"/>
  <c r="BJ78" i="15"/>
  <c r="BI78" i="15"/>
  <c r="BH78" i="15"/>
  <c r="BG78" i="15"/>
  <c r="BF78" i="15"/>
  <c r="BJ77" i="15"/>
  <c r="BI77" i="15"/>
  <c r="BH77" i="15"/>
  <c r="BG77" i="15"/>
  <c r="BF77" i="15"/>
  <c r="BJ76" i="15"/>
  <c r="BI76" i="15"/>
  <c r="BH76" i="15"/>
  <c r="BG76" i="15"/>
  <c r="BF76" i="15"/>
  <c r="BJ75" i="15"/>
  <c r="BI75" i="15"/>
  <c r="BH75" i="15"/>
  <c r="BG75" i="15"/>
  <c r="BF75" i="15"/>
  <c r="BJ74" i="15"/>
  <c r="BI74" i="15"/>
  <c r="BH74" i="15"/>
  <c r="BG74" i="15"/>
  <c r="BF74" i="15"/>
  <c r="BJ73" i="15"/>
  <c r="BI73" i="15"/>
  <c r="BH73" i="15"/>
  <c r="BG73" i="15"/>
  <c r="BF73" i="15"/>
  <c r="BJ72" i="15"/>
  <c r="BI72" i="15"/>
  <c r="BH72" i="15"/>
  <c r="BG72" i="15"/>
  <c r="BF72" i="15"/>
  <c r="BJ71" i="15"/>
  <c r="BI71" i="15"/>
  <c r="BH71" i="15"/>
  <c r="BG71" i="15"/>
  <c r="BF71" i="15"/>
  <c r="BJ70" i="15"/>
  <c r="BI70" i="15"/>
  <c r="BH70" i="15"/>
  <c r="BG70" i="15"/>
  <c r="BF70" i="15"/>
  <c r="BJ69" i="15"/>
  <c r="BI69" i="15"/>
  <c r="BH69" i="15"/>
  <c r="BG69" i="15"/>
  <c r="BF69" i="15"/>
  <c r="BJ68" i="15"/>
  <c r="BI68" i="15"/>
  <c r="BH68" i="15"/>
  <c r="BG68" i="15"/>
  <c r="BF68" i="15"/>
  <c r="BJ67" i="15"/>
  <c r="BI67" i="15"/>
  <c r="BH67" i="15"/>
  <c r="BG67" i="15"/>
  <c r="BF67" i="15"/>
  <c r="BJ66" i="15"/>
  <c r="BI66" i="15"/>
  <c r="BH66" i="15"/>
  <c r="BG66" i="15"/>
  <c r="BF66" i="15"/>
  <c r="BJ65" i="15"/>
  <c r="BI65" i="15"/>
  <c r="BH65" i="15"/>
  <c r="BG65" i="15"/>
  <c r="BF65" i="15"/>
  <c r="BJ64" i="15"/>
  <c r="BI64" i="15"/>
  <c r="BH64" i="15"/>
  <c r="BG64" i="15"/>
  <c r="BF64" i="15"/>
  <c r="BJ63" i="15"/>
  <c r="BI63" i="15"/>
  <c r="BH63" i="15"/>
  <c r="BG63" i="15"/>
  <c r="BF63" i="15"/>
  <c r="BJ62" i="15"/>
  <c r="BI62" i="15"/>
  <c r="BH62" i="15"/>
  <c r="BG62" i="15"/>
  <c r="BF62" i="15"/>
  <c r="BJ61" i="15"/>
  <c r="BI61" i="15"/>
  <c r="BH61" i="15"/>
  <c r="BG61" i="15"/>
  <c r="BF61" i="15"/>
  <c r="BJ60" i="15"/>
  <c r="BI60" i="15"/>
  <c r="BH60" i="15"/>
  <c r="BG60" i="15"/>
  <c r="BF60" i="15"/>
  <c r="BJ59" i="15"/>
  <c r="BI59" i="15"/>
  <c r="BH59" i="15"/>
  <c r="BG59" i="15"/>
  <c r="BF59" i="15"/>
  <c r="BJ58" i="15"/>
  <c r="BI58" i="15"/>
  <c r="BH58" i="15"/>
  <c r="BG58" i="15"/>
  <c r="BF58" i="15"/>
  <c r="BJ57" i="15"/>
  <c r="BI57" i="15"/>
  <c r="BH57" i="15"/>
  <c r="BG57" i="15"/>
  <c r="BF57" i="15"/>
  <c r="BJ56" i="15"/>
  <c r="BI56" i="15"/>
  <c r="BH56" i="15"/>
  <c r="BG56" i="15"/>
  <c r="BF56" i="15"/>
  <c r="BJ55" i="15"/>
  <c r="BI55" i="15"/>
  <c r="BH55" i="15"/>
  <c r="BG55" i="15"/>
  <c r="BF55" i="15"/>
  <c r="BJ54" i="15"/>
  <c r="BI54" i="15"/>
  <c r="BH54" i="15"/>
  <c r="BG54" i="15"/>
  <c r="BF54" i="15"/>
  <c r="BJ53" i="15"/>
  <c r="BI53" i="15"/>
  <c r="BH53" i="15"/>
  <c r="BG53" i="15"/>
  <c r="BF53" i="15"/>
  <c r="BJ52" i="15"/>
  <c r="BI52" i="15"/>
  <c r="BH52" i="15"/>
  <c r="BG52" i="15"/>
  <c r="BF52" i="15"/>
  <c r="BJ51" i="15"/>
  <c r="BI51" i="15"/>
  <c r="BH51" i="15"/>
  <c r="BG51" i="15"/>
  <c r="BF51" i="15"/>
  <c r="BJ50" i="15"/>
  <c r="BI50" i="15"/>
  <c r="BH50" i="15"/>
  <c r="BG50" i="15"/>
  <c r="BF50" i="15"/>
  <c r="BJ49" i="15"/>
  <c r="BI49" i="15"/>
  <c r="BH49" i="15"/>
  <c r="BG49" i="15"/>
  <c r="BF49" i="15"/>
  <c r="BJ48" i="15"/>
  <c r="BI48" i="15"/>
  <c r="BH48" i="15"/>
  <c r="BG48" i="15"/>
  <c r="BF48" i="15"/>
  <c r="BJ47" i="15"/>
  <c r="BI47" i="15"/>
  <c r="BH47" i="15"/>
  <c r="BG47" i="15"/>
  <c r="BF47" i="15"/>
  <c r="BJ46" i="15"/>
  <c r="BI46" i="15"/>
  <c r="BH46" i="15"/>
  <c r="BG46" i="15"/>
  <c r="BF46" i="15"/>
  <c r="BJ45" i="15"/>
  <c r="BI45" i="15"/>
  <c r="BH45" i="15"/>
  <c r="BG45" i="15"/>
  <c r="BF45" i="15"/>
  <c r="BJ44" i="15"/>
  <c r="BI44" i="15"/>
  <c r="BH44" i="15"/>
  <c r="BG44" i="15"/>
  <c r="BF44" i="15"/>
  <c r="BJ43" i="15"/>
  <c r="BI43" i="15"/>
  <c r="BH43" i="15"/>
  <c r="BG43" i="15"/>
  <c r="BF43" i="15"/>
  <c r="BJ42" i="15"/>
  <c r="BI42" i="15"/>
  <c r="BH42" i="15"/>
  <c r="BG42" i="15"/>
  <c r="BF42" i="15"/>
  <c r="BJ41" i="15"/>
  <c r="BI41" i="15"/>
  <c r="BH41" i="15"/>
  <c r="BG41" i="15"/>
  <c r="BF41" i="15"/>
  <c r="BJ40" i="15"/>
  <c r="BI40" i="15"/>
  <c r="BH40" i="15"/>
  <c r="BG40" i="15"/>
  <c r="BF40" i="15"/>
  <c r="BJ39" i="15"/>
  <c r="BI39" i="15"/>
  <c r="BH39" i="15"/>
  <c r="BG39" i="15"/>
  <c r="BF39" i="15"/>
  <c r="BJ38" i="15"/>
  <c r="BI38" i="15"/>
  <c r="BH38" i="15"/>
  <c r="BG38" i="15"/>
  <c r="BF38" i="15"/>
  <c r="BJ37" i="15"/>
  <c r="BI37" i="15"/>
  <c r="BH37" i="15"/>
  <c r="BG37" i="15"/>
  <c r="BF37" i="15"/>
  <c r="BJ36" i="15"/>
  <c r="BI36" i="15"/>
  <c r="BH36" i="15"/>
  <c r="BG36" i="15"/>
  <c r="BF36" i="15"/>
  <c r="BJ35" i="15"/>
  <c r="BI35" i="15"/>
  <c r="BH35" i="15"/>
  <c r="BG35" i="15"/>
  <c r="BF35" i="15"/>
  <c r="BJ34" i="15"/>
  <c r="BI34" i="15"/>
  <c r="BH34" i="15"/>
  <c r="BG34" i="15"/>
  <c r="BF34" i="15"/>
  <c r="BJ33" i="15"/>
  <c r="BI33" i="15"/>
  <c r="BH33" i="15"/>
  <c r="BG33" i="15"/>
  <c r="BF33" i="15"/>
  <c r="BJ32" i="15"/>
  <c r="BI32" i="15"/>
  <c r="BH32" i="15"/>
  <c r="BG32" i="15"/>
  <c r="BF32" i="15"/>
  <c r="BJ31" i="15"/>
  <c r="BI31" i="15"/>
  <c r="BH31" i="15"/>
  <c r="BG31" i="15"/>
  <c r="BF31" i="15"/>
  <c r="BJ30" i="15"/>
  <c r="BI30" i="15"/>
  <c r="BH30" i="15"/>
  <c r="BG30" i="15"/>
  <c r="BF30" i="15"/>
  <c r="BJ29" i="15"/>
  <c r="BI29" i="15"/>
  <c r="BH29" i="15"/>
  <c r="BG29" i="15"/>
  <c r="BF29" i="15"/>
  <c r="BJ28" i="15"/>
  <c r="BI28" i="15"/>
  <c r="BH28" i="15"/>
  <c r="BG28" i="15"/>
  <c r="BF28" i="15"/>
  <c r="BJ27" i="15"/>
  <c r="BI27" i="15"/>
  <c r="BH27" i="15"/>
  <c r="BG27" i="15"/>
  <c r="BF27" i="15"/>
  <c r="BJ26" i="15"/>
  <c r="BI26" i="15"/>
  <c r="BH26" i="15"/>
  <c r="BG26" i="15"/>
  <c r="BF26" i="15"/>
  <c r="BJ25" i="15"/>
  <c r="BI25" i="15"/>
  <c r="BH25" i="15"/>
  <c r="BG25" i="15"/>
  <c r="BF25" i="15"/>
  <c r="BJ24" i="15"/>
  <c r="BI24" i="15"/>
  <c r="BH24" i="15"/>
  <c r="BG24" i="15"/>
  <c r="BF24" i="15"/>
  <c r="BJ23" i="15"/>
  <c r="BI23" i="15"/>
  <c r="BH23" i="15"/>
  <c r="BG23" i="15"/>
  <c r="BF23" i="15"/>
  <c r="BJ22" i="15"/>
  <c r="BI22" i="15"/>
  <c r="BH22" i="15"/>
  <c r="BG22" i="15"/>
  <c r="BF22" i="15"/>
  <c r="BJ21" i="15"/>
  <c r="BI21" i="15"/>
  <c r="BH21" i="15"/>
  <c r="BG21" i="15"/>
  <c r="BF21" i="15"/>
  <c r="BJ20" i="15"/>
  <c r="BI20" i="15"/>
  <c r="BH20" i="15"/>
  <c r="BG20" i="15"/>
  <c r="BF20" i="15"/>
  <c r="BJ19" i="15"/>
  <c r="BI19" i="15"/>
  <c r="BH19" i="15"/>
  <c r="BG19" i="15"/>
  <c r="BF19" i="15"/>
  <c r="BJ18" i="15"/>
  <c r="BI18" i="15"/>
  <c r="BH18" i="15"/>
  <c r="BG18" i="15"/>
  <c r="BF18" i="15"/>
  <c r="BJ17" i="15"/>
  <c r="BI17" i="15"/>
  <c r="BH17" i="15"/>
  <c r="BG17" i="15"/>
  <c r="BF17" i="15"/>
  <c r="BI16" i="15"/>
  <c r="BJ16" i="15"/>
  <c r="BH16" i="15"/>
  <c r="BG16" i="15"/>
  <c r="BF16" i="15"/>
  <c r="AN313" i="15"/>
  <c r="AN312" i="15"/>
  <c r="AN311" i="15"/>
  <c r="AN310" i="15"/>
  <c r="AN309" i="15"/>
  <c r="AN308" i="15"/>
  <c r="AN307" i="15"/>
  <c r="AN306" i="15"/>
  <c r="AN305" i="15"/>
  <c r="AN304" i="15"/>
  <c r="AN303" i="15"/>
  <c r="AN302" i="15"/>
  <c r="AN301" i="15"/>
  <c r="AN300" i="15"/>
  <c r="AN299" i="15"/>
  <c r="AN298" i="15"/>
  <c r="AN297" i="15"/>
  <c r="AN296" i="15"/>
  <c r="AN295" i="15"/>
  <c r="AN294" i="15"/>
  <c r="AN293" i="15"/>
  <c r="AN292" i="15"/>
  <c r="AN291" i="15"/>
  <c r="AN290" i="15"/>
  <c r="AN289" i="15"/>
  <c r="AN288" i="15"/>
  <c r="AN287" i="15"/>
  <c r="AN286" i="15"/>
  <c r="AN285" i="15"/>
  <c r="AN284" i="15"/>
  <c r="AN283" i="15"/>
  <c r="AN282" i="15"/>
  <c r="AN281" i="15"/>
  <c r="AN280" i="15"/>
  <c r="AN279" i="15"/>
  <c r="AN278" i="15"/>
  <c r="AN277" i="15"/>
  <c r="AN276" i="15"/>
  <c r="AN275" i="15"/>
  <c r="AN274" i="15"/>
  <c r="AN273" i="15"/>
  <c r="AN272" i="15"/>
  <c r="AN271" i="15"/>
  <c r="AN270" i="15"/>
  <c r="AN269" i="15"/>
  <c r="AN268" i="15"/>
  <c r="AN267" i="15"/>
  <c r="AN266" i="15"/>
  <c r="AN265" i="15"/>
  <c r="AN264" i="15"/>
  <c r="AN263" i="15"/>
  <c r="AN262" i="15"/>
  <c r="AN261" i="15"/>
  <c r="AN260" i="15"/>
  <c r="AN259" i="15"/>
  <c r="AN258" i="15"/>
  <c r="AN257" i="15"/>
  <c r="AN256" i="15"/>
  <c r="AN255" i="15"/>
  <c r="AN254" i="15"/>
  <c r="AN253" i="15"/>
  <c r="AN252" i="15"/>
  <c r="AN251" i="15"/>
  <c r="AN250" i="15"/>
  <c r="AN249" i="15"/>
  <c r="AN248" i="15"/>
  <c r="AN247" i="15"/>
  <c r="AN246" i="15"/>
  <c r="AN245" i="15"/>
  <c r="AN244" i="15"/>
  <c r="AN243" i="15"/>
  <c r="AN242" i="15"/>
  <c r="AN241" i="15"/>
  <c r="AN240" i="15"/>
  <c r="AN239" i="15"/>
  <c r="AN238" i="15"/>
  <c r="AN237" i="15"/>
  <c r="AN236" i="15"/>
  <c r="AN235" i="15"/>
  <c r="AN234" i="15"/>
  <c r="AN233" i="15"/>
  <c r="AN232" i="15"/>
  <c r="AN231" i="15"/>
  <c r="AN230" i="15"/>
  <c r="AN229" i="15"/>
  <c r="AN228" i="15"/>
  <c r="AN227" i="15"/>
  <c r="AN226" i="15"/>
  <c r="AN225" i="15"/>
  <c r="AN224" i="15"/>
  <c r="AN223" i="15"/>
  <c r="AN222" i="15"/>
  <c r="AN221" i="15"/>
  <c r="AN220" i="15"/>
  <c r="AN219" i="15"/>
  <c r="AN218" i="15"/>
  <c r="AN217" i="15"/>
  <c r="AN216" i="15"/>
  <c r="AN215" i="15"/>
  <c r="AN214" i="15"/>
  <c r="AN213" i="15"/>
  <c r="AN212" i="15"/>
  <c r="AN211" i="15"/>
  <c r="AN210" i="15"/>
  <c r="AN209" i="15"/>
  <c r="AN208" i="15"/>
  <c r="AN207" i="15"/>
  <c r="AN206" i="15"/>
  <c r="AN205" i="15"/>
  <c r="AN204" i="15"/>
  <c r="AN203" i="15"/>
  <c r="AN202" i="15"/>
  <c r="AN201" i="15"/>
  <c r="AN200" i="15"/>
  <c r="AN199" i="15"/>
  <c r="AN198" i="15"/>
  <c r="AN197" i="15"/>
  <c r="AN196" i="15"/>
  <c r="AN195" i="15"/>
  <c r="AN194" i="15"/>
  <c r="AN193" i="15"/>
  <c r="AN192" i="15"/>
  <c r="AN191" i="15"/>
  <c r="AN190" i="15"/>
  <c r="AN189" i="15"/>
  <c r="AN188" i="15"/>
  <c r="AN187" i="15"/>
  <c r="AN186" i="15"/>
  <c r="AN185" i="15"/>
  <c r="AN184" i="15"/>
  <c r="AN183" i="15"/>
  <c r="AN182" i="15"/>
  <c r="AN181" i="15"/>
  <c r="AN180" i="15"/>
  <c r="AN179" i="15"/>
  <c r="AN178" i="15"/>
  <c r="AN177" i="15"/>
  <c r="AN176" i="15"/>
  <c r="AN175" i="15"/>
  <c r="AN174" i="15"/>
  <c r="AN173" i="15"/>
  <c r="AN172" i="15"/>
  <c r="AN171" i="15"/>
  <c r="AN170" i="15"/>
  <c r="AN169" i="15"/>
  <c r="AN168" i="15"/>
  <c r="AN167" i="15"/>
  <c r="AN166" i="15"/>
  <c r="AN165" i="15"/>
  <c r="AN164" i="15"/>
  <c r="AN163" i="15"/>
  <c r="AN162" i="15"/>
  <c r="AN161" i="15"/>
  <c r="AN160" i="15"/>
  <c r="AN159" i="15"/>
  <c r="AN158" i="15"/>
  <c r="AN157" i="15"/>
  <c r="AN156" i="15"/>
  <c r="AN155" i="15"/>
  <c r="AN154" i="15"/>
  <c r="AN153" i="15"/>
  <c r="AN152" i="15"/>
  <c r="AN151" i="15"/>
  <c r="AN150" i="15"/>
  <c r="AN149" i="15"/>
  <c r="AN148" i="15"/>
  <c r="AN147" i="15"/>
  <c r="AN146" i="15"/>
  <c r="AN145" i="15"/>
  <c r="AN144" i="15"/>
  <c r="AN143" i="15"/>
  <c r="AN142" i="15"/>
  <c r="AN141" i="15"/>
  <c r="AN140" i="15"/>
  <c r="AN139" i="15"/>
  <c r="AN138" i="15"/>
  <c r="AN137" i="15"/>
  <c r="AN136" i="15"/>
  <c r="AN135" i="15"/>
  <c r="AN134" i="15"/>
  <c r="AN133" i="15"/>
  <c r="AN132" i="15"/>
  <c r="AN131" i="15"/>
  <c r="AN130" i="15"/>
  <c r="AN129" i="15"/>
  <c r="AN128" i="15"/>
  <c r="AN127" i="15"/>
  <c r="AN126" i="15"/>
  <c r="AN125" i="15"/>
  <c r="AN124" i="15"/>
  <c r="AN123" i="15"/>
  <c r="AN122" i="15"/>
  <c r="AN121" i="15"/>
  <c r="AN120" i="15"/>
  <c r="AN119" i="15"/>
  <c r="AN118" i="15"/>
  <c r="AN117" i="15"/>
  <c r="AN116" i="15"/>
  <c r="AN115" i="15"/>
  <c r="AN114" i="15"/>
  <c r="AN113" i="15"/>
  <c r="AN112" i="15"/>
  <c r="AN111" i="15"/>
  <c r="AN110" i="15"/>
  <c r="AN109" i="15"/>
  <c r="AN108" i="15"/>
  <c r="AN107" i="15"/>
  <c r="AN106" i="15"/>
  <c r="AN105" i="15"/>
  <c r="AN104" i="15"/>
  <c r="AN103" i="15"/>
  <c r="AN102" i="15"/>
  <c r="AN101" i="15"/>
  <c r="AN100" i="15"/>
  <c r="AN99" i="15"/>
  <c r="AN98" i="15"/>
  <c r="AN97" i="15"/>
  <c r="AN96" i="15"/>
  <c r="AN95" i="15"/>
  <c r="AN94" i="15"/>
  <c r="AN93" i="15"/>
  <c r="AN92" i="15"/>
  <c r="AN91" i="15"/>
  <c r="AN90" i="15"/>
  <c r="AN89" i="15"/>
  <c r="AN88" i="15"/>
  <c r="AN87" i="15"/>
  <c r="AN86" i="15"/>
  <c r="AN85" i="15"/>
  <c r="AN84" i="15"/>
  <c r="AN83" i="15"/>
  <c r="AN82" i="15"/>
  <c r="AN81" i="15"/>
  <c r="AN80" i="15"/>
  <c r="AN79" i="15"/>
  <c r="AN78" i="15"/>
  <c r="AN77" i="15"/>
  <c r="AN76" i="15"/>
  <c r="AN75" i="15"/>
  <c r="AN74" i="15"/>
  <c r="AN73" i="15"/>
  <c r="AN72" i="15"/>
  <c r="AN71" i="15"/>
  <c r="AN70" i="15"/>
  <c r="AN69" i="15"/>
  <c r="AN68" i="15"/>
  <c r="AN67" i="15"/>
  <c r="AN66" i="15"/>
  <c r="AN65" i="15"/>
  <c r="AN64" i="15"/>
  <c r="AN63" i="15"/>
  <c r="AN62" i="15"/>
  <c r="AN61" i="15"/>
  <c r="AN60" i="15"/>
  <c r="AN59" i="15"/>
  <c r="AN58" i="15"/>
  <c r="AN57" i="15"/>
  <c r="AN56" i="15"/>
  <c r="AN55" i="15"/>
  <c r="AN54" i="15"/>
  <c r="AN53" i="15"/>
  <c r="AN52" i="15"/>
  <c r="AN51" i="15"/>
  <c r="AN50" i="15"/>
  <c r="AN49" i="15"/>
  <c r="AN48" i="15"/>
  <c r="AN47" i="15"/>
  <c r="AN46" i="15"/>
  <c r="AN45" i="15"/>
  <c r="AN44" i="15"/>
  <c r="AN43" i="15"/>
  <c r="AN42" i="15"/>
  <c r="AN41" i="15"/>
  <c r="AN40" i="15"/>
  <c r="AN39" i="15"/>
  <c r="AN38" i="15"/>
  <c r="AN37" i="15"/>
  <c r="AN36" i="15"/>
  <c r="AN35" i="15"/>
  <c r="AN34" i="15"/>
  <c r="AN33" i="15"/>
  <c r="AN32" i="15"/>
  <c r="AN31" i="15"/>
  <c r="AN30" i="15"/>
  <c r="AN29" i="15"/>
  <c r="AN28" i="15"/>
  <c r="AN27" i="15"/>
  <c r="AN26" i="15"/>
  <c r="AN25" i="15"/>
  <c r="AN24" i="15"/>
  <c r="AN23" i="15"/>
  <c r="AN22" i="15"/>
  <c r="AN21" i="15"/>
  <c r="AN20" i="15"/>
  <c r="AN19" i="15"/>
  <c r="AN18" i="15"/>
  <c r="AN17" i="15"/>
  <c r="AN16" i="15"/>
  <c r="E35" i="5"/>
  <c r="F21" i="39" s="1"/>
  <c r="G21" i="39" s="1"/>
  <c r="H21" i="39" s="1"/>
  <c r="I21" i="39" s="1"/>
  <c r="J21" i="39" s="1"/>
  <c r="K21" i="39" s="1"/>
  <c r="L21" i="39" s="1"/>
  <c r="M21" i="39" s="1"/>
  <c r="N21" i="39" s="1"/>
  <c r="O21" i="39" s="1"/>
  <c r="P21" i="39" s="1"/>
  <c r="Q21" i="39" s="1"/>
  <c r="R21" i="39" s="1"/>
  <c r="S21" i="39" s="1"/>
  <c r="T21" i="39" s="1"/>
  <c r="E20" i="5"/>
  <c r="E32" i="8" s="1"/>
  <c r="D17" i="23"/>
  <c r="D18" i="23"/>
  <c r="D19" i="23"/>
  <c r="D20" i="23"/>
  <c r="D21" i="23"/>
  <c r="D22" i="23"/>
  <c r="D23" i="23"/>
  <c r="D24" i="23"/>
  <c r="D25" i="23"/>
  <c r="D26" i="23"/>
  <c r="D27" i="23"/>
  <c r="D28" i="23"/>
  <c r="D29" i="23"/>
  <c r="D30" i="23"/>
  <c r="D33" i="23"/>
  <c r="D34" i="23"/>
  <c r="D35" i="23"/>
  <c r="D36" i="23"/>
  <c r="D37" i="23"/>
  <c r="D38" i="23"/>
  <c r="D39" i="23"/>
  <c r="D40" i="23"/>
  <c r="D41" i="23"/>
  <c r="D42" i="23"/>
  <c r="D43" i="23"/>
  <c r="D44" i="23"/>
  <c r="D45" i="23"/>
  <c r="D46" i="23"/>
  <c r="I33" i="13"/>
  <c r="F24" i="13" s="1"/>
  <c r="G73" i="14"/>
  <c r="F73" i="14"/>
  <c r="C73" i="14"/>
  <c r="G60" i="14"/>
  <c r="F60" i="14"/>
  <c r="C60" i="14"/>
  <c r="E32" i="5"/>
  <c r="F13" i="39"/>
  <c r="E13" i="39" s="1"/>
  <c r="E31" i="5"/>
  <c r="B101" i="16"/>
  <c r="B100" i="16"/>
  <c r="B99" i="16"/>
  <c r="B98" i="16"/>
  <c r="B97" i="16"/>
  <c r="F95" i="16"/>
  <c r="E95" i="16"/>
  <c r="D95" i="16"/>
  <c r="F89" i="16"/>
  <c r="I89" i="16" s="1"/>
  <c r="E89" i="16"/>
  <c r="H89" i="16" s="1"/>
  <c r="D89" i="16"/>
  <c r="G89" i="16" s="1"/>
  <c r="F88" i="16"/>
  <c r="I88" i="16" s="1"/>
  <c r="E88" i="16"/>
  <c r="H88" i="16" s="1"/>
  <c r="C72" i="16" s="1"/>
  <c r="D71" i="16" s="1"/>
  <c r="D88" i="16"/>
  <c r="G88" i="16" s="1"/>
  <c r="F87" i="16"/>
  <c r="I87" i="16" s="1"/>
  <c r="E87" i="16"/>
  <c r="H87" i="16" s="1"/>
  <c r="D87" i="16"/>
  <c r="G87" i="16" s="1"/>
  <c r="F86" i="16"/>
  <c r="I86" i="16" s="1"/>
  <c r="E86" i="16"/>
  <c r="H86" i="16" s="1"/>
  <c r="D86" i="16"/>
  <c r="G86" i="16" s="1"/>
  <c r="I84" i="16"/>
  <c r="H84" i="16"/>
  <c r="G84" i="16"/>
  <c r="C54" i="16"/>
  <c r="C55" i="16" s="1"/>
  <c r="C49" i="16"/>
  <c r="C50" i="16" s="1"/>
  <c r="E12" i="15"/>
  <c r="F42" i="14"/>
  <c r="E42" i="14"/>
  <c r="D42" i="14"/>
  <c r="B42" i="14"/>
  <c r="B43" i="14" s="1"/>
  <c r="C34" i="14"/>
  <c r="B26" i="14"/>
  <c r="D26" i="14" l="1"/>
  <c r="C51" i="14" s="1"/>
  <c r="C53" i="14" s="1"/>
  <c r="C26" i="14"/>
  <c r="B247" i="15"/>
  <c r="B295" i="15"/>
  <c r="B319" i="15"/>
  <c r="Q10" i="7"/>
  <c r="E12" i="2"/>
  <c r="E30" i="39"/>
  <c r="F30" i="39" s="1"/>
  <c r="E32" i="39"/>
  <c r="E33" i="39" s="1"/>
  <c r="E33" i="8"/>
  <c r="E33" i="5"/>
  <c r="P16" i="16" a="1"/>
  <c r="P16" i="16" s="1"/>
  <c r="P12" i="16" a="1"/>
  <c r="P12" i="16" s="1"/>
  <c r="B249" i="15"/>
  <c r="G13" i="39"/>
  <c r="H13" i="39" s="1"/>
  <c r="I13" i="39" s="1"/>
  <c r="J13" i="39" s="1"/>
  <c r="K13" i="39" s="1"/>
  <c r="L13" i="39" s="1"/>
  <c r="M13" i="39" s="1"/>
  <c r="B292" i="15"/>
  <c r="B280" i="15"/>
  <c r="B258" i="15"/>
  <c r="B338" i="15"/>
  <c r="B201" i="15"/>
  <c r="B225" i="15"/>
  <c r="B257" i="15"/>
  <c r="B213" i="15"/>
  <c r="B237" i="15"/>
  <c r="B269" i="15"/>
  <c r="B327" i="15"/>
  <c r="B351" i="15"/>
  <c r="B281" i="15"/>
  <c r="B305" i="15"/>
  <c r="B214" i="15"/>
  <c r="B238" i="15"/>
  <c r="B270" i="15"/>
  <c r="B339" i="15"/>
  <c r="B248" i="15"/>
  <c r="B293" i="15"/>
  <c r="B317" i="15"/>
  <c r="B199" i="15"/>
  <c r="B279" i="15"/>
  <c r="B303" i="15"/>
  <c r="B212" i="15"/>
  <c r="B268" i="15"/>
  <c r="B316" i="15"/>
  <c r="B337" i="15"/>
  <c r="B246" i="15"/>
  <c r="B326" i="15"/>
  <c r="B350" i="15"/>
  <c r="B315" i="15"/>
  <c r="B224" i="15"/>
  <c r="B256" i="15"/>
  <c r="B304" i="15"/>
  <c r="B325" i="15"/>
  <c r="B349" i="15"/>
  <c r="F52" i="39"/>
  <c r="E24" i="5"/>
  <c r="E21" i="39" s="1"/>
  <c r="E34" i="5"/>
  <c r="D92" i="13" s="1"/>
  <c r="B29" i="14"/>
  <c r="B37" i="14"/>
  <c r="B96" i="15"/>
  <c r="B120" i="15"/>
  <c r="B200" i="15"/>
  <c r="B232" i="15"/>
  <c r="B328" i="15"/>
  <c r="B336" i="15"/>
  <c r="B344" i="15"/>
  <c r="B352" i="15"/>
  <c r="B368" i="15"/>
  <c r="F52" i="8"/>
  <c r="P30" i="16" a="1"/>
  <c r="P30" i="16" s="1"/>
  <c r="P29" i="16" a="1"/>
  <c r="P29" i="16" s="1"/>
  <c r="B16" i="15"/>
  <c r="D12" i="16"/>
  <c r="B66" i="15" s="1"/>
  <c r="D17" i="16"/>
  <c r="B26" i="15" s="1"/>
  <c r="B114" i="15"/>
  <c r="B119" i="15"/>
  <c r="B28" i="15"/>
  <c r="B84" i="15"/>
  <c r="B148" i="15"/>
  <c r="B172" i="15"/>
  <c r="B180" i="15"/>
  <c r="B220" i="15"/>
  <c r="B228" i="15"/>
  <c r="B260" i="15"/>
  <c r="B276" i="15"/>
  <c r="B300" i="15"/>
  <c r="D14" i="16"/>
  <c r="B27" i="15" s="1"/>
  <c r="D18" i="16"/>
  <c r="B194" i="15" s="1"/>
  <c r="B138" i="15"/>
  <c r="B151" i="15"/>
  <c r="B287" i="15"/>
  <c r="B121" i="15"/>
  <c r="B153" i="15"/>
  <c r="B185" i="15"/>
  <c r="B209" i="15"/>
  <c r="B233" i="15"/>
  <c r="B265" i="15"/>
  <c r="B329" i="15"/>
  <c r="B345" i="15"/>
  <c r="B353" i="15"/>
  <c r="C15" i="16"/>
  <c r="B289" i="15" s="1"/>
  <c r="B74" i="15"/>
  <c r="B322" i="15"/>
  <c r="B370" i="15"/>
  <c r="B359" i="15"/>
  <c r="B22" i="15"/>
  <c r="B30" i="15"/>
  <c r="B62" i="15"/>
  <c r="B86" i="15"/>
  <c r="B102" i="15"/>
  <c r="B126" i="15"/>
  <c r="B334" i="15"/>
  <c r="B358" i="15"/>
  <c r="B366" i="15"/>
  <c r="D20" i="16"/>
  <c r="B50" i="15" s="1"/>
  <c r="B178" i="15"/>
  <c r="B311" i="15"/>
  <c r="B59" i="15"/>
  <c r="B91" i="15"/>
  <c r="B107" i="15"/>
  <c r="B131" i="15"/>
  <c r="B139" i="15"/>
  <c r="B155" i="15"/>
  <c r="B195" i="15"/>
  <c r="B203" i="15"/>
  <c r="B243" i="15"/>
  <c r="B283" i="15"/>
  <c r="B299" i="15"/>
  <c r="B307" i="15"/>
  <c r="C16" i="16"/>
  <c r="B284" i="15" s="1"/>
  <c r="D21" i="16"/>
  <c r="B92" i="15" s="1"/>
  <c r="B42" i="15"/>
  <c r="B40" i="15"/>
  <c r="B48" i="15"/>
  <c r="B64" i="15"/>
  <c r="B72" i="15"/>
  <c r="B128" i="15"/>
  <c r="B160" i="15"/>
  <c r="B208" i="15"/>
  <c r="B216" i="15"/>
  <c r="B240" i="15"/>
  <c r="B264" i="15"/>
  <c r="B272" i="15"/>
  <c r="B288" i="15"/>
  <c r="B312" i="15"/>
  <c r="D11" i="16"/>
  <c r="B18" i="15" s="1"/>
  <c r="D22" i="16"/>
  <c r="B20" i="15" s="1"/>
  <c r="B234" i="15"/>
  <c r="B47" i="15"/>
  <c r="B79" i="15"/>
  <c r="B143" i="15"/>
  <c r="B167" i="15"/>
  <c r="B53" i="15"/>
  <c r="B69" i="15"/>
  <c r="B93" i="15"/>
  <c r="B133" i="15"/>
  <c r="B141" i="15"/>
  <c r="B165" i="15"/>
  <c r="B173" i="15"/>
  <c r="B189" i="15"/>
  <c r="B221" i="15"/>
  <c r="B253" i="15"/>
  <c r="B333" i="15"/>
  <c r="B341" i="15"/>
  <c r="P31" i="16" a="1"/>
  <c r="P31" i="16" s="1"/>
  <c r="B179" i="15"/>
  <c r="B211" i="15"/>
  <c r="B219" i="15"/>
  <c r="B227" i="15"/>
  <c r="B259" i="15"/>
  <c r="B267" i="15"/>
  <c r="B275" i="15"/>
  <c r="B291" i="15"/>
  <c r="B331" i="15"/>
  <c r="B355" i="15"/>
  <c r="B29" i="15"/>
  <c r="B85" i="15"/>
  <c r="B205" i="15"/>
  <c r="B245" i="15"/>
  <c r="B285" i="15"/>
  <c r="B309" i="15"/>
  <c r="B357" i="15"/>
  <c r="B154" i="15"/>
  <c r="B166" i="15"/>
  <c r="B202" i="15"/>
  <c r="B218" i="15"/>
  <c r="B226" i="15"/>
  <c r="B242" i="15"/>
  <c r="B250" i="15"/>
  <c r="B274" i="15"/>
  <c r="B282" i="15"/>
  <c r="B290" i="15"/>
  <c r="B298" i="15"/>
  <c r="B306" i="15"/>
  <c r="B314" i="15"/>
  <c r="B362" i="15"/>
  <c r="B63" i="15"/>
  <c r="B343" i="15"/>
  <c r="B321" i="15"/>
  <c r="B207" i="15"/>
  <c r="B215" i="15"/>
  <c r="B223" i="15"/>
  <c r="B239" i="15"/>
  <c r="B255" i="15"/>
  <c r="B263" i="15"/>
  <c r="B108" i="15"/>
  <c r="B364" i="15"/>
  <c r="B41" i="15"/>
  <c r="B73" i="15"/>
  <c r="B297" i="15"/>
  <c r="B369" i="15"/>
  <c r="B54" i="15"/>
  <c r="B142" i="15"/>
  <c r="B190" i="15"/>
  <c r="B198" i="15"/>
  <c r="B206" i="15"/>
  <c r="B230" i="15"/>
  <c r="B262" i="15"/>
  <c r="B278" i="15"/>
  <c r="B286" i="15"/>
  <c r="B294" i="15"/>
  <c r="B302" i="15"/>
  <c r="B310" i="15"/>
  <c r="B318" i="15"/>
  <c r="B361" i="15"/>
  <c r="B132" i="15"/>
  <c r="B346" i="15"/>
  <c r="B365" i="15"/>
  <c r="B236" i="15"/>
  <c r="B252" i="15"/>
  <c r="B324" i="15"/>
  <c r="B332" i="15"/>
  <c r="B340" i="15"/>
  <c r="B348" i="15"/>
  <c r="B356" i="15"/>
  <c r="B43" i="15"/>
  <c r="B35" i="15"/>
  <c r="B23" i="15"/>
  <c r="B109" i="15"/>
  <c r="B95" i="15"/>
  <c r="B363" i="15"/>
  <c r="B100" i="15"/>
  <c r="B60" i="15"/>
  <c r="B197" i="15"/>
  <c r="B98" i="15"/>
  <c r="B65" i="15"/>
  <c r="B191" i="15"/>
  <c r="B75" i="15"/>
  <c r="B97" i="15"/>
  <c r="B17" i="15"/>
  <c r="P13" i="16" a="1"/>
  <c r="P13" i="16" s="1"/>
  <c r="P15" i="16" a="1"/>
  <c r="P15" i="16" s="1"/>
  <c r="P14" i="16" a="1"/>
  <c r="P14" i="16" s="1"/>
  <c r="AO17" i="15"/>
  <c r="AZ17" i="15" s="1" a="1"/>
  <c r="AZ17" i="15" s="1"/>
  <c r="AO16" i="15"/>
  <c r="BA16" i="15" s="1" a="1"/>
  <c r="BA16" i="15" s="1"/>
  <c r="AO18" i="15"/>
  <c r="BA18" i="15" s="1" a="1"/>
  <c r="BA18" i="15" s="1"/>
  <c r="AO21" i="15"/>
  <c r="AV21" i="15" s="1" a="1"/>
  <c r="AV21" i="15" s="1"/>
  <c r="BK21" i="15" s="1"/>
  <c r="AO29" i="15"/>
  <c r="BA29" i="15" s="1" a="1"/>
  <c r="BA29" i="15" s="1"/>
  <c r="AO37" i="15"/>
  <c r="AX37" i="15" s="1" a="1"/>
  <c r="AX37" i="15" s="1"/>
  <c r="BM37" i="15" s="1"/>
  <c r="AO45" i="15"/>
  <c r="AZ45" i="15" s="1" a="1"/>
  <c r="AZ45" i="15" s="1"/>
  <c r="AO53" i="15"/>
  <c r="AW53" i="15" s="1" a="1"/>
  <c r="AW53" i="15" s="1"/>
  <c r="BL53" i="15" s="1"/>
  <c r="AO61" i="15"/>
  <c r="AW61" i="15" s="1" a="1"/>
  <c r="AW61" i="15" s="1"/>
  <c r="BL61" i="15" s="1"/>
  <c r="AO69" i="15"/>
  <c r="AY69" i="15" s="1" a="1"/>
  <c r="AY69" i="15" s="1"/>
  <c r="BN69" i="15" s="1"/>
  <c r="AO77" i="15"/>
  <c r="AX77" i="15" s="1" a="1"/>
  <c r="AX77" i="15" s="1"/>
  <c r="BM77" i="15" s="1"/>
  <c r="AO85" i="15"/>
  <c r="AY85" i="15" s="1" a="1"/>
  <c r="AY85" i="15" s="1"/>
  <c r="BN85" i="15" s="1"/>
  <c r="AO93" i="15"/>
  <c r="AV93" i="15" s="1" a="1"/>
  <c r="AV93" i="15" s="1"/>
  <c r="BK93" i="15" s="1"/>
  <c r="AO101" i="15"/>
  <c r="AX101" i="15" s="1" a="1"/>
  <c r="AX101" i="15" s="1"/>
  <c r="BM101" i="15" s="1"/>
  <c r="AO109" i="15"/>
  <c r="AZ109" i="15" s="1" a="1"/>
  <c r="AZ109" i="15" s="1"/>
  <c r="AO117" i="15"/>
  <c r="AZ117" i="15" s="1" a="1"/>
  <c r="AZ117" i="15" s="1"/>
  <c r="AO125" i="15"/>
  <c r="AX125" i="15" s="1" a="1"/>
  <c r="AX125" i="15" s="1"/>
  <c r="BM125" i="15" s="1"/>
  <c r="AO133" i="15"/>
  <c r="BA133" i="15" s="1" a="1"/>
  <c r="BA133" i="15" s="1"/>
  <c r="AO141" i="15"/>
  <c r="AZ141" i="15" s="1" a="1"/>
  <c r="AZ141" i="15" s="1"/>
  <c r="AO149" i="15"/>
  <c r="AX149" i="15" s="1" a="1"/>
  <c r="AX149" i="15" s="1"/>
  <c r="BM149" i="15" s="1"/>
  <c r="AO154" i="15"/>
  <c r="AX154" i="15" s="1" a="1"/>
  <c r="AX154" i="15" s="1"/>
  <c r="BM154" i="15" s="1"/>
  <c r="AO162" i="15"/>
  <c r="AX162" i="15" s="1" a="1"/>
  <c r="AX162" i="15" s="1"/>
  <c r="BM162" i="15" s="1"/>
  <c r="AO19" i="15"/>
  <c r="AV19" i="15" s="1" a="1"/>
  <c r="AV19" i="15" s="1"/>
  <c r="BK19" i="15" s="1"/>
  <c r="AO22" i="15"/>
  <c r="BA22" i="15" s="1" a="1"/>
  <c r="BA22" i="15" s="1"/>
  <c r="AO46" i="15"/>
  <c r="AW46" i="15" s="1" a="1"/>
  <c r="AW46" i="15" s="1"/>
  <c r="BL46" i="15" s="1"/>
  <c r="AO54" i="15"/>
  <c r="BA54" i="15" s="1" a="1"/>
  <c r="BA54" i="15" s="1"/>
  <c r="AO78" i="15"/>
  <c r="AV78" i="15" s="1" a="1"/>
  <c r="AV78" i="15" s="1"/>
  <c r="BK78" i="15" s="1"/>
  <c r="AO86" i="15"/>
  <c r="AX86" i="15" s="1" a="1"/>
  <c r="AX86" i="15" s="1"/>
  <c r="BM86" i="15" s="1"/>
  <c r="AO102" i="15"/>
  <c r="AX102" i="15" s="1" a="1"/>
  <c r="AX102" i="15" s="1"/>
  <c r="BM102" i="15" s="1"/>
  <c r="AO110" i="15"/>
  <c r="AZ110" i="15" s="1" a="1"/>
  <c r="AZ110" i="15" s="1"/>
  <c r="AO134" i="15"/>
  <c r="AX134" i="15" s="1" a="1"/>
  <c r="AX134" i="15" s="1"/>
  <c r="BM134" i="15" s="1"/>
  <c r="AO142" i="15"/>
  <c r="AX142" i="15" s="1" a="1"/>
  <c r="AX142" i="15" s="1"/>
  <c r="BM142" i="15" s="1"/>
  <c r="AO155" i="15"/>
  <c r="BA155" i="15" s="1" a="1"/>
  <c r="BA155" i="15" s="1"/>
  <c r="AO163" i="15"/>
  <c r="BA163" i="15" s="1" a="1"/>
  <c r="BA163" i="15" s="1"/>
  <c r="AO187" i="15"/>
  <c r="AX187" i="15" s="1" a="1"/>
  <c r="AX187" i="15" s="1"/>
  <c r="BM187" i="15" s="1"/>
  <c r="AO195" i="15"/>
  <c r="AX195" i="15" s="1" a="1"/>
  <c r="AX195" i="15" s="1"/>
  <c r="BM195" i="15" s="1"/>
  <c r="AO79" i="15"/>
  <c r="AZ79" i="15" s="1" a="1"/>
  <c r="AZ79" i="15" s="1"/>
  <c r="AO23" i="15"/>
  <c r="BA23" i="15" s="1" a="1"/>
  <c r="BA23" i="15" s="1"/>
  <c r="AO39" i="15"/>
  <c r="AX39" i="15" s="1" a="1"/>
  <c r="AX39" i="15" s="1"/>
  <c r="BM39" i="15" s="1"/>
  <c r="AO63" i="15"/>
  <c r="BA63" i="15" s="1" a="1"/>
  <c r="BA63" i="15" s="1"/>
  <c r="AO25" i="15"/>
  <c r="AY25" i="15" s="1" a="1"/>
  <c r="AY25" i="15" s="1"/>
  <c r="BN25" i="15" s="1"/>
  <c r="AO33" i="15"/>
  <c r="AY33" i="15" s="1" a="1"/>
  <c r="AY33" i="15" s="1"/>
  <c r="BN33" i="15" s="1"/>
  <c r="AO41" i="15"/>
  <c r="BA41" i="15" s="1" a="1"/>
  <c r="BA41" i="15" s="1"/>
  <c r="AO49" i="15"/>
  <c r="AY49" i="15" s="1" a="1"/>
  <c r="AY49" i="15" s="1"/>
  <c r="BN49" i="15" s="1"/>
  <c r="AO57" i="15"/>
  <c r="AV57" i="15" s="1" a="1"/>
  <c r="AV57" i="15" s="1"/>
  <c r="BK57" i="15" s="1"/>
  <c r="AO31" i="15"/>
  <c r="AZ31" i="15" s="1" a="1"/>
  <c r="AZ31" i="15" s="1"/>
  <c r="AO55" i="15"/>
  <c r="AV55" i="15" s="1" a="1"/>
  <c r="AV55" i="15" s="1"/>
  <c r="BK55" i="15" s="1"/>
  <c r="AO26" i="15"/>
  <c r="AV26" i="15" s="1" a="1"/>
  <c r="AV26" i="15" s="1"/>
  <c r="BK26" i="15" s="1"/>
  <c r="AO34" i="15"/>
  <c r="AY34" i="15" s="1" a="1"/>
  <c r="AY34" i="15" s="1"/>
  <c r="BN34" i="15" s="1"/>
  <c r="AO42" i="15"/>
  <c r="BA42" i="15" s="1" a="1"/>
  <c r="BA42" i="15" s="1"/>
  <c r="AO50" i="15"/>
  <c r="AV50" i="15" s="1" a="1"/>
  <c r="AV50" i="15" s="1"/>
  <c r="BK50" i="15" s="1"/>
  <c r="AO58" i="15"/>
  <c r="AZ58" i="15" s="1" a="1"/>
  <c r="AZ58" i="15" s="1"/>
  <c r="AO66" i="15"/>
  <c r="AV66" i="15" s="1" a="1"/>
  <c r="AV66" i="15" s="1"/>
  <c r="BK66" i="15" s="1"/>
  <c r="AO74" i="15"/>
  <c r="AW74" i="15" s="1" a="1"/>
  <c r="AW74" i="15" s="1"/>
  <c r="BL74" i="15" s="1"/>
  <c r="AO47" i="15"/>
  <c r="AZ47" i="15" s="1" a="1"/>
  <c r="AZ47" i="15" s="1"/>
  <c r="AO71" i="15"/>
  <c r="AX71" i="15" s="1" a="1"/>
  <c r="AX71" i="15" s="1"/>
  <c r="BM71" i="15" s="1"/>
  <c r="AO27" i="15"/>
  <c r="AZ27" i="15" s="1" a="1"/>
  <c r="AZ27" i="15" s="1"/>
  <c r="AO35" i="15"/>
  <c r="AV35" i="15" s="1" a="1"/>
  <c r="AV35" i="15" s="1"/>
  <c r="BK35" i="15" s="1"/>
  <c r="AO43" i="15"/>
  <c r="BA43" i="15" s="1" a="1"/>
  <c r="BA43" i="15" s="1"/>
  <c r="AO51" i="15"/>
  <c r="BA51" i="15" s="1" a="1"/>
  <c r="BA51" i="15" s="1"/>
  <c r="AO59" i="15"/>
  <c r="BA59" i="15" s="1" a="1"/>
  <c r="BA59" i="15" s="1"/>
  <c r="AO67" i="15"/>
  <c r="AY67" i="15" s="1" a="1"/>
  <c r="AY67" i="15" s="1"/>
  <c r="BN67" i="15" s="1"/>
  <c r="AO75" i="15"/>
  <c r="AZ75" i="15" s="1" a="1"/>
  <c r="AZ75" i="15" s="1"/>
  <c r="AO83" i="15"/>
  <c r="AY83" i="15" s="1" a="1"/>
  <c r="AY83" i="15" s="1"/>
  <c r="BN83" i="15" s="1"/>
  <c r="AO91" i="15"/>
  <c r="AY91" i="15" s="1" a="1"/>
  <c r="AY91" i="15" s="1"/>
  <c r="BN91" i="15" s="1"/>
  <c r="AO99" i="15"/>
  <c r="AV99" i="15" s="1" a="1"/>
  <c r="AV99" i="15" s="1"/>
  <c r="BK99" i="15" s="1"/>
  <c r="AO107" i="15"/>
  <c r="AX107" i="15" s="1" a="1"/>
  <c r="AX107" i="15" s="1"/>
  <c r="BM107" i="15" s="1"/>
  <c r="AO115" i="15"/>
  <c r="AW115" i="15" s="1" a="1"/>
  <c r="AW115" i="15" s="1"/>
  <c r="BL115" i="15" s="1"/>
  <c r="AO123" i="15"/>
  <c r="AY123" i="15" s="1" a="1"/>
  <c r="AY123" i="15" s="1"/>
  <c r="BN123" i="15" s="1"/>
  <c r="AO131" i="15"/>
  <c r="AZ131" i="15" s="1" a="1"/>
  <c r="AZ131" i="15" s="1"/>
  <c r="AO139" i="15"/>
  <c r="AV139" i="15" s="1" a="1"/>
  <c r="AV139" i="15" s="1"/>
  <c r="BK139" i="15" s="1"/>
  <c r="AO147" i="15"/>
  <c r="AZ147" i="15" s="1" a="1"/>
  <c r="AZ147" i="15" s="1"/>
  <c r="AO20" i="15"/>
  <c r="AX20" i="15" s="1" a="1"/>
  <c r="AX20" i="15" s="1"/>
  <c r="BM20" i="15" s="1"/>
  <c r="AO28" i="15"/>
  <c r="AY28" i="15" s="1" a="1"/>
  <c r="AY28" i="15" s="1"/>
  <c r="BN28" i="15" s="1"/>
  <c r="AO36" i="15"/>
  <c r="AZ36" i="15" s="1" a="1"/>
  <c r="AZ36" i="15" s="1"/>
  <c r="AO44" i="15"/>
  <c r="AW44" i="15" s="1" a="1"/>
  <c r="AW44" i="15" s="1"/>
  <c r="BL44" i="15" s="1"/>
  <c r="AO52" i="15"/>
  <c r="AW52" i="15" s="1" a="1"/>
  <c r="AW52" i="15" s="1"/>
  <c r="BL52" i="15" s="1"/>
  <c r="AO60" i="15"/>
  <c r="BA60" i="15" s="1" a="1"/>
  <c r="BA60" i="15" s="1"/>
  <c r="AO68" i="15"/>
  <c r="AX68" i="15" s="1" a="1"/>
  <c r="AX68" i="15" s="1"/>
  <c r="BM68" i="15" s="1"/>
  <c r="AO76" i="15"/>
  <c r="BA76" i="15" s="1" a="1"/>
  <c r="BA76" i="15" s="1"/>
  <c r="AO84" i="15"/>
  <c r="AY84" i="15" s="1" a="1"/>
  <c r="AY84" i="15" s="1"/>
  <c r="BN84" i="15" s="1"/>
  <c r="AO92" i="15"/>
  <c r="AW92" i="15" s="1" a="1"/>
  <c r="AW92" i="15" s="1"/>
  <c r="BL92" i="15" s="1"/>
  <c r="AO100" i="15"/>
  <c r="AX100" i="15" s="1" a="1"/>
  <c r="AX100" i="15" s="1"/>
  <c r="BM100" i="15" s="1"/>
  <c r="AO108" i="15"/>
  <c r="AW108" i="15" s="1" a="1"/>
  <c r="AW108" i="15" s="1"/>
  <c r="BL108" i="15" s="1"/>
  <c r="AO116" i="15"/>
  <c r="BA116" i="15" s="1" a="1"/>
  <c r="BA116" i="15" s="1"/>
  <c r="AO124" i="15"/>
  <c r="AX124" i="15" s="1" a="1"/>
  <c r="AX124" i="15" s="1"/>
  <c r="BM124" i="15" s="1"/>
  <c r="AO132" i="15"/>
  <c r="BA132" i="15" s="1" a="1"/>
  <c r="BA132" i="15" s="1"/>
  <c r="AO140" i="15"/>
  <c r="BA140" i="15" s="1" a="1"/>
  <c r="BA140" i="15" s="1"/>
  <c r="AO148" i="15"/>
  <c r="BA148" i="15" s="1" a="1"/>
  <c r="BA148" i="15" s="1"/>
  <c r="AO161" i="15"/>
  <c r="BA161" i="15" s="1" a="1"/>
  <c r="BA161" i="15" s="1"/>
  <c r="AO169" i="15"/>
  <c r="AY169" i="15" s="1" a="1"/>
  <c r="AY169" i="15" s="1"/>
  <c r="BN169" i="15" s="1"/>
  <c r="AO177" i="15"/>
  <c r="AW177" i="15" s="1" a="1"/>
  <c r="AW177" i="15" s="1"/>
  <c r="BL177" i="15" s="1"/>
  <c r="AO185" i="15"/>
  <c r="BA185" i="15" s="1" a="1"/>
  <c r="BA185" i="15" s="1"/>
  <c r="AO193" i="15"/>
  <c r="AX193" i="15" s="1" a="1"/>
  <c r="AX193" i="15" s="1"/>
  <c r="BM193" i="15" s="1"/>
  <c r="AO170" i="15"/>
  <c r="AY170" i="15" s="1" a="1"/>
  <c r="AY170" i="15" s="1"/>
  <c r="BN170" i="15" s="1"/>
  <c r="AO178" i="15"/>
  <c r="AV178" i="15" s="1" a="1"/>
  <c r="AV178" i="15" s="1"/>
  <c r="BK178" i="15" s="1"/>
  <c r="AO186" i="15"/>
  <c r="AY186" i="15" s="1" a="1"/>
  <c r="AY186" i="15" s="1"/>
  <c r="BN186" i="15" s="1"/>
  <c r="AO194" i="15"/>
  <c r="AZ194" i="15" s="1" a="1"/>
  <c r="AZ194" i="15" s="1"/>
  <c r="BO194" i="15" s="1"/>
  <c r="C194" i="15" s="1"/>
  <c r="AO87" i="15"/>
  <c r="AW87" i="15" s="1" a="1"/>
  <c r="AW87" i="15" s="1"/>
  <c r="BL87" i="15" s="1"/>
  <c r="AO95" i="15"/>
  <c r="AV95" i="15" s="1" a="1"/>
  <c r="AV95" i="15" s="1"/>
  <c r="BK95" i="15" s="1"/>
  <c r="AO65" i="15"/>
  <c r="AV65" i="15" s="1" a="1"/>
  <c r="AV65" i="15" s="1"/>
  <c r="BK65" i="15" s="1"/>
  <c r="AO73" i="15"/>
  <c r="BA73" i="15" s="1" a="1"/>
  <c r="BA73" i="15" s="1"/>
  <c r="AO160" i="15"/>
  <c r="AW160" i="15" s="1" a="1"/>
  <c r="AW160" i="15" s="1"/>
  <c r="BL160" i="15" s="1"/>
  <c r="AO168" i="15"/>
  <c r="AY168" i="15" s="1" a="1"/>
  <c r="AY168" i="15" s="1"/>
  <c r="BN168" i="15" s="1"/>
  <c r="AO176" i="15"/>
  <c r="AZ176" i="15" s="1" a="1"/>
  <c r="AZ176" i="15" s="1"/>
  <c r="AO184" i="15"/>
  <c r="AY184" i="15" s="1" a="1"/>
  <c r="AY184" i="15" s="1"/>
  <c r="BN184" i="15" s="1"/>
  <c r="AO192" i="15"/>
  <c r="AV192" i="15" s="1" a="1"/>
  <c r="AV192" i="15" s="1"/>
  <c r="BK192" i="15" s="1"/>
  <c r="AO181" i="15"/>
  <c r="BA181" i="15" s="1" a="1"/>
  <c r="BA181" i="15" s="1"/>
  <c r="AO48" i="15"/>
  <c r="AO80" i="15"/>
  <c r="AO104" i="15"/>
  <c r="AO136" i="15"/>
  <c r="AO157" i="15"/>
  <c r="AO189" i="15"/>
  <c r="AO103" i="15"/>
  <c r="AO111" i="15"/>
  <c r="AO119" i="15"/>
  <c r="AO127" i="15"/>
  <c r="AO135" i="15"/>
  <c r="AO143" i="15"/>
  <c r="AO151" i="15"/>
  <c r="AO156" i="15"/>
  <c r="AO164" i="15"/>
  <c r="AO172" i="15"/>
  <c r="AO180" i="15"/>
  <c r="AO188" i="15"/>
  <c r="AO196" i="15"/>
  <c r="AO24" i="15"/>
  <c r="AO56" i="15"/>
  <c r="AO88" i="15"/>
  <c r="AO112" i="15"/>
  <c r="AO144" i="15"/>
  <c r="AO165" i="15"/>
  <c r="AO197" i="15"/>
  <c r="AO30" i="15"/>
  <c r="AO62" i="15"/>
  <c r="AO94" i="15"/>
  <c r="AO118" i="15"/>
  <c r="AO150" i="15"/>
  <c r="AO171" i="15"/>
  <c r="AO81" i="15"/>
  <c r="AO89" i="15"/>
  <c r="AO97" i="15"/>
  <c r="AO105" i="15"/>
  <c r="AO113" i="15"/>
  <c r="AO121" i="15"/>
  <c r="AO129" i="15"/>
  <c r="AO137" i="15"/>
  <c r="AO145" i="15"/>
  <c r="AO153" i="15"/>
  <c r="AO158" i="15"/>
  <c r="AO166" i="15"/>
  <c r="AO174" i="15"/>
  <c r="AO182" i="15"/>
  <c r="AO190" i="15"/>
  <c r="AO32" i="15"/>
  <c r="AO64" i="15"/>
  <c r="AO120" i="15"/>
  <c r="AO152" i="15"/>
  <c r="AO173" i="15"/>
  <c r="AO82" i="15"/>
  <c r="AO90" i="15"/>
  <c r="AO98" i="15"/>
  <c r="AO106" i="15"/>
  <c r="AO114" i="15"/>
  <c r="AO122" i="15"/>
  <c r="AO130" i="15"/>
  <c r="AO138" i="15"/>
  <c r="AO146" i="15"/>
  <c r="AO159" i="15"/>
  <c r="AO167" i="15"/>
  <c r="AO175" i="15"/>
  <c r="AO183" i="15"/>
  <c r="AO191" i="15"/>
  <c r="AO38" i="15"/>
  <c r="AO70" i="15"/>
  <c r="AO126" i="15"/>
  <c r="AO179" i="15"/>
  <c r="AO40" i="15"/>
  <c r="AO72" i="15"/>
  <c r="AO96" i="15"/>
  <c r="AO128" i="15"/>
  <c r="D98" i="16"/>
  <c r="G98" i="16" s="1"/>
  <c r="E97" i="16"/>
  <c r="H97" i="16" s="1"/>
  <c r="C79" i="16" s="1"/>
  <c r="E77" i="16" s="1"/>
  <c r="F97" i="16"/>
  <c r="I97" i="16" s="1"/>
  <c r="D97" i="16"/>
  <c r="G97" i="16" s="1"/>
  <c r="F99" i="16"/>
  <c r="I99" i="16" s="1"/>
  <c r="F100" i="16"/>
  <c r="I100" i="16" s="1"/>
  <c r="C56" i="16"/>
  <c r="G95" i="16"/>
  <c r="E98" i="16"/>
  <c r="H98" i="16" s="1"/>
  <c r="D73" i="16"/>
  <c r="E72" i="16" s="1"/>
  <c r="C73" i="16"/>
  <c r="E71" i="16" s="1"/>
  <c r="H95" i="16"/>
  <c r="D100" i="16"/>
  <c r="G100" i="16" s="1"/>
  <c r="I95" i="16"/>
  <c r="D99" i="16"/>
  <c r="G99" i="16" s="1"/>
  <c r="E100" i="16"/>
  <c r="H100" i="16" s="1"/>
  <c r="E99" i="16"/>
  <c r="H99" i="16" s="1"/>
  <c r="F98" i="16"/>
  <c r="I98" i="16" s="1"/>
  <c r="B163" i="15" l="1"/>
  <c r="B144" i="15"/>
  <c r="B181" i="15"/>
  <c r="B277" i="15"/>
  <c r="B94" i="15"/>
  <c r="E24" i="39"/>
  <c r="E25" i="39" s="1"/>
  <c r="N13" i="39"/>
  <c r="B117" i="15"/>
  <c r="B104" i="15"/>
  <c r="B188" i="15"/>
  <c r="B46" i="15"/>
  <c r="B61" i="15"/>
  <c r="B38" i="15"/>
  <c r="B129" i="15"/>
  <c r="B25" i="15"/>
  <c r="B140" i="15"/>
  <c r="B37" i="15"/>
  <c r="B176" i="15"/>
  <c r="B71" i="15"/>
  <c r="B105" i="15"/>
  <c r="B51" i="15"/>
  <c r="B122" i="15"/>
  <c r="B24" i="15"/>
  <c r="B33" i="15"/>
  <c r="B110" i="15"/>
  <c r="B77" i="15"/>
  <c r="B134" i="15"/>
  <c r="B146" i="15"/>
  <c r="B168" i="15"/>
  <c r="B45" i="15"/>
  <c r="B254" i="15"/>
  <c r="B187" i="15"/>
  <c r="B320" i="15"/>
  <c r="B335" i="15"/>
  <c r="B222" i="15"/>
  <c r="B177" i="15"/>
  <c r="B235" i="15"/>
  <c r="B111" i="15"/>
  <c r="B371" i="15"/>
  <c r="B347" i="15"/>
  <c r="B83" i="15"/>
  <c r="B301" i="15"/>
  <c r="B360" i="15"/>
  <c r="B323" i="15"/>
  <c r="B76" i="15"/>
  <c r="B19" i="15"/>
  <c r="B44" i="15"/>
  <c r="B157" i="15"/>
  <c r="B99" i="15"/>
  <c r="B88" i="15"/>
  <c r="B123" i="15"/>
  <c r="B182" i="15"/>
  <c r="B135" i="15"/>
  <c r="B150" i="15"/>
  <c r="B145" i="15"/>
  <c r="B169" i="15"/>
  <c r="B192" i="15"/>
  <c r="B56" i="15"/>
  <c r="B32" i="15"/>
  <c r="G29" i="14"/>
  <c r="I28" i="13"/>
  <c r="C47" i="14"/>
  <c r="B136" i="15"/>
  <c r="B70" i="15"/>
  <c r="B217" i="15"/>
  <c r="B57" i="15"/>
  <c r="B266" i="15"/>
  <c r="B251" i="15"/>
  <c r="B342" i="15"/>
  <c r="B68" i="15"/>
  <c r="B87" i="15"/>
  <c r="B31" i="15"/>
  <c r="B183" i="15"/>
  <c r="B82" i="15"/>
  <c r="B112" i="15"/>
  <c r="B158" i="15"/>
  <c r="B241" i="15"/>
  <c r="B156" i="15"/>
  <c r="B367" i="15"/>
  <c r="B90" i="15"/>
  <c r="B115" i="15"/>
  <c r="B101" i="15"/>
  <c r="B171" i="15"/>
  <c r="B137" i="15"/>
  <c r="B49" i="15"/>
  <c r="B34" i="15"/>
  <c r="B244" i="15"/>
  <c r="B164" i="15"/>
  <c r="B175" i="15"/>
  <c r="B159" i="15"/>
  <c r="B118" i="15"/>
  <c r="B261" i="15"/>
  <c r="B149" i="15"/>
  <c r="B296" i="15"/>
  <c r="B184" i="15"/>
  <c r="B80" i="15"/>
  <c r="B103" i="15"/>
  <c r="B147" i="15"/>
  <c r="B67" i="15"/>
  <c r="B55" i="15"/>
  <c r="B106" i="15"/>
  <c r="B313" i="15"/>
  <c r="B193" i="15"/>
  <c r="B113" i="15"/>
  <c r="B127" i="15"/>
  <c r="B308" i="15"/>
  <c r="B204" i="15"/>
  <c r="B210" i="15"/>
  <c r="B130" i="15"/>
  <c r="B52" i="15"/>
  <c r="B186" i="15"/>
  <c r="B39" i="15"/>
  <c r="B196" i="15"/>
  <c r="B124" i="15"/>
  <c r="B36" i="15"/>
  <c r="B162" i="15"/>
  <c r="B21" i="15"/>
  <c r="B229" i="15"/>
  <c r="B354" i="15"/>
  <c r="B58" i="15"/>
  <c r="B273" i="15"/>
  <c r="B161" i="15"/>
  <c r="B89" i="15"/>
  <c r="B330" i="15"/>
  <c r="B116" i="15"/>
  <c r="B125" i="15"/>
  <c r="B152" i="15"/>
  <c r="B170" i="15"/>
  <c r="B174" i="15"/>
  <c r="B78" i="15"/>
  <c r="B81" i="15"/>
  <c r="AV54" i="15" a="1"/>
  <c r="AV54" i="15" s="1"/>
  <c r="BK54" i="15" s="1"/>
  <c r="AW17" i="15" a="1"/>
  <c r="AW17" i="15" s="1"/>
  <c r="BL17" i="15" s="1"/>
  <c r="AY142" i="15" a="1"/>
  <c r="AY142" i="15" s="1"/>
  <c r="BN142" i="15" s="1"/>
  <c r="AW55" i="15" a="1"/>
  <c r="AW55" i="15" s="1"/>
  <c r="BL55" i="15" s="1"/>
  <c r="BA75" i="15" a="1"/>
  <c r="BA75" i="15" s="1"/>
  <c r="BA61" i="15" a="1"/>
  <c r="BA61" i="15" s="1"/>
  <c r="AZ22" i="15" a="1"/>
  <c r="AZ22" i="15" s="1"/>
  <c r="BC22" i="15" s="1"/>
  <c r="AV16" i="15" a="1"/>
  <c r="AV16" i="15" s="1"/>
  <c r="AZ69" i="15" a="1"/>
  <c r="AZ69" i="15" s="1"/>
  <c r="C251" i="15" s="1"/>
  <c r="BA125" i="15" a="1"/>
  <c r="BA125" i="15" s="1"/>
  <c r="AY22" i="15" a="1"/>
  <c r="AY22" i="15" s="1"/>
  <c r="BN22" i="15" s="1"/>
  <c r="AZ52" i="15" a="1"/>
  <c r="AZ52" i="15" s="1"/>
  <c r="BO52" i="15" s="1"/>
  <c r="C52" i="15" s="1"/>
  <c r="AX69" i="15" a="1"/>
  <c r="AX69" i="15" s="1"/>
  <c r="BM69" i="15" s="1"/>
  <c r="AX16" i="15" a="1"/>
  <c r="AX16" i="15" s="1"/>
  <c r="BM16" i="15" s="1"/>
  <c r="AX131" i="15" a="1"/>
  <c r="AX131" i="15" s="1"/>
  <c r="BM131" i="15" s="1"/>
  <c r="AV142" i="15" a="1"/>
  <c r="AV142" i="15" s="1"/>
  <c r="BK142" i="15" s="1"/>
  <c r="AZ54" i="15" a="1"/>
  <c r="AZ54" i="15" s="1"/>
  <c r="BC54" i="15" s="1"/>
  <c r="AV33" i="15" a="1"/>
  <c r="AV33" i="15" s="1"/>
  <c r="BK33" i="15" s="1"/>
  <c r="BA27" i="15" a="1"/>
  <c r="BA27" i="15" s="1"/>
  <c r="BA77" i="15" a="1"/>
  <c r="BA77" i="15" s="1"/>
  <c r="AV75" i="15" a="1"/>
  <c r="AV75" i="15" s="1"/>
  <c r="BK75" i="15" s="1"/>
  <c r="AX17" i="15" a="1"/>
  <c r="AX17" i="15" s="1"/>
  <c r="BM17" i="15" s="1"/>
  <c r="AV61" i="15" a="1"/>
  <c r="AV61" i="15" s="1"/>
  <c r="BK61" i="15" s="1"/>
  <c r="BA17" i="15" a="1"/>
  <c r="BA17" i="15" s="1"/>
  <c r="AY17" i="15" a="1"/>
  <c r="AY17" i="15" s="1"/>
  <c r="BN17" i="15" s="1"/>
  <c r="AV17" i="15" a="1"/>
  <c r="AV17" i="15" s="1"/>
  <c r="BK17" i="15" s="1"/>
  <c r="BA19" i="15" a="1"/>
  <c r="BA19" i="15" s="1"/>
  <c r="AW39" i="15" a="1"/>
  <c r="AW39" i="15" s="1"/>
  <c r="BL39" i="15" s="1"/>
  <c r="BA117" i="15" a="1"/>
  <c r="BA117" i="15" s="1"/>
  <c r="AX61" i="15" a="1"/>
  <c r="AX61" i="15" s="1"/>
  <c r="BM61" i="15" s="1"/>
  <c r="AV117" i="15" a="1"/>
  <c r="AV117" i="15" s="1"/>
  <c r="BK117" i="15" s="1"/>
  <c r="BA47" i="15" a="1"/>
  <c r="BA47" i="15" s="1"/>
  <c r="AV131" i="15" a="1"/>
  <c r="AV131" i="15" s="1"/>
  <c r="BK131" i="15" s="1"/>
  <c r="AV73" i="15" a="1"/>
  <c r="AV73" i="15" s="1"/>
  <c r="BK73" i="15" s="1"/>
  <c r="AZ61" i="15" a="1"/>
  <c r="AZ61" i="15" s="1"/>
  <c r="AW117" i="15" a="1"/>
  <c r="AW117" i="15" s="1"/>
  <c r="BL117" i="15" s="1"/>
  <c r="AW131" i="15" a="1"/>
  <c r="AW131" i="15" s="1"/>
  <c r="BL131" i="15" s="1"/>
  <c r="AY61" i="15" a="1"/>
  <c r="AY61" i="15" s="1"/>
  <c r="BN61" i="15" s="1"/>
  <c r="AX117" i="15" a="1"/>
  <c r="AX117" i="15" s="1"/>
  <c r="BM117" i="15" s="1"/>
  <c r="BA34" i="15" a="1"/>
  <c r="BA34" i="15" s="1"/>
  <c r="AW116" i="15" a="1"/>
  <c r="AW116" i="15" s="1"/>
  <c r="BL116" i="15" s="1"/>
  <c r="AX169" i="15" a="1"/>
  <c r="AX169" i="15" s="1"/>
  <c r="BM169" i="15" s="1"/>
  <c r="AZ34" i="15" a="1"/>
  <c r="AZ34" i="15" s="1"/>
  <c r="C216" i="15" s="1"/>
  <c r="AZ25" i="15" a="1"/>
  <c r="AZ25" i="15" s="1"/>
  <c r="C207" i="15" s="1"/>
  <c r="AX116" i="15" a="1"/>
  <c r="AX116" i="15" s="1"/>
  <c r="BM116" i="15" s="1"/>
  <c r="AV168" i="15" a="1"/>
  <c r="AV168" i="15" s="1"/>
  <c r="BK168" i="15" s="1"/>
  <c r="AV34" i="15" a="1"/>
  <c r="AV34" i="15" s="1"/>
  <c r="BK34" i="15" s="1"/>
  <c r="AV25" i="15" a="1"/>
  <c r="AV25" i="15" s="1"/>
  <c r="BK25" i="15" s="1"/>
  <c r="AV60" i="15" a="1"/>
  <c r="AV60" i="15" s="1"/>
  <c r="BK60" i="15" s="1"/>
  <c r="AW34" i="15" a="1"/>
  <c r="AW34" i="15" s="1"/>
  <c r="BL34" i="15" s="1"/>
  <c r="AY60" i="15" a="1"/>
  <c r="AY60" i="15" s="1"/>
  <c r="BN60" i="15" s="1"/>
  <c r="AZ60" i="15" a="1"/>
  <c r="AZ60" i="15" s="1"/>
  <c r="C242" i="15" s="1"/>
  <c r="AW170" i="15" a="1"/>
  <c r="AW170" i="15" s="1"/>
  <c r="BL170" i="15" s="1"/>
  <c r="AX99" i="15" a="1"/>
  <c r="AX99" i="15" s="1"/>
  <c r="BM99" i="15" s="1"/>
  <c r="AY195" i="15" a="1"/>
  <c r="AY195" i="15" s="1"/>
  <c r="BN195" i="15" s="1"/>
  <c r="AZ195" i="15" a="1"/>
  <c r="AZ195" i="15" s="1"/>
  <c r="BO195" i="15" s="1"/>
  <c r="C195" i="15" s="1"/>
  <c r="AX170" i="15" a="1"/>
  <c r="AX170" i="15" s="1"/>
  <c r="BM170" i="15" s="1"/>
  <c r="AZ43" i="15" a="1"/>
  <c r="AZ43" i="15" s="1"/>
  <c r="C225" i="15" s="1"/>
  <c r="AV170" i="15" a="1"/>
  <c r="AV170" i="15" s="1"/>
  <c r="BK170" i="15" s="1"/>
  <c r="AV29" i="15" a="1"/>
  <c r="AV29" i="15" s="1"/>
  <c r="BK29" i="15" s="1"/>
  <c r="AW93" i="15" a="1"/>
  <c r="AW93" i="15" s="1"/>
  <c r="BL93" i="15" s="1"/>
  <c r="AX78" i="15" a="1"/>
  <c r="AX78" i="15" s="1"/>
  <c r="BM78" i="15" s="1"/>
  <c r="AW54" i="15" a="1"/>
  <c r="AW54" i="15" s="1"/>
  <c r="BL54" i="15" s="1"/>
  <c r="AV185" i="15" a="1"/>
  <c r="AV185" i="15" s="1"/>
  <c r="BK185" i="15" s="1"/>
  <c r="AV163" i="15" a="1"/>
  <c r="AV163" i="15" s="1"/>
  <c r="BK163" i="15" s="1"/>
  <c r="BA149" i="15" a="1"/>
  <c r="BA149" i="15" s="1"/>
  <c r="BA101" i="15" a="1"/>
  <c r="BA101" i="15" s="1"/>
  <c r="AY54" i="15" a="1"/>
  <c r="AY54" i="15" s="1"/>
  <c r="BN54" i="15" s="1"/>
  <c r="AW163" i="15" a="1"/>
  <c r="AW163" i="15" s="1"/>
  <c r="BL163" i="15" s="1"/>
  <c r="AX54" i="15" a="1"/>
  <c r="AX54" i="15" s="1"/>
  <c r="BM54" i="15" s="1"/>
  <c r="AX163" i="15" a="1"/>
  <c r="AX163" i="15" s="1"/>
  <c r="BM163" i="15" s="1"/>
  <c r="AV79" i="15" a="1"/>
  <c r="AV79" i="15" s="1"/>
  <c r="BK79" i="15" s="1"/>
  <c r="AZ186" i="15" a="1"/>
  <c r="AZ186" i="15" s="1"/>
  <c r="C368" i="15" s="1"/>
  <c r="AV59" i="15" a="1"/>
  <c r="AV59" i="15" s="1"/>
  <c r="BK59" i="15" s="1"/>
  <c r="AY154" i="15" a="1"/>
  <c r="AY154" i="15" s="1"/>
  <c r="BN154" i="15" s="1"/>
  <c r="AY101" i="15" a="1"/>
  <c r="AY101" i="15" s="1"/>
  <c r="BN101" i="15" s="1"/>
  <c r="BA186" i="15" a="1"/>
  <c r="BA186" i="15" s="1"/>
  <c r="AW59" i="15" a="1"/>
  <c r="AW59" i="15" s="1"/>
  <c r="BL59" i="15" s="1"/>
  <c r="AV186" i="15" a="1"/>
  <c r="AV186" i="15" s="1"/>
  <c r="BK186" i="15" s="1"/>
  <c r="AX93" i="15" a="1"/>
  <c r="AX93" i="15" s="1"/>
  <c r="BM93" i="15" s="1"/>
  <c r="AV43" i="15" a="1"/>
  <c r="AV43" i="15" s="1"/>
  <c r="BK43" i="15" s="1"/>
  <c r="AY29" i="15" a="1"/>
  <c r="AY29" i="15" s="1"/>
  <c r="BN29" i="15" s="1"/>
  <c r="AW186" i="15" a="1"/>
  <c r="AW186" i="15" s="1"/>
  <c r="BL186" i="15" s="1"/>
  <c r="BA45" i="15" a="1"/>
  <c r="BA45" i="15" s="1"/>
  <c r="AX115" i="15" a="1"/>
  <c r="AX115" i="15" s="1"/>
  <c r="BM115" i="15" s="1"/>
  <c r="BA170" i="15" a="1"/>
  <c r="BA170" i="15" s="1"/>
  <c r="AX186" i="15" a="1"/>
  <c r="AX186" i="15" s="1"/>
  <c r="BM186" i="15" s="1"/>
  <c r="AW99" i="15" a="1"/>
  <c r="AW99" i="15" s="1"/>
  <c r="BL99" i="15" s="1"/>
  <c r="AX57" i="15" a="1"/>
  <c r="AX57" i="15" s="1"/>
  <c r="BM57" i="15" s="1"/>
  <c r="AY77" i="15" a="1"/>
  <c r="AY77" i="15" s="1"/>
  <c r="BN77" i="15" s="1"/>
  <c r="AX60" i="15" a="1"/>
  <c r="AX60" i="15" s="1"/>
  <c r="BM60" i="15" s="1"/>
  <c r="AV169" i="15" a="1"/>
  <c r="AV169" i="15" s="1"/>
  <c r="BK169" i="15" s="1"/>
  <c r="AV91" i="15" a="1"/>
  <c r="AV91" i="15" s="1"/>
  <c r="BK91" i="15" s="1"/>
  <c r="AW50" i="15" a="1"/>
  <c r="AW50" i="15" s="1"/>
  <c r="BL50" i="15" s="1"/>
  <c r="AV116" i="15" a="1"/>
  <c r="AV116" i="15" s="1"/>
  <c r="BK116" i="15" s="1"/>
  <c r="AW60" i="15" a="1"/>
  <c r="AW60" i="15" s="1"/>
  <c r="BL60" i="15" s="1"/>
  <c r="BA169" i="15" a="1"/>
  <c r="BA169" i="15" s="1"/>
  <c r="AY50" i="15" a="1"/>
  <c r="AY50" i="15" s="1"/>
  <c r="BN50" i="15" s="1"/>
  <c r="AY116" i="15" a="1"/>
  <c r="AY116" i="15" s="1"/>
  <c r="BN116" i="15" s="1"/>
  <c r="AY133" i="15" a="1"/>
  <c r="AY133" i="15" s="1"/>
  <c r="BN133" i="15" s="1"/>
  <c r="AV147" i="15" a="1"/>
  <c r="AV147" i="15" s="1"/>
  <c r="BK147" i="15" s="1"/>
  <c r="AW41" i="15" a="1"/>
  <c r="AW41" i="15" s="1"/>
  <c r="BL41" i="15" s="1"/>
  <c r="AZ116" i="15" a="1"/>
  <c r="AZ116" i="15" s="1"/>
  <c r="BO116" i="15" s="1"/>
  <c r="C116" i="15" s="1"/>
  <c r="AZ133" i="15" a="1"/>
  <c r="AZ133" i="15" s="1"/>
  <c r="BO133" i="15" s="1"/>
  <c r="C133" i="15" s="1"/>
  <c r="AW95" i="15" a="1"/>
  <c r="AW95" i="15" s="1"/>
  <c r="BL95" i="15" s="1"/>
  <c r="AZ169" i="15" a="1"/>
  <c r="AZ169" i="15" s="1"/>
  <c r="BO169" i="15" s="1"/>
  <c r="C169" i="15" s="1"/>
  <c r="AX41" i="15" a="1"/>
  <c r="AX41" i="15" s="1"/>
  <c r="BM41" i="15" s="1"/>
  <c r="AY86" i="15" a="1"/>
  <c r="AY86" i="15" s="1"/>
  <c r="BN86" i="15" s="1"/>
  <c r="AW43" i="15" a="1"/>
  <c r="AW43" i="15" s="1"/>
  <c r="BL43" i="15" s="1"/>
  <c r="AX132" i="15" a="1"/>
  <c r="AX132" i="15" s="1"/>
  <c r="BM132" i="15" s="1"/>
  <c r="AZ29" i="15" a="1"/>
  <c r="AZ29" i="15" s="1"/>
  <c r="C211" i="15" s="1"/>
  <c r="BA57" i="15" a="1"/>
  <c r="BA57" i="15" s="1"/>
  <c r="BD57" i="15" s="1"/>
  <c r="AX185" i="15" a="1"/>
  <c r="AX185" i="15" s="1"/>
  <c r="BM185" i="15" s="1"/>
  <c r="AY149" i="15" a="1"/>
  <c r="AY149" i="15" s="1"/>
  <c r="BN149" i="15" s="1"/>
  <c r="AZ93" i="15" a="1"/>
  <c r="AZ93" i="15" s="1"/>
  <c r="BO93" i="15" s="1"/>
  <c r="C93" i="15" s="1"/>
  <c r="AW132" i="15" a="1"/>
  <c r="AW132" i="15" s="1"/>
  <c r="BL132" i="15" s="1"/>
  <c r="AW76" i="15" a="1"/>
  <c r="AW76" i="15" s="1"/>
  <c r="BL76" i="15" s="1"/>
  <c r="BA110" i="15" a="1"/>
  <c r="BA110" i="15" s="1"/>
  <c r="AW185" i="15" a="1"/>
  <c r="AW185" i="15" s="1"/>
  <c r="BL185" i="15" s="1"/>
  <c r="AZ149" i="15" a="1"/>
  <c r="AZ149" i="15" s="1"/>
  <c r="BO149" i="15" s="1"/>
  <c r="C149" i="15" s="1"/>
  <c r="AY93" i="15" a="1"/>
  <c r="AY93" i="15" s="1"/>
  <c r="BN93" i="15" s="1"/>
  <c r="AX43" i="15" a="1"/>
  <c r="AX43" i="15" s="1"/>
  <c r="BM43" i="15" s="1"/>
  <c r="AY76" i="15" a="1"/>
  <c r="AY76" i="15" s="1"/>
  <c r="BN76" i="15" s="1"/>
  <c r="AY185" i="15" a="1"/>
  <c r="AY185" i="15" s="1"/>
  <c r="BN185" i="15" s="1"/>
  <c r="AV149" i="15" a="1"/>
  <c r="AV149" i="15" s="1"/>
  <c r="BK149" i="15" s="1"/>
  <c r="BA93" i="15" a="1"/>
  <c r="BA93" i="15" s="1"/>
  <c r="BD93" i="15" s="1"/>
  <c r="BA99" i="15" a="1"/>
  <c r="BA99" i="15" s="1"/>
  <c r="BD99" i="15" s="1"/>
  <c r="AW19" i="15" a="1"/>
  <c r="AW19" i="15" s="1"/>
  <c r="BL19" i="15" s="1"/>
  <c r="AY99" i="15" a="1"/>
  <c r="AY99" i="15" s="1"/>
  <c r="BN99" i="15" s="1"/>
  <c r="AX19" i="15" a="1"/>
  <c r="AX19" i="15" s="1"/>
  <c r="BM19" i="15" s="1"/>
  <c r="AY132" i="15" a="1"/>
  <c r="AY132" i="15" s="1"/>
  <c r="BN132" i="15" s="1"/>
  <c r="AX76" i="15" a="1"/>
  <c r="AX76" i="15" s="1"/>
  <c r="BM76" i="15" s="1"/>
  <c r="AZ185" i="15" a="1"/>
  <c r="AZ185" i="15" s="1"/>
  <c r="BO185" i="15" s="1"/>
  <c r="C185" i="15" s="1"/>
  <c r="AW149" i="15" a="1"/>
  <c r="AW149" i="15" s="1"/>
  <c r="BL149" i="15" s="1"/>
  <c r="AV132" i="15" a="1"/>
  <c r="AV132" i="15" s="1"/>
  <c r="BK132" i="15" s="1"/>
  <c r="AZ99" i="15" a="1"/>
  <c r="AZ99" i="15" s="1"/>
  <c r="C281" i="15" s="1"/>
  <c r="AY43" i="15" a="1"/>
  <c r="AY43" i="15" s="1"/>
  <c r="BN43" i="15" s="1"/>
  <c r="AY19" i="15" a="1"/>
  <c r="AY19" i="15" s="1"/>
  <c r="BN19" i="15" s="1"/>
  <c r="AZ132" i="15" a="1"/>
  <c r="AZ132" i="15" s="1"/>
  <c r="BO132" i="15" s="1"/>
  <c r="C132" i="15" s="1"/>
  <c r="AW29" i="15" a="1"/>
  <c r="AW29" i="15" s="1"/>
  <c r="BL29" i="15" s="1"/>
  <c r="AZ76" i="15" a="1"/>
  <c r="AZ76" i="15" s="1"/>
  <c r="BO76" i="15" s="1"/>
  <c r="C76" i="15" s="1"/>
  <c r="AV76" i="15" a="1"/>
  <c r="AV76" i="15" s="1"/>
  <c r="BK76" i="15" s="1"/>
  <c r="AZ168" i="15" a="1"/>
  <c r="AZ168" i="15" s="1"/>
  <c r="BO168" i="15" s="1"/>
  <c r="C168" i="15" s="1"/>
  <c r="AZ19" i="15" a="1"/>
  <c r="AZ19" i="15" s="1"/>
  <c r="C201" i="15" s="1"/>
  <c r="AX66" i="15" a="1"/>
  <c r="AX66" i="15" s="1"/>
  <c r="BM66" i="15" s="1"/>
  <c r="AX29" i="15" a="1"/>
  <c r="AX29" i="15" s="1"/>
  <c r="BM29" i="15" s="1"/>
  <c r="BA79" i="15" a="1"/>
  <c r="BA79" i="15" s="1"/>
  <c r="AX140" i="15" a="1"/>
  <c r="AX140" i="15" s="1"/>
  <c r="BM140" i="15" s="1"/>
  <c r="AY37" i="15" a="1"/>
  <c r="AY37" i="15" s="1"/>
  <c r="BN37" i="15" s="1"/>
  <c r="AX74" i="15" a="1"/>
  <c r="AX74" i="15" s="1"/>
  <c r="BM74" i="15" s="1"/>
  <c r="AV37" i="15" a="1"/>
  <c r="AV37" i="15" s="1"/>
  <c r="BK37" i="15" s="1"/>
  <c r="AV23" i="15" a="1"/>
  <c r="AV23" i="15" s="1"/>
  <c r="BK23" i="15" s="1"/>
  <c r="BA31" i="15" a="1"/>
  <c r="BA31" i="15" s="1"/>
  <c r="AV134" i="15" a="1"/>
  <c r="AV134" i="15" s="1"/>
  <c r="BK134" i="15" s="1"/>
  <c r="AV18" i="15" a="1"/>
  <c r="AV18" i="15" s="1"/>
  <c r="BK18" i="15" s="1"/>
  <c r="AW31" i="15" a="1"/>
  <c r="AW31" i="15" s="1"/>
  <c r="BL31" i="15" s="1"/>
  <c r="AZ134" i="15" a="1"/>
  <c r="AZ134" i="15" s="1"/>
  <c r="BO134" i="15" s="1"/>
  <c r="C134" i="15" s="1"/>
  <c r="AY160" i="15" a="1"/>
  <c r="AY160" i="15" s="1"/>
  <c r="BN160" i="15" s="1"/>
  <c r="AY68" i="15" a="1"/>
  <c r="AY68" i="15" s="1"/>
  <c r="BN68" i="15" s="1"/>
  <c r="AY18" i="15" a="1"/>
  <c r="AY18" i="15" s="1"/>
  <c r="BN18" i="15" s="1"/>
  <c r="AW58" i="15" a="1"/>
  <c r="AW58" i="15" s="1"/>
  <c r="BL58" i="15" s="1"/>
  <c r="AX18" i="15" a="1"/>
  <c r="AX18" i="15" s="1"/>
  <c r="BM18" i="15" s="1"/>
  <c r="AV31" i="15" a="1"/>
  <c r="AV31" i="15" s="1"/>
  <c r="BK31" i="15" s="1"/>
  <c r="BA37" i="15" a="1"/>
  <c r="BA37" i="15" s="1"/>
  <c r="AY134" i="15" a="1"/>
  <c r="AY134" i="15" s="1"/>
  <c r="BN134" i="15" s="1"/>
  <c r="AV140" i="15" a="1"/>
  <c r="AV140" i="15" s="1"/>
  <c r="BK140" i="15" s="1"/>
  <c r="AW18" i="15" a="1"/>
  <c r="AW18" i="15" s="1"/>
  <c r="BL18" i="15" s="1"/>
  <c r="AY140" i="15" a="1"/>
  <c r="AY140" i="15" s="1"/>
  <c r="BN140" i="15" s="1"/>
  <c r="AW192" i="15" a="1"/>
  <c r="AW192" i="15" s="1"/>
  <c r="BL192" i="15" s="1"/>
  <c r="AY107" i="15" a="1"/>
  <c r="AY107" i="15" s="1"/>
  <c r="BN107" i="15" s="1"/>
  <c r="AX51" i="15" a="1"/>
  <c r="AX51" i="15" s="1"/>
  <c r="BM51" i="15" s="1"/>
  <c r="AY31" i="15" a="1"/>
  <c r="AY31" i="15" s="1"/>
  <c r="BN31" i="15" s="1"/>
  <c r="AY74" i="15" a="1"/>
  <c r="AY74" i="15" s="1"/>
  <c r="BN74" i="15" s="1"/>
  <c r="AZ18" i="15" a="1"/>
  <c r="AZ18" i="15" s="1"/>
  <c r="C200" i="15" s="1"/>
  <c r="AV102" i="15" a="1"/>
  <c r="AV102" i="15" s="1"/>
  <c r="BK102" i="15" s="1"/>
  <c r="AZ193" i="15" a="1"/>
  <c r="AZ193" i="15" s="1"/>
  <c r="BO193" i="15" s="1"/>
  <c r="C193" i="15" s="1"/>
  <c r="AW23" i="15" a="1"/>
  <c r="AW23" i="15" s="1"/>
  <c r="BL23" i="15" s="1"/>
  <c r="AZ87" i="15" a="1"/>
  <c r="AZ87" i="15" s="1"/>
  <c r="C269" i="15" s="1"/>
  <c r="AX31" i="15" a="1"/>
  <c r="AX31" i="15" s="1"/>
  <c r="BM31" i="15" s="1"/>
  <c r="AW37" i="15" a="1"/>
  <c r="AW37" i="15" s="1"/>
  <c r="BL37" i="15" s="1"/>
  <c r="BA134" i="15" a="1"/>
  <c r="BA134" i="15" s="1"/>
  <c r="AZ84" i="15" a="1"/>
  <c r="AZ84" i="15" s="1"/>
  <c r="C266" i="15" s="1"/>
  <c r="AZ107" i="15" a="1"/>
  <c r="AZ107" i="15" s="1"/>
  <c r="C289" i="15" s="1"/>
  <c r="AW51" i="15" a="1"/>
  <c r="AW51" i="15" s="1"/>
  <c r="BL51" i="15" s="1"/>
  <c r="BA74" i="15" a="1"/>
  <c r="BA74" i="15" s="1"/>
  <c r="AV124" i="15" a="1"/>
  <c r="AV124" i="15" s="1"/>
  <c r="BK124" i="15" s="1"/>
  <c r="BA193" i="15" a="1"/>
  <c r="BA193" i="15" s="1"/>
  <c r="AX23" i="15" a="1"/>
  <c r="AX23" i="15" s="1"/>
  <c r="BM23" i="15" s="1"/>
  <c r="AZ37" i="15" a="1"/>
  <c r="AZ37" i="15" s="1"/>
  <c r="C219" i="15" s="1"/>
  <c r="AX177" i="15" a="1"/>
  <c r="AX177" i="15" s="1"/>
  <c r="BM177" i="15" s="1"/>
  <c r="AV141" i="15" a="1"/>
  <c r="AV141" i="15" s="1"/>
  <c r="BK141" i="15" s="1"/>
  <c r="BA107" i="15" a="1"/>
  <c r="BA107" i="15" s="1"/>
  <c r="AV107" i="15" a="1"/>
  <c r="AV107" i="15" s="1"/>
  <c r="BK107" i="15" s="1"/>
  <c r="AZ74" i="15" a="1"/>
  <c r="AZ74" i="15" s="1"/>
  <c r="BO74" i="15" s="1"/>
  <c r="C74" i="15" s="1"/>
  <c r="AV85" i="15" a="1"/>
  <c r="AV85" i="15" s="1"/>
  <c r="BK85" i="15" s="1"/>
  <c r="BA49" i="15" a="1"/>
  <c r="BA49" i="15" s="1"/>
  <c r="AY23" i="15" a="1"/>
  <c r="AY23" i="15" s="1"/>
  <c r="BN23" i="15" s="1"/>
  <c r="AY20" i="15" a="1"/>
  <c r="AY20" i="15" s="1"/>
  <c r="BN20" i="15" s="1"/>
  <c r="AW107" i="15" a="1"/>
  <c r="AW107" i="15" s="1"/>
  <c r="BL107" i="15" s="1"/>
  <c r="AZ51" i="15" a="1"/>
  <c r="AZ51" i="15" s="1"/>
  <c r="C233" i="15" s="1"/>
  <c r="AV74" i="15" a="1"/>
  <c r="AV74" i="15" s="1"/>
  <c r="BK74" i="15" s="1"/>
  <c r="AZ23" i="15" a="1"/>
  <c r="AZ23" i="15" s="1"/>
  <c r="BO23" i="15" s="1"/>
  <c r="C23" i="15" s="1"/>
  <c r="AW134" i="15" a="1"/>
  <c r="AW134" i="15" s="1"/>
  <c r="BL134" i="15" s="1"/>
  <c r="AZ20" i="15" a="1"/>
  <c r="AZ20" i="15" s="1"/>
  <c r="C202" i="15" s="1"/>
  <c r="AV51" i="15" a="1"/>
  <c r="AV51" i="15" s="1"/>
  <c r="BK51" i="15" s="1"/>
  <c r="AY193" i="15" a="1"/>
  <c r="AY193" i="15" s="1"/>
  <c r="BN193" i="15" s="1"/>
  <c r="AV20" i="15" a="1"/>
  <c r="AV20" i="15" s="1"/>
  <c r="BK20" i="15" s="1"/>
  <c r="AY51" i="15" a="1"/>
  <c r="AY51" i="15" s="1"/>
  <c r="BN51" i="15" s="1"/>
  <c r="AW140" i="15" a="1"/>
  <c r="AW140" i="15" s="1"/>
  <c r="BL140" i="15" s="1"/>
  <c r="BA20" i="15" a="1"/>
  <c r="BA20" i="15" s="1"/>
  <c r="BA160" i="15" a="1"/>
  <c r="BA160" i="15" s="1"/>
  <c r="AZ16" i="15" a="1"/>
  <c r="AZ16" i="15" s="1"/>
  <c r="C198" i="15" s="1"/>
  <c r="AW65" i="15" a="1"/>
  <c r="AW65" i="15" s="1"/>
  <c r="BL65" i="15" s="1"/>
  <c r="AV63" i="15" a="1"/>
  <c r="AV63" i="15" s="1"/>
  <c r="BK63" i="15" s="1"/>
  <c r="AW16" i="15" a="1"/>
  <c r="AW16" i="15" s="1"/>
  <c r="BL16" i="15" s="1"/>
  <c r="AV125" i="15" a="1"/>
  <c r="AV125" i="15" s="1"/>
  <c r="BK125" i="15" s="1"/>
  <c r="AV176" i="15" a="1"/>
  <c r="AV176" i="15" s="1"/>
  <c r="BK176" i="15" s="1"/>
  <c r="BA69" i="15" a="1"/>
  <c r="BA69" i="15" s="1"/>
  <c r="AY16" i="15" a="1"/>
  <c r="AY16" i="15" s="1"/>
  <c r="BN16" i="15" s="1"/>
  <c r="AV83" i="15" a="1"/>
  <c r="AV83" i="15" s="1"/>
  <c r="BK83" i="15" s="1"/>
  <c r="AX65" i="15" a="1"/>
  <c r="AX65" i="15" s="1"/>
  <c r="BM65" i="15" s="1"/>
  <c r="AZ53" i="15" a="1"/>
  <c r="AZ53" i="15" s="1"/>
  <c r="BO53" i="15" s="1"/>
  <c r="C53" i="15" s="1"/>
  <c r="AV69" i="15" a="1"/>
  <c r="AV69" i="15" s="1"/>
  <c r="BK69" i="15" s="1"/>
  <c r="AW178" i="15" a="1"/>
  <c r="AW178" i="15" s="1"/>
  <c r="BL178" i="15" s="1"/>
  <c r="AZ187" i="15" a="1"/>
  <c r="AZ187" i="15" s="1"/>
  <c r="BO187" i="15" s="1"/>
  <c r="C187" i="15" s="1"/>
  <c r="AZ160" i="15" a="1"/>
  <c r="AZ160" i="15" s="1"/>
  <c r="C342" i="15" s="1"/>
  <c r="AV108" i="15" a="1"/>
  <c r="AV108" i="15" s="1"/>
  <c r="BK108" i="15" s="1"/>
  <c r="BA176" i="15" a="1"/>
  <c r="BA176" i="15" s="1"/>
  <c r="AX160" i="15" a="1"/>
  <c r="AX160" i="15" s="1"/>
  <c r="BM160" i="15" s="1"/>
  <c r="AW78" i="15" a="1"/>
  <c r="AW78" i="15" s="1"/>
  <c r="BL78" i="15" s="1"/>
  <c r="AZ125" i="15" a="1"/>
  <c r="AZ125" i="15" s="1"/>
  <c r="BO125" i="15" s="1"/>
  <c r="C125" i="15" s="1"/>
  <c r="AX59" i="15" a="1"/>
  <c r="AX59" i="15" s="1"/>
  <c r="BM59" i="15" s="1"/>
  <c r="AZ142" i="15" a="1"/>
  <c r="AZ142" i="15" s="1"/>
  <c r="BO142" i="15" s="1"/>
  <c r="C142" i="15" s="1"/>
  <c r="AY39" i="15" a="1"/>
  <c r="AY39" i="15" s="1"/>
  <c r="BN39" i="15" s="1"/>
  <c r="AV22" i="15" a="1"/>
  <c r="AV22" i="15" s="1"/>
  <c r="BK22" i="15" s="1"/>
  <c r="AY162" i="15" a="1"/>
  <c r="AY162" i="15" s="1"/>
  <c r="BN162" i="15" s="1"/>
  <c r="AZ101" i="15" a="1"/>
  <c r="AZ101" i="15" s="1"/>
  <c r="C283" i="15" s="1"/>
  <c r="AX53" i="15" a="1"/>
  <c r="AX53" i="15" s="1"/>
  <c r="BM53" i="15" s="1"/>
  <c r="AY46" i="15" a="1"/>
  <c r="AY46" i="15" s="1"/>
  <c r="BN46" i="15" s="1"/>
  <c r="BA115" i="15" a="1"/>
  <c r="BA115" i="15" s="1"/>
  <c r="AY59" i="15" a="1"/>
  <c r="AY59" i="15" s="1"/>
  <c r="BN59" i="15" s="1"/>
  <c r="BA142" i="15" a="1"/>
  <c r="BA142" i="15" s="1"/>
  <c r="AW148" i="15" a="1"/>
  <c r="AW148" i="15" s="1"/>
  <c r="BL148" i="15" s="1"/>
  <c r="AZ39" i="15" a="1"/>
  <c r="AZ39" i="15" s="1"/>
  <c r="BO39" i="15" s="1"/>
  <c r="C39" i="15" s="1"/>
  <c r="AW22" i="15" a="1"/>
  <c r="AW22" i="15" s="1"/>
  <c r="BL22" i="15" s="1"/>
  <c r="AV154" i="15" a="1"/>
  <c r="AV154" i="15" s="1"/>
  <c r="BK154" i="15" s="1"/>
  <c r="AV101" i="15" a="1"/>
  <c r="AV101" i="15" s="1"/>
  <c r="BK101" i="15" s="1"/>
  <c r="AV45" i="15" a="1"/>
  <c r="AV45" i="15" s="1"/>
  <c r="BK45" i="15" s="1"/>
  <c r="AV39" i="15" a="1"/>
  <c r="AV39" i="15" s="1"/>
  <c r="BK39" i="15" s="1"/>
  <c r="AY115" i="15" a="1"/>
  <c r="AY115" i="15" s="1"/>
  <c r="BN115" i="15" s="1"/>
  <c r="AZ59" i="15" a="1"/>
  <c r="AZ59" i="15" s="1"/>
  <c r="BO59" i="15" s="1"/>
  <c r="C59" i="15" s="1"/>
  <c r="BA39" i="15" a="1"/>
  <c r="BA39" i="15" s="1"/>
  <c r="AY55" i="15" a="1"/>
  <c r="AY55" i="15" s="1"/>
  <c r="BN55" i="15" s="1"/>
  <c r="AX22" i="15" a="1"/>
  <c r="AX22" i="15" s="1"/>
  <c r="BM22" i="15" s="1"/>
  <c r="AW154" i="15" a="1"/>
  <c r="AW154" i="15" s="1"/>
  <c r="BL154" i="15" s="1"/>
  <c r="AW101" i="15" a="1"/>
  <c r="AW101" i="15" s="1"/>
  <c r="BL101" i="15" s="1"/>
  <c r="AX45" i="15" a="1"/>
  <c r="AX45" i="15" s="1"/>
  <c r="BM45" i="15" s="1"/>
  <c r="AX46" i="15" a="1"/>
  <c r="AX46" i="15" s="1"/>
  <c r="BM46" i="15" s="1"/>
  <c r="BA55" i="15" a="1"/>
  <c r="BA55" i="15" s="1"/>
  <c r="BD55" i="15" s="1"/>
  <c r="AZ154" i="15" a="1"/>
  <c r="AZ154" i="15" s="1"/>
  <c r="BO154" i="15" s="1"/>
  <c r="C154" i="15" s="1"/>
  <c r="AY45" i="15" a="1"/>
  <c r="AY45" i="15" s="1"/>
  <c r="BN45" i="15" s="1"/>
  <c r="AV115" i="15" a="1"/>
  <c r="AV115" i="15" s="1"/>
  <c r="BK115" i="15" s="1"/>
  <c r="BA26" i="15" a="1"/>
  <c r="BA26" i="15" s="1"/>
  <c r="BD26" i="15" s="1"/>
  <c r="AW142" i="15" a="1"/>
  <c r="AW142" i="15" s="1"/>
  <c r="BL142" i="15" s="1"/>
  <c r="AZ55" i="15" a="1"/>
  <c r="AZ55" i="15" s="1"/>
  <c r="BO55" i="15" s="1"/>
  <c r="C55" i="15" s="1"/>
  <c r="BA154" i="15" a="1"/>
  <c r="BA154" i="15" s="1"/>
  <c r="AW45" i="15" a="1"/>
  <c r="AW45" i="15" s="1"/>
  <c r="BL45" i="15" s="1"/>
  <c r="AZ115" i="15" a="1"/>
  <c r="AZ115" i="15" s="1"/>
  <c r="C297" i="15" s="1"/>
  <c r="AX55" i="15" a="1"/>
  <c r="AX55" i="15" s="1"/>
  <c r="BM55" i="15" s="1"/>
  <c r="AV109" i="15" a="1"/>
  <c r="AV109" i="15" s="1"/>
  <c r="BK109" i="15" s="1"/>
  <c r="AW123" i="15" a="1"/>
  <c r="AW123" i="15" s="1"/>
  <c r="BL123" i="15" s="1"/>
  <c r="AW63" i="15" a="1"/>
  <c r="AW63" i="15" s="1"/>
  <c r="BL63" i="15" s="1"/>
  <c r="AX95" i="15" a="1"/>
  <c r="AX95" i="15" s="1"/>
  <c r="BM95" i="15" s="1"/>
  <c r="AW109" i="15" a="1"/>
  <c r="AW109" i="15" s="1"/>
  <c r="BL109" i="15" s="1"/>
  <c r="AY53" i="15" a="1"/>
  <c r="AY53" i="15" s="1"/>
  <c r="BN53" i="15" s="1"/>
  <c r="AX123" i="15" a="1"/>
  <c r="AX123" i="15" s="1"/>
  <c r="BM123" i="15" s="1"/>
  <c r="AZ67" i="15" a="1"/>
  <c r="AZ67" i="15" s="1"/>
  <c r="C249" i="15" s="1"/>
  <c r="AW155" i="15" a="1"/>
  <c r="AW155" i="15" s="1"/>
  <c r="BL155" i="15" s="1"/>
  <c r="AX63" i="15" a="1"/>
  <c r="AX63" i="15" s="1"/>
  <c r="BM63" i="15" s="1"/>
  <c r="AZ95" i="15" a="1"/>
  <c r="AZ95" i="15" s="1"/>
  <c r="C277" i="15" s="1"/>
  <c r="AX109" i="15" a="1"/>
  <c r="AX109" i="15" s="1"/>
  <c r="BM109" i="15" s="1"/>
  <c r="AZ123" i="15" a="1"/>
  <c r="AZ123" i="15" s="1"/>
  <c r="C305" i="15" s="1"/>
  <c r="AV67" i="15" a="1"/>
  <c r="AV67" i="15" s="1"/>
  <c r="BK67" i="15" s="1"/>
  <c r="AX155" i="15" a="1"/>
  <c r="AX155" i="15" s="1"/>
  <c r="BM155" i="15" s="1"/>
  <c r="AY63" i="15" a="1"/>
  <c r="AY63" i="15" s="1"/>
  <c r="BN63" i="15" s="1"/>
  <c r="BA95" i="15" a="1"/>
  <c r="BA95" i="15" s="1"/>
  <c r="BD95" i="15" s="1"/>
  <c r="BA36" i="15" a="1"/>
  <c r="BA36" i="15" s="1"/>
  <c r="AV162" i="15" a="1"/>
  <c r="AV162" i="15" s="1"/>
  <c r="BK162" i="15" s="1"/>
  <c r="BA123" i="15" a="1"/>
  <c r="BA123" i="15" s="1"/>
  <c r="AW67" i="15" a="1"/>
  <c r="AW67" i="15" s="1"/>
  <c r="BL67" i="15" s="1"/>
  <c r="AV155" i="15" a="1"/>
  <c r="AV155" i="15" s="1"/>
  <c r="BK155" i="15" s="1"/>
  <c r="AZ46" i="15" a="1"/>
  <c r="AZ46" i="15" s="1"/>
  <c r="C228" i="15" s="1"/>
  <c r="AY95" i="15" a="1"/>
  <c r="AY95" i="15" s="1"/>
  <c r="BN95" i="15" s="1"/>
  <c r="AV36" i="15" a="1"/>
  <c r="AV36" i="15" s="1"/>
  <c r="BK36" i="15" s="1"/>
  <c r="AZ162" i="15" a="1"/>
  <c r="AZ162" i="15" s="1"/>
  <c r="BO162" i="15" s="1"/>
  <c r="C162" i="15" s="1"/>
  <c r="BA67" i="15" a="1"/>
  <c r="BA67" i="15" s="1"/>
  <c r="AX26" i="15" a="1"/>
  <c r="AX26" i="15" s="1"/>
  <c r="BM26" i="15" s="1"/>
  <c r="AY155" i="15" a="1"/>
  <c r="AY155" i="15" s="1"/>
  <c r="BN155" i="15" s="1"/>
  <c r="BA46" i="15" a="1"/>
  <c r="BA46" i="15" s="1"/>
  <c r="BA162" i="15" a="1"/>
  <c r="BA162" i="15" s="1"/>
  <c r="BA109" i="15" a="1"/>
  <c r="BA109" i="15" s="1"/>
  <c r="BA53" i="15" a="1"/>
  <c r="BA53" i="15" s="1"/>
  <c r="AX67" i="15" a="1"/>
  <c r="AX67" i="15" s="1"/>
  <c r="BM67" i="15" s="1"/>
  <c r="AY26" i="15" a="1"/>
  <c r="AY26" i="15" s="1"/>
  <c r="BN26" i="15" s="1"/>
  <c r="AZ155" i="15" a="1"/>
  <c r="AZ155" i="15" s="1"/>
  <c r="BO155" i="15" s="1"/>
  <c r="C155" i="15" s="1"/>
  <c r="AV46" i="15" a="1"/>
  <c r="AV46" i="15" s="1"/>
  <c r="BK46" i="15" s="1"/>
  <c r="AW162" i="15" a="1"/>
  <c r="AW162" i="15" s="1"/>
  <c r="BL162" i="15" s="1"/>
  <c r="AY109" i="15" a="1"/>
  <c r="AY109" i="15" s="1"/>
  <c r="BN109" i="15" s="1"/>
  <c r="AV53" i="15" a="1"/>
  <c r="AV53" i="15" s="1"/>
  <c r="BK53" i="15" s="1"/>
  <c r="AZ26" i="15" a="1"/>
  <c r="AZ26" i="15" s="1"/>
  <c r="BO26" i="15" s="1"/>
  <c r="C26" i="15" s="1"/>
  <c r="BO176" i="15"/>
  <c r="C176" i="15" s="1"/>
  <c r="C358" i="15"/>
  <c r="AX192" i="15" a="1"/>
  <c r="AX192" i="15" s="1"/>
  <c r="BM192" i="15" s="1"/>
  <c r="AZ68" i="15" a="1"/>
  <c r="AZ68" i="15" s="1"/>
  <c r="C250" i="15" s="1"/>
  <c r="AY102" i="15" a="1"/>
  <c r="AY102" i="15" s="1"/>
  <c r="BN102" i="15" s="1"/>
  <c r="AW124" i="15" a="1"/>
  <c r="AW124" i="15" s="1"/>
  <c r="BL124" i="15" s="1"/>
  <c r="AZ49" i="15" a="1"/>
  <c r="AZ49" i="15" s="1"/>
  <c r="C231" i="15" s="1"/>
  <c r="AW21" i="15" a="1"/>
  <c r="AW21" i="15" s="1"/>
  <c r="BL21" i="15" s="1"/>
  <c r="BP185" i="15"/>
  <c r="D367" i="15"/>
  <c r="AX87" i="15" a="1"/>
  <c r="AX87" i="15" s="1"/>
  <c r="BM87" i="15" s="1"/>
  <c r="AY177" i="15" a="1"/>
  <c r="AY177" i="15" s="1"/>
  <c r="BN177" i="15" s="1"/>
  <c r="AX52" i="15" a="1"/>
  <c r="AX52" i="15" s="1"/>
  <c r="BM52" i="15" s="1"/>
  <c r="AW141" i="15" a="1"/>
  <c r="AW141" i="15" s="1"/>
  <c r="BL141" i="15" s="1"/>
  <c r="AX108" i="15" a="1"/>
  <c r="AX108" i="15" s="1"/>
  <c r="BM108" i="15" s="1"/>
  <c r="BA52" i="15" a="1"/>
  <c r="BA52" i="15" s="1"/>
  <c r="AX58" i="15" a="1"/>
  <c r="AX58" i="15" s="1"/>
  <c r="BM58" i="15" s="1"/>
  <c r="AY124" i="15" a="1"/>
  <c r="AY124" i="15" s="1"/>
  <c r="BN124" i="15" s="1"/>
  <c r="AV49" i="15" a="1"/>
  <c r="AV49" i="15" s="1"/>
  <c r="BK49" i="15" s="1"/>
  <c r="AZ177" i="15" a="1"/>
  <c r="AZ177" i="15" s="1"/>
  <c r="AX21" i="15" a="1"/>
  <c r="AX21" i="15" s="1"/>
  <c r="BM21" i="15" s="1"/>
  <c r="AW85" i="15" a="1"/>
  <c r="AW85" i="15" s="1"/>
  <c r="BL85" i="15" s="1"/>
  <c r="BA102" i="15" a="1"/>
  <c r="BA102" i="15" s="1"/>
  <c r="AZ124" i="15" a="1"/>
  <c r="AZ124" i="15" s="1"/>
  <c r="C306" i="15" s="1"/>
  <c r="AW49" i="15" a="1"/>
  <c r="AW49" i="15" s="1"/>
  <c r="BL49" i="15" s="1"/>
  <c r="AZ21" i="15" a="1"/>
  <c r="AZ21" i="15" s="1"/>
  <c r="C203" i="15" s="1"/>
  <c r="BA87" i="15" a="1"/>
  <c r="BA87" i="15" s="1"/>
  <c r="BA177" i="15" a="1"/>
  <c r="BA177" i="15" s="1"/>
  <c r="AX178" i="15" a="1"/>
  <c r="AX178" i="15" s="1"/>
  <c r="BM178" i="15" s="1"/>
  <c r="AY108" i="15" a="1"/>
  <c r="AY108" i="15" s="1"/>
  <c r="BN108" i="15" s="1"/>
  <c r="AX141" i="15" a="1"/>
  <c r="AX141" i="15" s="1"/>
  <c r="BM141" i="15" s="1"/>
  <c r="AW176" i="15" a="1"/>
  <c r="AW176" i="15" s="1"/>
  <c r="BL176" i="15" s="1"/>
  <c r="AY58" i="15" a="1"/>
  <c r="AY58" i="15" s="1"/>
  <c r="BN58" i="15" s="1"/>
  <c r="AX85" i="15" a="1"/>
  <c r="AX85" i="15" s="1"/>
  <c r="BM85" i="15" s="1"/>
  <c r="AW161" i="15" a="1"/>
  <c r="AW161" i="15" s="1"/>
  <c r="BL161" i="15" s="1"/>
  <c r="BA124" i="15" a="1"/>
  <c r="BA124" i="15" s="1"/>
  <c r="AX49" i="15" a="1"/>
  <c r="AX49" i="15" s="1"/>
  <c r="BM49" i="15" s="1"/>
  <c r="BA21" i="15" a="1"/>
  <c r="BA21" i="15" s="1"/>
  <c r="BD21" i="15" s="1"/>
  <c r="AY87" i="15" a="1"/>
  <c r="AY87" i="15" s="1"/>
  <c r="BN87" i="15" s="1"/>
  <c r="AV177" i="15" a="1"/>
  <c r="AV177" i="15" s="1"/>
  <c r="BK177" i="15" s="1"/>
  <c r="AZ178" i="15" a="1"/>
  <c r="AZ178" i="15" s="1"/>
  <c r="AZ108" i="15" a="1"/>
  <c r="AZ108" i="15" s="1"/>
  <c r="C290" i="15" s="1"/>
  <c r="BA78" i="15" a="1"/>
  <c r="BA78" i="15" s="1"/>
  <c r="BD78" i="15" s="1"/>
  <c r="AY21" i="15" a="1"/>
  <c r="AY21" i="15" s="1"/>
  <c r="BN21" i="15" s="1"/>
  <c r="AX176" i="15" a="1"/>
  <c r="AX176" i="15" s="1"/>
  <c r="BM176" i="15" s="1"/>
  <c r="AV68" i="15" a="1"/>
  <c r="AV68" i="15" s="1"/>
  <c r="BK68" i="15" s="1"/>
  <c r="BA58" i="15" a="1"/>
  <c r="BA58" i="15" s="1"/>
  <c r="AZ85" i="15" a="1"/>
  <c r="AZ85" i="15" s="1"/>
  <c r="C267" i="15" s="1"/>
  <c r="AX161" i="15" a="1"/>
  <c r="AX161" i="15" s="1"/>
  <c r="BM161" i="15" s="1"/>
  <c r="AV87" i="15" a="1"/>
  <c r="AV87" i="15" s="1"/>
  <c r="BK87" i="15" s="1"/>
  <c r="AY178" i="15" a="1"/>
  <c r="AY178" i="15" s="1"/>
  <c r="BN178" i="15" s="1"/>
  <c r="BA141" i="15" a="1"/>
  <c r="BA141" i="15" s="1"/>
  <c r="BA108" i="15" a="1"/>
  <c r="BA108" i="15" s="1"/>
  <c r="AZ102" i="15" a="1"/>
  <c r="AZ102" i="15" s="1"/>
  <c r="C284" i="15" s="1"/>
  <c r="AY192" i="15" a="1"/>
  <c r="AY192" i="15" s="1"/>
  <c r="BN192" i="15" s="1"/>
  <c r="AY176" i="15" a="1"/>
  <c r="AY176" i="15" s="1"/>
  <c r="BN176" i="15" s="1"/>
  <c r="AW68" i="15" a="1"/>
  <c r="AW68" i="15" s="1"/>
  <c r="BL68" i="15" s="1"/>
  <c r="AV58" i="15" a="1"/>
  <c r="AV58" i="15" s="1"/>
  <c r="BK58" i="15" s="1"/>
  <c r="BA85" i="15" a="1"/>
  <c r="BA85" i="15" s="1"/>
  <c r="AW102" i="15" a="1"/>
  <c r="AW102" i="15" s="1"/>
  <c r="BL102" i="15" s="1"/>
  <c r="AY161" i="15" a="1"/>
  <c r="AY161" i="15" s="1"/>
  <c r="BN161" i="15" s="1"/>
  <c r="BA178" i="15" a="1"/>
  <c r="BA178" i="15" s="1"/>
  <c r="BD178" i="15" s="1"/>
  <c r="AY141" i="15" a="1"/>
  <c r="AY141" i="15" s="1"/>
  <c r="BN141" i="15" s="1"/>
  <c r="AV42" i="15" a="1"/>
  <c r="AV42" i="15" s="1"/>
  <c r="BK42" i="15" s="1"/>
  <c r="BA68" i="15" a="1"/>
  <c r="BA68" i="15" s="1"/>
  <c r="BA192" i="15" a="1"/>
  <c r="BA192" i="15" s="1"/>
  <c r="BD192" i="15" s="1"/>
  <c r="AY187" i="15" a="1"/>
  <c r="AY187" i="15" s="1"/>
  <c r="BN187" i="15" s="1"/>
  <c r="AY52" i="15" a="1"/>
  <c r="AY52" i="15" s="1"/>
  <c r="BN52" i="15" s="1"/>
  <c r="BP181" i="15"/>
  <c r="D363" i="15"/>
  <c r="BO131" i="15"/>
  <c r="C131" i="15" s="1"/>
  <c r="C313" i="15"/>
  <c r="BP163" i="15"/>
  <c r="D345" i="15"/>
  <c r="BP161" i="15"/>
  <c r="D343" i="15"/>
  <c r="BP133" i="15"/>
  <c r="D315" i="15"/>
  <c r="BP140" i="15"/>
  <c r="D322" i="15"/>
  <c r="BO117" i="15"/>
  <c r="C117" i="15" s="1"/>
  <c r="C299" i="15"/>
  <c r="BO147" i="15"/>
  <c r="C147" i="15" s="1"/>
  <c r="C329" i="15"/>
  <c r="BP132" i="15"/>
  <c r="D314" i="15"/>
  <c r="AW42" i="15" a="1"/>
  <c r="AW42" i="15" s="1"/>
  <c r="BL42" i="15" s="1"/>
  <c r="AW36" i="15" a="1"/>
  <c r="AW36" i="15" s="1"/>
  <c r="BL36" i="15" s="1"/>
  <c r="AV47" i="15" a="1"/>
  <c r="AV47" i="15" s="1"/>
  <c r="BK47" i="15" s="1"/>
  <c r="AW147" i="15" a="1"/>
  <c r="AW147" i="15" s="1"/>
  <c r="BL147" i="15" s="1"/>
  <c r="AV27" i="15" a="1"/>
  <c r="AV27" i="15" s="1"/>
  <c r="BK27" i="15" s="1"/>
  <c r="AX73" i="15" a="1"/>
  <c r="AX73" i="15" s="1"/>
  <c r="BM73" i="15" s="1"/>
  <c r="BP116" i="15"/>
  <c r="D298" i="15"/>
  <c r="AY78" i="15" a="1"/>
  <c r="AY78" i="15" s="1"/>
  <c r="BN78" i="15" s="1"/>
  <c r="AV100" i="15" a="1"/>
  <c r="AV100" i="15" s="1"/>
  <c r="BK100" i="15" s="1"/>
  <c r="AY73" i="15" a="1"/>
  <c r="AY73" i="15" s="1"/>
  <c r="BN73" i="15" s="1"/>
  <c r="BP148" i="15"/>
  <c r="D330" i="15"/>
  <c r="AW75" i="15" a="1"/>
  <c r="AW75" i="15" s="1"/>
  <c r="BL75" i="15" s="1"/>
  <c r="AZ78" i="15" a="1"/>
  <c r="AZ78" i="15" s="1"/>
  <c r="C260" i="15" s="1"/>
  <c r="AX34" i="15" a="1"/>
  <c r="AX34" i="15" s="1"/>
  <c r="BM34" i="15" s="1"/>
  <c r="AW73" i="15" a="1"/>
  <c r="AW73" i="15" s="1"/>
  <c r="BL73" i="15" s="1"/>
  <c r="AW69" i="15" a="1"/>
  <c r="AW69" i="15" s="1"/>
  <c r="BL69" i="15" s="1"/>
  <c r="AX92" i="15" a="1"/>
  <c r="AX92" i="15" s="1"/>
  <c r="BM92" i="15" s="1"/>
  <c r="BO141" i="15"/>
  <c r="C141" i="15" s="1"/>
  <c r="C323" i="15"/>
  <c r="AY181" i="15" a="1"/>
  <c r="AY181" i="15" s="1"/>
  <c r="BN181" i="15" s="1"/>
  <c r="AW27" i="15" a="1"/>
  <c r="AW27" i="15" s="1"/>
  <c r="BL27" i="15" s="1"/>
  <c r="AZ192" i="15" a="1"/>
  <c r="AZ192" i="15" s="1"/>
  <c r="BO192" i="15" s="1"/>
  <c r="C192" i="15" s="1"/>
  <c r="AV160" i="15" a="1"/>
  <c r="AV160" i="15" s="1"/>
  <c r="BK160" i="15" s="1"/>
  <c r="BA131" i="15" a="1"/>
  <c r="BA131" i="15" s="1"/>
  <c r="AV123" i="15" a="1"/>
  <c r="AV123" i="15" s="1"/>
  <c r="BK123" i="15" s="1"/>
  <c r="AX91" i="15" a="1"/>
  <c r="AX91" i="15" s="1"/>
  <c r="BM91" i="15" s="1"/>
  <c r="AX75" i="15" a="1"/>
  <c r="AX75" i="15" s="1"/>
  <c r="BM75" i="15" s="1"/>
  <c r="BA35" i="15" a="1"/>
  <c r="BA35" i="15" s="1"/>
  <c r="BD35" i="15" s="1"/>
  <c r="AX42" i="15" a="1"/>
  <c r="AX42" i="15" s="1"/>
  <c r="BM42" i="15" s="1"/>
  <c r="AW26" i="15" a="1"/>
  <c r="AW26" i="15" s="1"/>
  <c r="BL26" i="15" s="1"/>
  <c r="AZ161" i="15" a="1"/>
  <c r="AZ161" i="15" s="1"/>
  <c r="BC161" i="15" s="1"/>
  <c r="AZ73" i="15" a="1"/>
  <c r="AZ73" i="15" s="1"/>
  <c r="C255" i="15" s="1"/>
  <c r="AX33" i="15" a="1"/>
  <c r="AX33" i="15" s="1"/>
  <c r="BM33" i="15" s="1"/>
  <c r="AW25" i="15" a="1"/>
  <c r="AW25" i="15" s="1"/>
  <c r="BL25" i="15" s="1"/>
  <c r="AZ77" i="15" a="1"/>
  <c r="AZ77" i="15" s="1"/>
  <c r="C259" i="15" s="1"/>
  <c r="AW193" i="15" a="1"/>
  <c r="AW193" i="15" s="1"/>
  <c r="BL193" i="15" s="1"/>
  <c r="AZ63" i="15" a="1"/>
  <c r="AZ63" i="15" s="1"/>
  <c r="C245" i="15" s="1"/>
  <c r="AW47" i="15" a="1"/>
  <c r="AW47" i="15" s="1"/>
  <c r="BL47" i="15" s="1"/>
  <c r="AZ92" i="15" a="1"/>
  <c r="AZ92" i="15" s="1"/>
  <c r="BO92" i="15" s="1"/>
  <c r="C92" i="15" s="1"/>
  <c r="AZ170" i="15" a="1"/>
  <c r="AZ170" i="15" s="1"/>
  <c r="AX133" i="15" a="1"/>
  <c r="AX133" i="15" s="1"/>
  <c r="BM133" i="15" s="1"/>
  <c r="AY117" i="15" a="1"/>
  <c r="AY117" i="15" s="1"/>
  <c r="BN117" i="15" s="1"/>
  <c r="AV187" i="15" a="1"/>
  <c r="AV187" i="15" s="1"/>
  <c r="BK187" i="15" s="1"/>
  <c r="AW169" i="15" a="1"/>
  <c r="AW169" i="15" s="1"/>
  <c r="BL169" i="15" s="1"/>
  <c r="AZ140" i="15" a="1"/>
  <c r="AZ140" i="15" s="1"/>
  <c r="BC140" i="15" s="1"/>
  <c r="AV84" i="15" a="1"/>
  <c r="AV84" i="15" s="1"/>
  <c r="BK84" i="15" s="1"/>
  <c r="AV52" i="15" a="1"/>
  <c r="AV52" i="15" s="1"/>
  <c r="BK52" i="15" s="1"/>
  <c r="AZ181" i="15" a="1"/>
  <c r="AZ181" i="15" s="1"/>
  <c r="BC181" i="15" s="1"/>
  <c r="AX147" i="15" a="1"/>
  <c r="AX147" i="15" s="1"/>
  <c r="BM147" i="15" s="1"/>
  <c r="AV133" i="15" a="1"/>
  <c r="AV133" i="15" s="1"/>
  <c r="BK133" i="15" s="1"/>
  <c r="AW139" i="15" a="1"/>
  <c r="AW139" i="15" s="1"/>
  <c r="BL139" i="15" s="1"/>
  <c r="AW91" i="15" a="1"/>
  <c r="AW91" i="15" s="1"/>
  <c r="BL91" i="15" s="1"/>
  <c r="BA25" i="15" a="1"/>
  <c r="BA25" i="15" s="1"/>
  <c r="BP155" i="15"/>
  <c r="D337" i="15"/>
  <c r="AW133" i="15" a="1"/>
  <c r="AW133" i="15" s="1"/>
  <c r="BL133" i="15" s="1"/>
  <c r="AW33" i="15" a="1"/>
  <c r="AW33" i="15" s="1"/>
  <c r="BL33" i="15" s="1"/>
  <c r="BA147" i="15" a="1"/>
  <c r="BA147" i="15" s="1"/>
  <c r="AY131" i="15" a="1"/>
  <c r="AY131" i="15" s="1"/>
  <c r="BN131" i="15" s="1"/>
  <c r="AZ91" i="15" a="1"/>
  <c r="AZ91" i="15" s="1"/>
  <c r="C273" i="15" s="1"/>
  <c r="AY75" i="15" a="1"/>
  <c r="AY75" i="15" s="1"/>
  <c r="BN75" i="15" s="1"/>
  <c r="AX27" i="15" a="1"/>
  <c r="AX27" i="15" s="1"/>
  <c r="BM27" i="15" s="1"/>
  <c r="AZ42" i="15" a="1"/>
  <c r="AZ42" i="15" s="1"/>
  <c r="C224" i="15" s="1"/>
  <c r="AV161" i="15" a="1"/>
  <c r="AV161" i="15" s="1"/>
  <c r="BK161" i="15" s="1"/>
  <c r="AZ28" i="15" a="1"/>
  <c r="AZ28" i="15" s="1"/>
  <c r="C210" i="15" s="1"/>
  <c r="AZ33" i="15" a="1"/>
  <c r="AZ33" i="15" s="1"/>
  <c r="BO33" i="15" s="1"/>
  <c r="C33" i="15" s="1"/>
  <c r="AX25" i="15" a="1"/>
  <c r="AX25" i="15" s="1"/>
  <c r="BM25" i="15" s="1"/>
  <c r="AV77" i="15" a="1"/>
  <c r="AV77" i="15" s="1"/>
  <c r="BK77" i="15" s="1"/>
  <c r="AV193" i="15" a="1"/>
  <c r="AV193" i="15" s="1"/>
  <c r="BK193" i="15" s="1"/>
  <c r="AX47" i="15" a="1"/>
  <c r="AX47" i="15" s="1"/>
  <c r="BM47" i="15" s="1"/>
  <c r="AY163" i="15" a="1"/>
  <c r="AY163" i="15" s="1"/>
  <c r="BN163" i="15" s="1"/>
  <c r="AX36" i="15" a="1"/>
  <c r="AX36" i="15" s="1"/>
  <c r="BM36" i="15" s="1"/>
  <c r="AY125" i="15" a="1"/>
  <c r="AY125" i="15" s="1"/>
  <c r="BN125" i="15" s="1"/>
  <c r="BA187" i="15" a="1"/>
  <c r="BA187" i="15" s="1"/>
  <c r="AW84" i="15" a="1"/>
  <c r="AW84" i="15" s="1"/>
  <c r="BL84" i="15" s="1"/>
  <c r="AV181" i="15" a="1"/>
  <c r="AV181" i="15" s="1"/>
  <c r="BK181" i="15" s="1"/>
  <c r="AZ65" i="15" a="1"/>
  <c r="AZ65" i="15" s="1"/>
  <c r="C247" i="15" s="1"/>
  <c r="AY65" i="15" a="1"/>
  <c r="AY65" i="15" s="1"/>
  <c r="BN65" i="15" s="1"/>
  <c r="AY42" i="15" a="1"/>
  <c r="AY42" i="15" s="1"/>
  <c r="BN42" i="15" s="1"/>
  <c r="AV148" i="15" a="1"/>
  <c r="AV148" i="15" s="1"/>
  <c r="BK148" i="15" s="1"/>
  <c r="AY147" i="15" a="1"/>
  <c r="AY147" i="15" s="1"/>
  <c r="BN147" i="15" s="1"/>
  <c r="BA91" i="15" a="1"/>
  <c r="BA91" i="15" s="1"/>
  <c r="AY27" i="15" a="1"/>
  <c r="AY27" i="15" s="1"/>
  <c r="BN27" i="15" s="1"/>
  <c r="BA84" i="15" a="1"/>
  <c r="BA84" i="15" s="1"/>
  <c r="BA65" i="15" a="1"/>
  <c r="BA65" i="15" s="1"/>
  <c r="BD65" i="15" s="1"/>
  <c r="BA33" i="15" a="1"/>
  <c r="BA33" i="15" s="1"/>
  <c r="AW77" i="15" a="1"/>
  <c r="AW77" i="15" s="1"/>
  <c r="BL77" i="15" s="1"/>
  <c r="AY47" i="15" a="1"/>
  <c r="AY47" i="15" s="1"/>
  <c r="BN47" i="15" s="1"/>
  <c r="AZ163" i="15" a="1"/>
  <c r="AZ163" i="15" s="1"/>
  <c r="BC163" i="15" s="1"/>
  <c r="AY36" i="15" a="1"/>
  <c r="AY36" i="15" s="1"/>
  <c r="BN36" i="15" s="1"/>
  <c r="BA194" i="15" a="1"/>
  <c r="BA194" i="15" s="1"/>
  <c r="AW125" i="15" a="1"/>
  <c r="AW125" i="15" s="1"/>
  <c r="BL125" i="15" s="1"/>
  <c r="AW187" i="15" a="1"/>
  <c r="AW187" i="15" s="1"/>
  <c r="BL187" i="15" s="1"/>
  <c r="AX84" i="15" a="1"/>
  <c r="AX84" i="15" s="1"/>
  <c r="BM84" i="15" s="1"/>
  <c r="AW20" i="15" a="1"/>
  <c r="AW20" i="15" s="1"/>
  <c r="BL20" i="15" s="1"/>
  <c r="AW181" i="15" a="1"/>
  <c r="AW181" i="15" s="1"/>
  <c r="BL181" i="15" s="1"/>
  <c r="AX44" i="15" a="1"/>
  <c r="AX44" i="15" s="1"/>
  <c r="BM44" i="15" s="1"/>
  <c r="AX181" i="15" a="1"/>
  <c r="AX181" i="15" s="1"/>
  <c r="BM181" i="15" s="1"/>
  <c r="C261" i="15"/>
  <c r="BO79" i="15"/>
  <c r="C79" i="15" s="1"/>
  <c r="C292" i="15"/>
  <c r="BO110" i="15"/>
  <c r="C110" i="15" s="1"/>
  <c r="D223" i="15"/>
  <c r="BP41" i="15"/>
  <c r="BA168" i="15" a="1"/>
  <c r="BA168" i="15" s="1"/>
  <c r="AX139" i="15" a="1"/>
  <c r="AX139" i="15" s="1"/>
  <c r="BM139" i="15" s="1"/>
  <c r="AY100" i="15" a="1"/>
  <c r="AY100" i="15" s="1"/>
  <c r="BN100" i="15" s="1"/>
  <c r="AX50" i="15" a="1"/>
  <c r="AX50" i="15" s="1"/>
  <c r="BM50" i="15" s="1"/>
  <c r="BO34" i="15"/>
  <c r="C34" i="15" s="1"/>
  <c r="BA195" i="15" a="1"/>
  <c r="BA195" i="15" s="1"/>
  <c r="D258" i="15"/>
  <c r="BP76" i="15"/>
  <c r="AW79" i="15" a="1"/>
  <c r="AW79" i="15" s="1"/>
  <c r="BL79" i="15" s="1"/>
  <c r="AZ57" i="15" a="1"/>
  <c r="AZ57" i="15" s="1"/>
  <c r="AV41" i="15" a="1"/>
  <c r="AV41" i="15" s="1"/>
  <c r="BK41" i="15" s="1"/>
  <c r="AZ86" i="15" a="1"/>
  <c r="AZ86" i="15" s="1"/>
  <c r="AX148" i="15" a="1"/>
  <c r="AX148" i="15" s="1"/>
  <c r="BM148" i="15" s="1"/>
  <c r="D242" i="15"/>
  <c r="BP60" i="15"/>
  <c r="BS60" i="15" s="1"/>
  <c r="AY44" i="15" a="1"/>
  <c r="AY44" i="15" s="1"/>
  <c r="BN44" i="15" s="1"/>
  <c r="AY79" i="15" a="1"/>
  <c r="AY79" i="15" s="1"/>
  <c r="BN79" i="15" s="1"/>
  <c r="C229" i="15"/>
  <c r="BO47" i="15"/>
  <c r="C47" i="15" s="1"/>
  <c r="AY92" i="15" a="1"/>
  <c r="AY92" i="15" s="1"/>
  <c r="BN92" i="15" s="1"/>
  <c r="AV194" i="15" a="1"/>
  <c r="AV194" i="15" s="1"/>
  <c r="BK194" i="15" s="1"/>
  <c r="AW35" i="15" a="1"/>
  <c r="AW35" i="15" s="1"/>
  <c r="BL35" i="15" s="1"/>
  <c r="C209" i="15"/>
  <c r="C27" i="15"/>
  <c r="BA100" i="15" a="1"/>
  <c r="BA100" i="15" s="1"/>
  <c r="AV195" i="15" a="1"/>
  <c r="AV195" i="15" s="1"/>
  <c r="BK195" i="15" s="1"/>
  <c r="AV28" i="15" a="1"/>
  <c r="AV28" i="15" s="1"/>
  <c r="BK28" i="15" s="1"/>
  <c r="D204" i="15"/>
  <c r="BP22" i="15"/>
  <c r="AY41" i="15" a="1"/>
  <c r="AY41" i="15" s="1"/>
  <c r="BN41" i="15" s="1"/>
  <c r="C199" i="15"/>
  <c r="BO17" i="15"/>
  <c r="C17" i="15" s="1"/>
  <c r="AY148" i="15" a="1"/>
  <c r="AY148" i="15" s="1"/>
  <c r="BN148" i="15" s="1"/>
  <c r="AW110" i="15" a="1"/>
  <c r="AW110" i="15" s="1"/>
  <c r="BL110" i="15" s="1"/>
  <c r="D211" i="15"/>
  <c r="BP29" i="15"/>
  <c r="AW71" i="15" a="1"/>
  <c r="AW71" i="15" s="1"/>
  <c r="BL71" i="15" s="1"/>
  <c r="AV71" i="15" a="1"/>
  <c r="AV71" i="15" s="1"/>
  <c r="BK71" i="15" s="1"/>
  <c r="AZ100" i="15" a="1"/>
  <c r="AZ100" i="15" s="1"/>
  <c r="C213" i="15"/>
  <c r="BO31" i="15"/>
  <c r="C31" i="15" s="1"/>
  <c r="AV184" i="15" a="1"/>
  <c r="AV184" i="15" s="1"/>
  <c r="BK184" i="15" s="1"/>
  <c r="BA139" i="15" a="1"/>
  <c r="BA139" i="15" s="1"/>
  <c r="BD139" i="15" s="1"/>
  <c r="AX83" i="15" a="1"/>
  <c r="AX83" i="15" s="1"/>
  <c r="BM83" i="15" s="1"/>
  <c r="AX35" i="15" a="1"/>
  <c r="AX35" i="15" s="1"/>
  <c r="BM35" i="15" s="1"/>
  <c r="AZ50" i="15" a="1"/>
  <c r="AZ50" i="15" s="1"/>
  <c r="AW66" i="15" a="1"/>
  <c r="AW66" i="15" s="1"/>
  <c r="BL66" i="15" s="1"/>
  <c r="C240" i="15"/>
  <c r="BO58" i="15"/>
  <c r="C58" i="15" s="1"/>
  <c r="AW195" i="15" a="1"/>
  <c r="AW195" i="15" s="1"/>
  <c r="BL195" i="15" s="1"/>
  <c r="BA28" i="15" a="1"/>
  <c r="BA28" i="15" s="1"/>
  <c r="AZ41" i="15" a="1"/>
  <c r="AZ41" i="15" s="1"/>
  <c r="BC41" i="15" s="1"/>
  <c r="BA86" i="15" a="1"/>
  <c r="BA86" i="15" s="1"/>
  <c r="AZ148" i="15" a="1"/>
  <c r="AZ148" i="15" s="1"/>
  <c r="BC148" i="15" s="1"/>
  <c r="AX110" i="15" a="1"/>
  <c r="AX110" i="15" s="1"/>
  <c r="BM110" i="15" s="1"/>
  <c r="AY71" i="15" a="1"/>
  <c r="AY71" i="15" s="1"/>
  <c r="BN71" i="15" s="1"/>
  <c r="AW194" i="15" a="1"/>
  <c r="AW194" i="15" s="1"/>
  <c r="BL194" i="15" s="1"/>
  <c r="AW83" i="15" a="1"/>
  <c r="AW83" i="15" s="1"/>
  <c r="BL83" i="15" s="1"/>
  <c r="D205" i="15"/>
  <c r="BP23" i="15"/>
  <c r="D255" i="15"/>
  <c r="BP73" i="15"/>
  <c r="BA184" i="15" a="1"/>
  <c r="BA184" i="15" s="1"/>
  <c r="AW168" i="15" a="1"/>
  <c r="AW168" i="15" s="1"/>
  <c r="BL168" i="15" s="1"/>
  <c r="AW184" i="15" a="1"/>
  <c r="AW184" i="15" s="1"/>
  <c r="BL184" i="15" s="1"/>
  <c r="AY139" i="15" a="1"/>
  <c r="AY139" i="15" s="1"/>
  <c r="BN139" i="15" s="1"/>
  <c r="AZ83" i="15" a="1"/>
  <c r="AZ83" i="15" s="1"/>
  <c r="C257" i="15"/>
  <c r="BO75" i="15"/>
  <c r="C75" i="15" s="1"/>
  <c r="D233" i="15"/>
  <c r="BP51" i="15"/>
  <c r="BS51" i="15" s="1"/>
  <c r="AY35" i="15" a="1"/>
  <c r="AY35" i="15" s="1"/>
  <c r="BN35" i="15" s="1"/>
  <c r="AY66" i="15" a="1"/>
  <c r="AY66" i="15" s="1"/>
  <c r="BN66" i="15" s="1"/>
  <c r="AW28" i="15" a="1"/>
  <c r="AW28" i="15" s="1"/>
  <c r="BL28" i="15" s="1"/>
  <c r="AV86" i="15" a="1"/>
  <c r="AV86" i="15" s="1"/>
  <c r="BK86" i="15" s="1"/>
  <c r="AV110" i="15" a="1"/>
  <c r="AV110" i="15" s="1"/>
  <c r="BK110" i="15" s="1"/>
  <c r="BA44" i="15" a="1"/>
  <c r="BA44" i="15" s="1"/>
  <c r="AZ71" i="15" a="1"/>
  <c r="AZ71" i="15" s="1"/>
  <c r="BA92" i="15" a="1"/>
  <c r="BA92" i="15" s="1"/>
  <c r="C218" i="15"/>
  <c r="BO36" i="15"/>
  <c r="C36" i="15" s="1"/>
  <c r="AX194" i="15" a="1"/>
  <c r="AX194" i="15" s="1"/>
  <c r="BM194" i="15" s="1"/>
  <c r="C227" i="15"/>
  <c r="BO45" i="15"/>
  <c r="C45" i="15" s="1"/>
  <c r="D236" i="15"/>
  <c r="BP54" i="15"/>
  <c r="BS54" i="15" s="1"/>
  <c r="AZ184" i="15" a="1"/>
  <c r="AZ184" i="15" s="1"/>
  <c r="AX184" i="15" a="1"/>
  <c r="AX184" i="15" s="1"/>
  <c r="BM184" i="15" s="1"/>
  <c r="AX168" i="15" a="1"/>
  <c r="AX168" i="15" s="1"/>
  <c r="BM168" i="15" s="1"/>
  <c r="AZ139" i="15" a="1"/>
  <c r="AZ139" i="15" s="1"/>
  <c r="BA83" i="15" a="1"/>
  <c r="BA83" i="15" s="1"/>
  <c r="AZ35" i="15" a="1"/>
  <c r="AZ35" i="15" s="1"/>
  <c r="AW100" i="15" a="1"/>
  <c r="AW100" i="15" s="1"/>
  <c r="BL100" i="15" s="1"/>
  <c r="AZ66" i="15" a="1"/>
  <c r="AZ66" i="15" s="1"/>
  <c r="BA50" i="15" a="1"/>
  <c r="BA50" i="15" s="1"/>
  <c r="BD50" i="15" s="1"/>
  <c r="AX28" i="15" a="1"/>
  <c r="AX28" i="15" s="1"/>
  <c r="BM28" i="15" s="1"/>
  <c r="AW57" i="15" a="1"/>
  <c r="AW57" i="15" s="1"/>
  <c r="BL57" i="15" s="1"/>
  <c r="AW86" i="15" a="1"/>
  <c r="AW86" i="15" s="1"/>
  <c r="BL86" i="15" s="1"/>
  <c r="AY110" i="15" a="1"/>
  <c r="AY110" i="15" s="1"/>
  <c r="BN110" i="15" s="1"/>
  <c r="AV44" i="15" a="1"/>
  <c r="AV44" i="15" s="1"/>
  <c r="BK44" i="15" s="1"/>
  <c r="AX79" i="15" a="1"/>
  <c r="AX79" i="15" s="1"/>
  <c r="BM79" i="15" s="1"/>
  <c r="BA71" i="15" a="1"/>
  <c r="BA71" i="15" s="1"/>
  <c r="BD71" i="15" s="1"/>
  <c r="AV92" i="15" a="1"/>
  <c r="AV92" i="15" s="1"/>
  <c r="BK92" i="15" s="1"/>
  <c r="AY194" i="15" a="1"/>
  <c r="AY194" i="15" s="1"/>
  <c r="BN194" i="15" s="1"/>
  <c r="C291" i="15"/>
  <c r="BO109" i="15"/>
  <c r="C109" i="15" s="1"/>
  <c r="D241" i="15"/>
  <c r="BP59" i="15"/>
  <c r="D245" i="15"/>
  <c r="BP63" i="15"/>
  <c r="AZ44" i="15" a="1"/>
  <c r="AZ44" i="15" s="1"/>
  <c r="D225" i="15"/>
  <c r="BP43" i="15"/>
  <c r="BA66" i="15" a="1"/>
  <c r="BA66" i="15" s="1"/>
  <c r="BD66" i="15" s="1"/>
  <c r="D224" i="15"/>
  <c r="BP42" i="15"/>
  <c r="D200" i="15"/>
  <c r="BP18" i="15"/>
  <c r="AY57" i="15" a="1"/>
  <c r="AY57" i="15" s="1"/>
  <c r="BN57" i="15" s="1"/>
  <c r="D198" i="15"/>
  <c r="BP16" i="15"/>
  <c r="AX143" i="15" a="1"/>
  <c r="AX143" i="15" s="1"/>
  <c r="BM143" i="15" s="1"/>
  <c r="AW143" i="15" a="1"/>
  <c r="AW143" i="15" s="1"/>
  <c r="BL143" i="15" s="1"/>
  <c r="AV143" i="15" a="1"/>
  <c r="AV143" i="15" s="1"/>
  <c r="BK143" i="15" s="1"/>
  <c r="AZ143" i="15" a="1"/>
  <c r="AZ143" i="15" s="1"/>
  <c r="AY143" i="15" a="1"/>
  <c r="AY143" i="15" s="1"/>
  <c r="BN143" i="15" s="1"/>
  <c r="BA143" i="15" a="1"/>
  <c r="BA143" i="15" s="1"/>
  <c r="AW189" i="15" a="1"/>
  <c r="AW189" i="15" s="1"/>
  <c r="BL189" i="15" s="1"/>
  <c r="AV189" i="15" a="1"/>
  <c r="AV189" i="15" s="1"/>
  <c r="BK189" i="15" s="1"/>
  <c r="BA189" i="15" a="1"/>
  <c r="BA189" i="15" s="1"/>
  <c r="AY189" i="15" a="1"/>
  <c r="AY189" i="15" s="1"/>
  <c r="BN189" i="15" s="1"/>
  <c r="AZ189" i="15" a="1"/>
  <c r="AZ189" i="15" s="1"/>
  <c r="C371" i="15" s="1"/>
  <c r="AX189" i="15" a="1"/>
  <c r="AX189" i="15" s="1"/>
  <c r="BM189" i="15" s="1"/>
  <c r="AZ70" i="15" a="1"/>
  <c r="AZ70" i="15" s="1"/>
  <c r="AY70" i="15" a="1"/>
  <c r="AY70" i="15" s="1"/>
  <c r="BN70" i="15" s="1"/>
  <c r="AX70" i="15" a="1"/>
  <c r="AX70" i="15" s="1"/>
  <c r="BM70" i="15" s="1"/>
  <c r="AW70" i="15" a="1"/>
  <c r="AW70" i="15" s="1"/>
  <c r="BL70" i="15" s="1"/>
  <c r="AV70" i="15" a="1"/>
  <c r="AV70" i="15" s="1"/>
  <c r="BK70" i="15" s="1"/>
  <c r="BA70" i="15" a="1"/>
  <c r="BA70" i="15" s="1"/>
  <c r="AX173" i="15" a="1"/>
  <c r="AX173" i="15" s="1"/>
  <c r="BM173" i="15" s="1"/>
  <c r="AW173" i="15" a="1"/>
  <c r="AW173" i="15" s="1"/>
  <c r="BL173" i="15" s="1"/>
  <c r="AV173" i="15" a="1"/>
  <c r="AV173" i="15" s="1"/>
  <c r="BK173" i="15" s="1"/>
  <c r="AZ173" i="15" a="1"/>
  <c r="AZ173" i="15" s="1"/>
  <c r="BA173" i="15" a="1"/>
  <c r="BA173" i="15" s="1"/>
  <c r="AY173" i="15" a="1"/>
  <c r="AY173" i="15" s="1"/>
  <c r="BN173" i="15" s="1"/>
  <c r="BA174" i="15" a="1"/>
  <c r="BA174" i="15" s="1"/>
  <c r="AZ174" i="15" a="1"/>
  <c r="AZ174" i="15" s="1"/>
  <c r="C356" i="15" s="1"/>
  <c r="AY174" i="15" a="1"/>
  <c r="AY174" i="15" s="1"/>
  <c r="BN174" i="15" s="1"/>
  <c r="AX174" i="15" a="1"/>
  <c r="AX174" i="15" s="1"/>
  <c r="BM174" i="15" s="1"/>
  <c r="AV174" i="15" a="1"/>
  <c r="AV174" i="15" s="1"/>
  <c r="BK174" i="15" s="1"/>
  <c r="AW174" i="15" a="1"/>
  <c r="AW174" i="15" s="1"/>
  <c r="BL174" i="15" s="1"/>
  <c r="AX121" i="15" a="1"/>
  <c r="AX121" i="15" s="1"/>
  <c r="BM121" i="15" s="1"/>
  <c r="AW121" i="15" a="1"/>
  <c r="AW121" i="15" s="1"/>
  <c r="BL121" i="15" s="1"/>
  <c r="AV121" i="15" a="1"/>
  <c r="AV121" i="15" s="1"/>
  <c r="BK121" i="15" s="1"/>
  <c r="AZ121" i="15" a="1"/>
  <c r="AZ121" i="15" s="1"/>
  <c r="AY121" i="15" a="1"/>
  <c r="AY121" i="15" s="1"/>
  <c r="BN121" i="15" s="1"/>
  <c r="BA121" i="15" a="1"/>
  <c r="BA121" i="15" s="1"/>
  <c r="AZ94" i="15" a="1"/>
  <c r="AZ94" i="15" s="1"/>
  <c r="AY94" i="15" a="1"/>
  <c r="AY94" i="15" s="1"/>
  <c r="BN94" i="15" s="1"/>
  <c r="AX94" i="15" a="1"/>
  <c r="AX94" i="15" s="1"/>
  <c r="BM94" i="15" s="1"/>
  <c r="AW94" i="15" a="1"/>
  <c r="AW94" i="15" s="1"/>
  <c r="BL94" i="15" s="1"/>
  <c r="AV94" i="15" a="1"/>
  <c r="AV94" i="15" s="1"/>
  <c r="BK94" i="15" s="1"/>
  <c r="BA94" i="15" a="1"/>
  <c r="BA94" i="15" s="1"/>
  <c r="AV197" i="15" a="1"/>
  <c r="AV197" i="15" s="1"/>
  <c r="BK197" i="15" s="1"/>
  <c r="BA197" i="15" a="1"/>
  <c r="BA197" i="15" s="1"/>
  <c r="AZ197" i="15" a="1"/>
  <c r="AZ197" i="15" s="1"/>
  <c r="BO197" i="15" s="1"/>
  <c r="C197" i="15" s="1"/>
  <c r="AX197" i="15" a="1"/>
  <c r="AX197" i="15" s="1"/>
  <c r="BM197" i="15" s="1"/>
  <c r="AY197" i="15" a="1"/>
  <c r="AY197" i="15" s="1"/>
  <c r="BN197" i="15" s="1"/>
  <c r="AW197" i="15" a="1"/>
  <c r="AW197" i="15" s="1"/>
  <c r="BL197" i="15" s="1"/>
  <c r="BA188" i="15" a="1"/>
  <c r="BA188" i="15" s="1"/>
  <c r="AZ188" i="15" a="1"/>
  <c r="AZ188" i="15" s="1"/>
  <c r="AY188" i="15" a="1"/>
  <c r="AY188" i="15" s="1"/>
  <c r="BN188" i="15" s="1"/>
  <c r="AW188" i="15" a="1"/>
  <c r="AW188" i="15" s="1"/>
  <c r="BL188" i="15" s="1"/>
  <c r="AX188" i="15" a="1"/>
  <c r="AX188" i="15" s="1"/>
  <c r="BM188" i="15" s="1"/>
  <c r="AV188" i="15" a="1"/>
  <c r="AV188" i="15" s="1"/>
  <c r="BK188" i="15" s="1"/>
  <c r="AX135" i="15" a="1"/>
  <c r="AX135" i="15" s="1"/>
  <c r="BM135" i="15" s="1"/>
  <c r="AW135" i="15" a="1"/>
  <c r="AW135" i="15" s="1"/>
  <c r="BL135" i="15" s="1"/>
  <c r="AV135" i="15" a="1"/>
  <c r="AV135" i="15" s="1"/>
  <c r="BK135" i="15" s="1"/>
  <c r="AZ135" i="15" a="1"/>
  <c r="AZ135" i="15" s="1"/>
  <c r="AY135" i="15" a="1"/>
  <c r="AY135" i="15" s="1"/>
  <c r="BN135" i="15" s="1"/>
  <c r="BA135" i="15" a="1"/>
  <c r="BA135" i="15" s="1"/>
  <c r="BA157" i="15" a="1"/>
  <c r="BA157" i="15" s="1"/>
  <c r="AZ157" i="15" a="1"/>
  <c r="AZ157" i="15" s="1"/>
  <c r="AW157" i="15" a="1"/>
  <c r="AW157" i="15" s="1"/>
  <c r="BL157" i="15" s="1"/>
  <c r="AV157" i="15" a="1"/>
  <c r="AV157" i="15" s="1"/>
  <c r="BK157" i="15" s="1"/>
  <c r="AY157" i="15" a="1"/>
  <c r="AY157" i="15" s="1"/>
  <c r="BN157" i="15" s="1"/>
  <c r="AX157" i="15" a="1"/>
  <c r="AX157" i="15" s="1"/>
  <c r="BM157" i="15" s="1"/>
  <c r="BA118" i="15" a="1"/>
  <c r="BA118" i="15" s="1"/>
  <c r="AZ118" i="15" a="1"/>
  <c r="AZ118" i="15" s="1"/>
  <c r="AY118" i="15" a="1"/>
  <c r="AY118" i="15" s="1"/>
  <c r="BN118" i="15" s="1"/>
  <c r="AV118" i="15" a="1"/>
  <c r="AV118" i="15" s="1"/>
  <c r="BK118" i="15" s="1"/>
  <c r="AX118" i="15" a="1"/>
  <c r="AX118" i="15" s="1"/>
  <c r="BM118" i="15" s="1"/>
  <c r="AW118" i="15" a="1"/>
  <c r="AW118" i="15" s="1"/>
  <c r="BL118" i="15" s="1"/>
  <c r="AZ90" i="15" a="1"/>
  <c r="AZ90" i="15" s="1"/>
  <c r="AY90" i="15" a="1"/>
  <c r="AY90" i="15" s="1"/>
  <c r="BN90" i="15" s="1"/>
  <c r="AX90" i="15" a="1"/>
  <c r="AX90" i="15" s="1"/>
  <c r="BM90" i="15" s="1"/>
  <c r="AW90" i="15" a="1"/>
  <c r="AW90" i="15" s="1"/>
  <c r="BL90" i="15" s="1"/>
  <c r="AV90" i="15" a="1"/>
  <c r="AV90" i="15" s="1"/>
  <c r="BK90" i="15" s="1"/>
  <c r="BA90" i="15" a="1"/>
  <c r="BA90" i="15" s="1"/>
  <c r="AY166" i="15" a="1"/>
  <c r="AY166" i="15" s="1"/>
  <c r="BN166" i="15" s="1"/>
  <c r="AX166" i="15" a="1"/>
  <c r="AX166" i="15" s="1"/>
  <c r="BM166" i="15" s="1"/>
  <c r="AW166" i="15" a="1"/>
  <c r="AW166" i="15" s="1"/>
  <c r="BL166" i="15" s="1"/>
  <c r="BA166" i="15" a="1"/>
  <c r="BA166" i="15" s="1"/>
  <c r="AZ166" i="15" a="1"/>
  <c r="AZ166" i="15" s="1"/>
  <c r="AV166" i="15" a="1"/>
  <c r="AV166" i="15" s="1"/>
  <c r="BK166" i="15" s="1"/>
  <c r="BA165" i="15" a="1"/>
  <c r="BA165" i="15" s="1"/>
  <c r="AZ165" i="15" a="1"/>
  <c r="AZ165" i="15" s="1"/>
  <c r="AY165" i="15" a="1"/>
  <c r="AY165" i="15" s="1"/>
  <c r="BN165" i="15" s="1"/>
  <c r="AW165" i="15" a="1"/>
  <c r="AW165" i="15" s="1"/>
  <c r="BL165" i="15" s="1"/>
  <c r="AX165" i="15" a="1"/>
  <c r="AX165" i="15" s="1"/>
  <c r="BM165" i="15" s="1"/>
  <c r="AV165" i="15" a="1"/>
  <c r="AV165" i="15" s="1"/>
  <c r="BK165" i="15" s="1"/>
  <c r="BA136" i="15" a="1"/>
  <c r="BA136" i="15" s="1"/>
  <c r="AZ136" i="15" a="1"/>
  <c r="AZ136" i="15" s="1"/>
  <c r="AY136" i="15" a="1"/>
  <c r="AY136" i="15" s="1"/>
  <c r="BN136" i="15" s="1"/>
  <c r="AV136" i="15" a="1"/>
  <c r="AV136" i="15" s="1"/>
  <c r="BK136" i="15" s="1"/>
  <c r="AX136" i="15" a="1"/>
  <c r="AX136" i="15" s="1"/>
  <c r="BM136" i="15" s="1"/>
  <c r="AW136" i="15" a="1"/>
  <c r="AW136" i="15" s="1"/>
  <c r="BL136" i="15" s="1"/>
  <c r="BA128" i="15" a="1"/>
  <c r="BA128" i="15" s="1"/>
  <c r="AZ128" i="15" a="1"/>
  <c r="AZ128" i="15" s="1"/>
  <c r="AY128" i="15" a="1"/>
  <c r="AY128" i="15" s="1"/>
  <c r="BN128" i="15" s="1"/>
  <c r="AV128" i="15" a="1"/>
  <c r="AV128" i="15" s="1"/>
  <c r="BK128" i="15" s="1"/>
  <c r="AX128" i="15" a="1"/>
  <c r="AX128" i="15" s="1"/>
  <c r="BM128" i="15" s="1"/>
  <c r="AW128" i="15" a="1"/>
  <c r="AW128" i="15" s="1"/>
  <c r="BL128" i="15" s="1"/>
  <c r="AV191" i="15" a="1"/>
  <c r="AV191" i="15" s="1"/>
  <c r="BK191" i="15" s="1"/>
  <c r="BA191" i="15" a="1"/>
  <c r="BA191" i="15" s="1"/>
  <c r="AZ191" i="15" a="1"/>
  <c r="AZ191" i="15" s="1"/>
  <c r="AY191" i="15" a="1"/>
  <c r="AY191" i="15" s="1"/>
  <c r="BN191" i="15" s="1"/>
  <c r="AX191" i="15" a="1"/>
  <c r="AX191" i="15" s="1"/>
  <c r="BM191" i="15" s="1"/>
  <c r="AW191" i="15" a="1"/>
  <c r="AW191" i="15" s="1"/>
  <c r="BL191" i="15" s="1"/>
  <c r="BA138" i="15" a="1"/>
  <c r="BA138" i="15" s="1"/>
  <c r="AZ138" i="15" a="1"/>
  <c r="AZ138" i="15" s="1"/>
  <c r="AY138" i="15" a="1"/>
  <c r="AY138" i="15" s="1"/>
  <c r="BN138" i="15" s="1"/>
  <c r="AV138" i="15" a="1"/>
  <c r="AV138" i="15" s="1"/>
  <c r="BK138" i="15" s="1"/>
  <c r="AX138" i="15" a="1"/>
  <c r="AX138" i="15" s="1"/>
  <c r="BM138" i="15" s="1"/>
  <c r="AW138" i="15" a="1"/>
  <c r="AW138" i="15" s="1"/>
  <c r="BL138" i="15" s="1"/>
  <c r="AZ82" i="15" a="1"/>
  <c r="AZ82" i="15" s="1"/>
  <c r="AY82" i="15" a="1"/>
  <c r="AY82" i="15" s="1"/>
  <c r="BN82" i="15" s="1"/>
  <c r="AX82" i="15" a="1"/>
  <c r="AX82" i="15" s="1"/>
  <c r="BM82" i="15" s="1"/>
  <c r="AW82" i="15" a="1"/>
  <c r="AW82" i="15" s="1"/>
  <c r="BL82" i="15" s="1"/>
  <c r="AV82" i="15" a="1"/>
  <c r="AV82" i="15" s="1"/>
  <c r="BK82" i="15" s="1"/>
  <c r="BA82" i="15" a="1"/>
  <c r="BA82" i="15" s="1"/>
  <c r="BA120" i="15" a="1"/>
  <c r="BA120" i="15" s="1"/>
  <c r="AZ120" i="15" a="1"/>
  <c r="AZ120" i="15" s="1"/>
  <c r="AY120" i="15" a="1"/>
  <c r="AY120" i="15" s="1"/>
  <c r="BN120" i="15" s="1"/>
  <c r="AV120" i="15" a="1"/>
  <c r="AV120" i="15" s="1"/>
  <c r="BK120" i="15" s="1"/>
  <c r="AW120" i="15" a="1"/>
  <c r="AW120" i="15" s="1"/>
  <c r="BL120" i="15" s="1"/>
  <c r="AX120" i="15" a="1"/>
  <c r="AX120" i="15" s="1"/>
  <c r="BM120" i="15" s="1"/>
  <c r="AW158" i="15" a="1"/>
  <c r="AW158" i="15" s="1"/>
  <c r="BL158" i="15" s="1"/>
  <c r="AV158" i="15" a="1"/>
  <c r="AV158" i="15" s="1"/>
  <c r="BK158" i="15" s="1"/>
  <c r="BA158" i="15" a="1"/>
  <c r="BA158" i="15" s="1"/>
  <c r="AZ158" i="15" a="1"/>
  <c r="AZ158" i="15" s="1"/>
  <c r="AX158" i="15" a="1"/>
  <c r="AX158" i="15" s="1"/>
  <c r="BM158" i="15" s="1"/>
  <c r="AY158" i="15" a="1"/>
  <c r="AY158" i="15" s="1"/>
  <c r="BN158" i="15" s="1"/>
  <c r="AX105" i="15" a="1"/>
  <c r="AX105" i="15" s="1"/>
  <c r="BM105" i="15" s="1"/>
  <c r="AW105" i="15" a="1"/>
  <c r="AW105" i="15" s="1"/>
  <c r="BL105" i="15" s="1"/>
  <c r="AV105" i="15" a="1"/>
  <c r="AV105" i="15" s="1"/>
  <c r="BK105" i="15" s="1"/>
  <c r="AZ105" i="15" a="1"/>
  <c r="AZ105" i="15" s="1"/>
  <c r="AY105" i="15" a="1"/>
  <c r="AY105" i="15" s="1"/>
  <c r="BN105" i="15" s="1"/>
  <c r="BA105" i="15" a="1"/>
  <c r="BA105" i="15" s="1"/>
  <c r="AV30" i="15" a="1"/>
  <c r="AV30" i="15" s="1"/>
  <c r="BK30" i="15" s="1"/>
  <c r="BA30" i="15" a="1"/>
  <c r="BA30" i="15" s="1"/>
  <c r="AZ30" i="15" a="1"/>
  <c r="AZ30" i="15" s="1"/>
  <c r="AY30" i="15" a="1"/>
  <c r="AY30" i="15" s="1"/>
  <c r="BN30" i="15" s="1"/>
  <c r="AX30" i="15" a="1"/>
  <c r="AX30" i="15" s="1"/>
  <c r="BM30" i="15" s="1"/>
  <c r="AW30" i="15" a="1"/>
  <c r="AW30" i="15" s="1"/>
  <c r="BL30" i="15" s="1"/>
  <c r="BA144" i="15" a="1"/>
  <c r="BA144" i="15" s="1"/>
  <c r="AZ144" i="15" a="1"/>
  <c r="AZ144" i="15" s="1"/>
  <c r="AY144" i="15" a="1"/>
  <c r="AY144" i="15" s="1"/>
  <c r="BN144" i="15" s="1"/>
  <c r="AV144" i="15" a="1"/>
  <c r="AV144" i="15" s="1"/>
  <c r="BK144" i="15" s="1"/>
  <c r="AX144" i="15" a="1"/>
  <c r="AX144" i="15" s="1"/>
  <c r="BM144" i="15" s="1"/>
  <c r="AW144" i="15" a="1"/>
  <c r="AW144" i="15" s="1"/>
  <c r="BL144" i="15" s="1"/>
  <c r="AV172" i="15" a="1"/>
  <c r="AV172" i="15" s="1"/>
  <c r="BK172" i="15" s="1"/>
  <c r="BA172" i="15" a="1"/>
  <c r="BA172" i="15" s="1"/>
  <c r="AZ172" i="15" a="1"/>
  <c r="AZ172" i="15" s="1"/>
  <c r="AY172" i="15" a="1"/>
  <c r="AY172" i="15" s="1"/>
  <c r="BN172" i="15" s="1"/>
  <c r="AX172" i="15" a="1"/>
  <c r="AX172" i="15" s="1"/>
  <c r="BM172" i="15" s="1"/>
  <c r="AW172" i="15" a="1"/>
  <c r="AW172" i="15" s="1"/>
  <c r="BL172" i="15" s="1"/>
  <c r="AX119" i="15" a="1"/>
  <c r="AX119" i="15" s="1"/>
  <c r="BM119" i="15" s="1"/>
  <c r="AW119" i="15" a="1"/>
  <c r="AW119" i="15" s="1"/>
  <c r="BL119" i="15" s="1"/>
  <c r="AV119" i="15" a="1"/>
  <c r="AV119" i="15" s="1"/>
  <c r="BK119" i="15" s="1"/>
  <c r="AZ119" i="15" a="1"/>
  <c r="AZ119" i="15" s="1"/>
  <c r="AY119" i="15" a="1"/>
  <c r="AY119" i="15" s="1"/>
  <c r="BN119" i="15" s="1"/>
  <c r="BA119" i="15" a="1"/>
  <c r="BA119" i="15" s="1"/>
  <c r="BA104" i="15" a="1"/>
  <c r="BA104" i="15" s="1"/>
  <c r="AZ104" i="15" a="1"/>
  <c r="AZ104" i="15" s="1"/>
  <c r="AY104" i="15" a="1"/>
  <c r="AY104" i="15" s="1"/>
  <c r="BN104" i="15" s="1"/>
  <c r="AV104" i="15" a="1"/>
  <c r="AV104" i="15" s="1"/>
  <c r="BK104" i="15" s="1"/>
  <c r="AW104" i="15" a="1"/>
  <c r="AW104" i="15" s="1"/>
  <c r="BL104" i="15" s="1"/>
  <c r="AX104" i="15" a="1"/>
  <c r="AX104" i="15" s="1"/>
  <c r="BM104" i="15" s="1"/>
  <c r="BA98" i="15" a="1"/>
  <c r="BA98" i="15" s="1"/>
  <c r="AZ98" i="15" a="1"/>
  <c r="AZ98" i="15" s="1"/>
  <c r="AY98" i="15" a="1"/>
  <c r="AY98" i="15" s="1"/>
  <c r="BN98" i="15" s="1"/>
  <c r="AV98" i="15" a="1"/>
  <c r="AV98" i="15" s="1"/>
  <c r="BK98" i="15" s="1"/>
  <c r="AX98" i="15" a="1"/>
  <c r="AX98" i="15" s="1"/>
  <c r="BM98" i="15" s="1"/>
  <c r="AW98" i="15" a="1"/>
  <c r="AW98" i="15" s="1"/>
  <c r="BL98" i="15" s="1"/>
  <c r="BA182" i="15" a="1"/>
  <c r="BA182" i="15" s="1"/>
  <c r="AZ182" i="15" a="1"/>
  <c r="AZ182" i="15" s="1"/>
  <c r="AY182" i="15" a="1"/>
  <c r="AY182" i="15" s="1"/>
  <c r="BN182" i="15" s="1"/>
  <c r="AX182" i="15" a="1"/>
  <c r="AX182" i="15" s="1"/>
  <c r="BM182" i="15" s="1"/>
  <c r="AV182" i="15" a="1"/>
  <c r="AV182" i="15" s="1"/>
  <c r="BK182" i="15" s="1"/>
  <c r="AW182" i="15" a="1"/>
  <c r="AW182" i="15" s="1"/>
  <c r="BL182" i="15" s="1"/>
  <c r="AV152" i="15" a="1"/>
  <c r="AV152" i="15" s="1"/>
  <c r="BK152" i="15" s="1"/>
  <c r="BA152" i="15" a="1"/>
  <c r="BA152" i="15" s="1"/>
  <c r="AZ152" i="15" a="1"/>
  <c r="AZ152" i="15" s="1"/>
  <c r="AX152" i="15" a="1"/>
  <c r="AX152" i="15" s="1"/>
  <c r="BM152" i="15" s="1"/>
  <c r="AW152" i="15" a="1"/>
  <c r="AW152" i="15" s="1"/>
  <c r="BL152" i="15" s="1"/>
  <c r="AY152" i="15" a="1"/>
  <c r="AY152" i="15" s="1"/>
  <c r="BN152" i="15" s="1"/>
  <c r="AV180" i="15" a="1"/>
  <c r="AV180" i="15" s="1"/>
  <c r="BK180" i="15" s="1"/>
  <c r="BA180" i="15" a="1"/>
  <c r="BA180" i="15" s="1"/>
  <c r="AZ180" i="15" a="1"/>
  <c r="AZ180" i="15" s="1"/>
  <c r="AY180" i="15" a="1"/>
  <c r="AY180" i="15" s="1"/>
  <c r="BN180" i="15" s="1"/>
  <c r="AX180" i="15" a="1"/>
  <c r="AX180" i="15" s="1"/>
  <c r="BM180" i="15" s="1"/>
  <c r="AW180" i="15" a="1"/>
  <c r="AW180" i="15" s="1"/>
  <c r="BL180" i="15" s="1"/>
  <c r="BA96" i="15" a="1"/>
  <c r="BA96" i="15" s="1"/>
  <c r="AZ96" i="15" a="1"/>
  <c r="AZ96" i="15" s="1"/>
  <c r="AY96" i="15" a="1"/>
  <c r="AY96" i="15" s="1"/>
  <c r="BN96" i="15" s="1"/>
  <c r="AV96" i="15" a="1"/>
  <c r="AV96" i="15" s="1"/>
  <c r="BK96" i="15" s="1"/>
  <c r="AX96" i="15" a="1"/>
  <c r="AX96" i="15" s="1"/>
  <c r="BM96" i="15" s="1"/>
  <c r="AW96" i="15" a="1"/>
  <c r="AW96" i="15" s="1"/>
  <c r="BL96" i="15" s="1"/>
  <c r="AV183" i="15" a="1"/>
  <c r="AV183" i="15" s="1"/>
  <c r="BK183" i="15" s="1"/>
  <c r="BA183" i="15" a="1"/>
  <c r="BA183" i="15" s="1"/>
  <c r="AZ183" i="15" a="1"/>
  <c r="AZ183" i="15" s="1"/>
  <c r="AY183" i="15" a="1"/>
  <c r="AY183" i="15" s="1"/>
  <c r="BN183" i="15" s="1"/>
  <c r="AX183" i="15" a="1"/>
  <c r="AX183" i="15" s="1"/>
  <c r="BM183" i="15" s="1"/>
  <c r="AW183" i="15" a="1"/>
  <c r="AW183" i="15" s="1"/>
  <c r="BL183" i="15" s="1"/>
  <c r="BA130" i="15" a="1"/>
  <c r="BA130" i="15" s="1"/>
  <c r="AZ130" i="15" a="1"/>
  <c r="AZ130" i="15" s="1"/>
  <c r="AY130" i="15" a="1"/>
  <c r="AY130" i="15" s="1"/>
  <c r="BN130" i="15" s="1"/>
  <c r="AV130" i="15" a="1"/>
  <c r="AV130" i="15" s="1"/>
  <c r="BK130" i="15" s="1"/>
  <c r="AX130" i="15" a="1"/>
  <c r="AX130" i="15" s="1"/>
  <c r="BM130" i="15" s="1"/>
  <c r="AW130" i="15" a="1"/>
  <c r="AW130" i="15" s="1"/>
  <c r="BL130" i="15" s="1"/>
  <c r="AX97" i="15" a="1"/>
  <c r="AX97" i="15" s="1"/>
  <c r="BM97" i="15" s="1"/>
  <c r="AW97" i="15" a="1"/>
  <c r="AW97" i="15" s="1"/>
  <c r="BL97" i="15" s="1"/>
  <c r="AV97" i="15" a="1"/>
  <c r="AV97" i="15" s="1"/>
  <c r="BK97" i="15" s="1"/>
  <c r="AZ97" i="15" a="1"/>
  <c r="AZ97" i="15" s="1"/>
  <c r="AY97" i="15" a="1"/>
  <c r="AY97" i="15" s="1"/>
  <c r="BN97" i="15" s="1"/>
  <c r="BA97" i="15" a="1"/>
  <c r="BA97" i="15" s="1"/>
  <c r="BA112" i="15" a="1"/>
  <c r="BA112" i="15" s="1"/>
  <c r="AZ112" i="15" a="1"/>
  <c r="AZ112" i="15" s="1"/>
  <c r="AY112" i="15" a="1"/>
  <c r="AY112" i="15" s="1"/>
  <c r="BN112" i="15" s="1"/>
  <c r="AV112" i="15" a="1"/>
  <c r="AV112" i="15" s="1"/>
  <c r="BK112" i="15" s="1"/>
  <c r="AW112" i="15" a="1"/>
  <c r="AW112" i="15" s="1"/>
  <c r="BL112" i="15" s="1"/>
  <c r="AX112" i="15" a="1"/>
  <c r="AX112" i="15" s="1"/>
  <c r="BM112" i="15" s="1"/>
  <c r="AW164" i="15" a="1"/>
  <c r="AW164" i="15" s="1"/>
  <c r="BL164" i="15" s="1"/>
  <c r="AV164" i="15" a="1"/>
  <c r="AV164" i="15" s="1"/>
  <c r="BK164" i="15" s="1"/>
  <c r="BA164" i="15" a="1"/>
  <c r="BA164" i="15" s="1"/>
  <c r="AZ164" i="15" a="1"/>
  <c r="AZ164" i="15" s="1"/>
  <c r="AY164" i="15" a="1"/>
  <c r="AY164" i="15" s="1"/>
  <c r="BN164" i="15" s="1"/>
  <c r="AX164" i="15" a="1"/>
  <c r="AX164" i="15" s="1"/>
  <c r="BM164" i="15" s="1"/>
  <c r="AX111" i="15" a="1"/>
  <c r="AX111" i="15" s="1"/>
  <c r="BM111" i="15" s="1"/>
  <c r="AW111" i="15" a="1"/>
  <c r="AW111" i="15" s="1"/>
  <c r="BL111" i="15" s="1"/>
  <c r="AV111" i="15" a="1"/>
  <c r="AV111" i="15" s="1"/>
  <c r="BK111" i="15" s="1"/>
  <c r="AZ111" i="15" a="1"/>
  <c r="AZ111" i="15" s="1"/>
  <c r="AY111" i="15" a="1"/>
  <c r="AY111" i="15" s="1"/>
  <c r="BN111" i="15" s="1"/>
  <c r="BA111" i="15" a="1"/>
  <c r="BA111" i="15" s="1"/>
  <c r="AZ80" i="15" a="1"/>
  <c r="AZ80" i="15" s="1"/>
  <c r="AY80" i="15" a="1"/>
  <c r="AY80" i="15" s="1"/>
  <c r="BN80" i="15" s="1"/>
  <c r="AX80" i="15" a="1"/>
  <c r="AX80" i="15" s="1"/>
  <c r="BM80" i="15" s="1"/>
  <c r="AW80" i="15" a="1"/>
  <c r="AW80" i="15" s="1"/>
  <c r="BL80" i="15" s="1"/>
  <c r="AV80" i="15" a="1"/>
  <c r="AV80" i="15" s="1"/>
  <c r="BK80" i="15" s="1"/>
  <c r="BA80" i="15" a="1"/>
  <c r="BA80" i="15" s="1"/>
  <c r="AX113" i="15" a="1"/>
  <c r="AX113" i="15" s="1"/>
  <c r="BM113" i="15" s="1"/>
  <c r="AW113" i="15" a="1"/>
  <c r="AW113" i="15" s="1"/>
  <c r="BL113" i="15" s="1"/>
  <c r="AV113" i="15" a="1"/>
  <c r="AV113" i="15" s="1"/>
  <c r="BK113" i="15" s="1"/>
  <c r="AZ113" i="15" a="1"/>
  <c r="AZ113" i="15" s="1"/>
  <c r="AY113" i="15" a="1"/>
  <c r="AY113" i="15" s="1"/>
  <c r="BN113" i="15" s="1"/>
  <c r="BA113" i="15" a="1"/>
  <c r="BA113" i="15" s="1"/>
  <c r="AX72" i="15" a="1"/>
  <c r="AX72" i="15" s="1"/>
  <c r="BM72" i="15" s="1"/>
  <c r="AW72" i="15" a="1"/>
  <c r="AW72" i="15" s="1"/>
  <c r="BL72" i="15" s="1"/>
  <c r="AV72" i="15" a="1"/>
  <c r="AV72" i="15" s="1"/>
  <c r="BK72" i="15" s="1"/>
  <c r="BA72" i="15" a="1"/>
  <c r="BA72" i="15" s="1"/>
  <c r="AZ72" i="15" a="1"/>
  <c r="AZ72" i="15" s="1"/>
  <c r="AY72" i="15" a="1"/>
  <c r="AY72" i="15" s="1"/>
  <c r="BN72" i="15" s="1"/>
  <c r="BA179" i="15" a="1"/>
  <c r="BA179" i="15" s="1"/>
  <c r="AZ179" i="15" a="1"/>
  <c r="AZ179" i="15" s="1"/>
  <c r="AY179" i="15" a="1"/>
  <c r="AY179" i="15" s="1"/>
  <c r="BN179" i="15" s="1"/>
  <c r="AX179" i="15" a="1"/>
  <c r="AX179" i="15" s="1"/>
  <c r="BM179" i="15" s="1"/>
  <c r="AW179" i="15" a="1"/>
  <c r="AW179" i="15" s="1"/>
  <c r="BL179" i="15" s="1"/>
  <c r="AV179" i="15" a="1"/>
  <c r="AV179" i="15" s="1"/>
  <c r="BK179" i="15" s="1"/>
  <c r="AW175" i="15" a="1"/>
  <c r="AW175" i="15" s="1"/>
  <c r="BL175" i="15" s="1"/>
  <c r="AV175" i="15" a="1"/>
  <c r="AV175" i="15" s="1"/>
  <c r="BK175" i="15" s="1"/>
  <c r="BA175" i="15" a="1"/>
  <c r="BA175" i="15" s="1"/>
  <c r="AZ175" i="15" a="1"/>
  <c r="AZ175" i="15" s="1"/>
  <c r="AY175" i="15" a="1"/>
  <c r="AY175" i="15" s="1"/>
  <c r="BN175" i="15" s="1"/>
  <c r="AX175" i="15" a="1"/>
  <c r="AX175" i="15" s="1"/>
  <c r="BM175" i="15" s="1"/>
  <c r="AZ122" i="15" a="1"/>
  <c r="AZ122" i="15" s="1"/>
  <c r="AY122" i="15" a="1"/>
  <c r="AY122" i="15" s="1"/>
  <c r="BN122" i="15" s="1"/>
  <c r="AX122" i="15" a="1"/>
  <c r="AX122" i="15" s="1"/>
  <c r="BM122" i="15" s="1"/>
  <c r="BA122" i="15" a="1"/>
  <c r="BA122" i="15" s="1"/>
  <c r="AW122" i="15" a="1"/>
  <c r="AW122" i="15" s="1"/>
  <c r="BL122" i="15" s="1"/>
  <c r="AV122" i="15" a="1"/>
  <c r="AV122" i="15" s="1"/>
  <c r="BK122" i="15" s="1"/>
  <c r="AV64" i="15" a="1"/>
  <c r="AV64" i="15" s="1"/>
  <c r="BK64" i="15" s="1"/>
  <c r="AY64" i="15" a="1"/>
  <c r="AY64" i="15" s="1"/>
  <c r="BN64" i="15" s="1"/>
  <c r="BA64" i="15" a="1"/>
  <c r="BA64" i="15" s="1"/>
  <c r="AZ64" i="15" a="1"/>
  <c r="AZ64" i="15" s="1"/>
  <c r="AX64" i="15" a="1"/>
  <c r="AX64" i="15" s="1"/>
  <c r="BM64" i="15" s="1"/>
  <c r="AW64" i="15" a="1"/>
  <c r="AW64" i="15" s="1"/>
  <c r="BL64" i="15" s="1"/>
  <c r="AZ153" i="15" a="1"/>
  <c r="AZ153" i="15" s="1"/>
  <c r="AY153" i="15" a="1"/>
  <c r="AY153" i="15" s="1"/>
  <c r="BN153" i="15" s="1"/>
  <c r="AV153" i="15" a="1"/>
  <c r="AV153" i="15" s="1"/>
  <c r="BK153" i="15" s="1"/>
  <c r="BA153" i="15" a="1"/>
  <c r="BA153" i="15" s="1"/>
  <c r="AX153" i="15" a="1"/>
  <c r="AX153" i="15" s="1"/>
  <c r="BM153" i="15" s="1"/>
  <c r="AW153" i="15" a="1"/>
  <c r="AW153" i="15" s="1"/>
  <c r="BL153" i="15" s="1"/>
  <c r="AZ88" i="15" a="1"/>
  <c r="AZ88" i="15" s="1"/>
  <c r="AY88" i="15" a="1"/>
  <c r="AY88" i="15" s="1"/>
  <c r="BN88" i="15" s="1"/>
  <c r="AX88" i="15" a="1"/>
  <c r="AX88" i="15" s="1"/>
  <c r="BM88" i="15" s="1"/>
  <c r="AW88" i="15" a="1"/>
  <c r="AW88" i="15" s="1"/>
  <c r="BL88" i="15" s="1"/>
  <c r="AV88" i="15" a="1"/>
  <c r="AV88" i="15" s="1"/>
  <c r="BK88" i="15" s="1"/>
  <c r="BA88" i="15" a="1"/>
  <c r="BA88" i="15" s="1"/>
  <c r="BA156" i="15" a="1"/>
  <c r="BA156" i="15" s="1"/>
  <c r="AZ156" i="15" a="1"/>
  <c r="AZ156" i="15" s="1"/>
  <c r="AY156" i="15" a="1"/>
  <c r="AY156" i="15" s="1"/>
  <c r="BN156" i="15" s="1"/>
  <c r="AV156" i="15" a="1"/>
  <c r="AV156" i="15" s="1"/>
  <c r="BK156" i="15" s="1"/>
  <c r="AW156" i="15" a="1"/>
  <c r="AW156" i="15" s="1"/>
  <c r="BL156" i="15" s="1"/>
  <c r="AX156" i="15" a="1"/>
  <c r="AX156" i="15" s="1"/>
  <c r="BM156" i="15" s="1"/>
  <c r="AX103" i="15" a="1"/>
  <c r="AX103" i="15" s="1"/>
  <c r="BM103" i="15" s="1"/>
  <c r="AW103" i="15" a="1"/>
  <c r="AW103" i="15" s="1"/>
  <c r="BL103" i="15" s="1"/>
  <c r="AV103" i="15" a="1"/>
  <c r="AV103" i="15" s="1"/>
  <c r="BK103" i="15" s="1"/>
  <c r="AZ103" i="15" a="1"/>
  <c r="AZ103" i="15" s="1"/>
  <c r="AY103" i="15" a="1"/>
  <c r="AY103" i="15" s="1"/>
  <c r="BN103" i="15" s="1"/>
  <c r="BA103" i="15" a="1"/>
  <c r="BA103" i="15" s="1"/>
  <c r="AX48" i="15" a="1"/>
  <c r="AX48" i="15" s="1"/>
  <c r="BM48" i="15" s="1"/>
  <c r="BA48" i="15" a="1"/>
  <c r="BA48" i="15" s="1"/>
  <c r="AZ48" i="15" a="1"/>
  <c r="AZ48" i="15" s="1"/>
  <c r="AY48" i="15" a="1"/>
  <c r="AY48" i="15" s="1"/>
  <c r="BN48" i="15" s="1"/>
  <c r="AW48" i="15" a="1"/>
  <c r="AW48" i="15" s="1"/>
  <c r="BL48" i="15" s="1"/>
  <c r="AV48" i="15" a="1"/>
  <c r="AV48" i="15" s="1"/>
  <c r="BK48" i="15" s="1"/>
  <c r="AX129" i="15" a="1"/>
  <c r="AX129" i="15" s="1"/>
  <c r="BM129" i="15" s="1"/>
  <c r="AW129" i="15" a="1"/>
  <c r="AW129" i="15" s="1"/>
  <c r="BL129" i="15" s="1"/>
  <c r="AV129" i="15" a="1"/>
  <c r="AV129" i="15" s="1"/>
  <c r="BK129" i="15" s="1"/>
  <c r="AZ129" i="15" a="1"/>
  <c r="AZ129" i="15" s="1"/>
  <c r="AY129" i="15" a="1"/>
  <c r="AY129" i="15" s="1"/>
  <c r="BN129" i="15" s="1"/>
  <c r="BA129" i="15" a="1"/>
  <c r="BA129" i="15" s="1"/>
  <c r="BA38" i="15" a="1"/>
  <c r="BA38" i="15" s="1"/>
  <c r="AZ38" i="15" a="1"/>
  <c r="AZ38" i="15" s="1"/>
  <c r="AY38" i="15" a="1"/>
  <c r="AY38" i="15" s="1"/>
  <c r="BN38" i="15" s="1"/>
  <c r="AX38" i="15" a="1"/>
  <c r="AX38" i="15" s="1"/>
  <c r="BM38" i="15" s="1"/>
  <c r="AV38" i="15" a="1"/>
  <c r="AV38" i="15" s="1"/>
  <c r="BK38" i="15" s="1"/>
  <c r="AW38" i="15" a="1"/>
  <c r="AW38" i="15" s="1"/>
  <c r="BL38" i="15" s="1"/>
  <c r="AX127" i="15" a="1"/>
  <c r="AX127" i="15" s="1"/>
  <c r="BM127" i="15" s="1"/>
  <c r="AW127" i="15" a="1"/>
  <c r="AW127" i="15" s="1"/>
  <c r="BL127" i="15" s="1"/>
  <c r="AV127" i="15" a="1"/>
  <c r="AV127" i="15" s="1"/>
  <c r="BK127" i="15" s="1"/>
  <c r="AZ127" i="15" a="1"/>
  <c r="AZ127" i="15" s="1"/>
  <c r="AY127" i="15" a="1"/>
  <c r="AY127" i="15" s="1"/>
  <c r="BN127" i="15" s="1"/>
  <c r="BA127" i="15" a="1"/>
  <c r="BA127" i="15" s="1"/>
  <c r="AW40" i="15" a="1"/>
  <c r="AW40" i="15" s="1"/>
  <c r="BL40" i="15" s="1"/>
  <c r="AV40" i="15" a="1"/>
  <c r="AV40" i="15" s="1"/>
  <c r="BK40" i="15" s="1"/>
  <c r="BA40" i="15" a="1"/>
  <c r="BA40" i="15" s="1"/>
  <c r="AZ40" i="15" a="1"/>
  <c r="AZ40" i="15" s="1"/>
  <c r="AY40" i="15" a="1"/>
  <c r="AY40" i="15" s="1"/>
  <c r="BN40" i="15" s="1"/>
  <c r="AX40" i="15" a="1"/>
  <c r="AX40" i="15" s="1"/>
  <c r="BM40" i="15" s="1"/>
  <c r="AX167" i="15" a="1"/>
  <c r="AX167" i="15" s="1"/>
  <c r="BM167" i="15" s="1"/>
  <c r="AW167" i="15" a="1"/>
  <c r="AW167" i="15" s="1"/>
  <c r="BL167" i="15" s="1"/>
  <c r="AV167" i="15" a="1"/>
  <c r="AV167" i="15" s="1"/>
  <c r="BK167" i="15" s="1"/>
  <c r="BA167" i="15" a="1"/>
  <c r="BA167" i="15" s="1"/>
  <c r="AY167" i="15" a="1"/>
  <c r="AY167" i="15" s="1"/>
  <c r="BN167" i="15" s="1"/>
  <c r="AZ167" i="15" a="1"/>
  <c r="AZ167" i="15" s="1"/>
  <c r="BA114" i="15" a="1"/>
  <c r="BA114" i="15" s="1"/>
  <c r="AZ114" i="15" a="1"/>
  <c r="AZ114" i="15" s="1"/>
  <c r="AY114" i="15" a="1"/>
  <c r="AY114" i="15" s="1"/>
  <c r="BN114" i="15" s="1"/>
  <c r="AV114" i="15" a="1"/>
  <c r="AV114" i="15" s="1"/>
  <c r="BK114" i="15" s="1"/>
  <c r="AX114" i="15" a="1"/>
  <c r="AX114" i="15" s="1"/>
  <c r="BM114" i="15" s="1"/>
  <c r="AW114" i="15" a="1"/>
  <c r="AW114" i="15" s="1"/>
  <c r="BL114" i="15" s="1"/>
  <c r="BA32" i="15" a="1"/>
  <c r="BA32" i="15" s="1"/>
  <c r="AZ32" i="15" a="1"/>
  <c r="AZ32" i="15" s="1"/>
  <c r="AY32" i="15" a="1"/>
  <c r="AY32" i="15" s="1"/>
  <c r="BN32" i="15" s="1"/>
  <c r="AV32" i="15" a="1"/>
  <c r="AV32" i="15" s="1"/>
  <c r="BK32" i="15" s="1"/>
  <c r="AX32" i="15" a="1"/>
  <c r="AX32" i="15" s="1"/>
  <c r="BM32" i="15" s="1"/>
  <c r="AW32" i="15" a="1"/>
  <c r="AW32" i="15" s="1"/>
  <c r="BL32" i="15" s="1"/>
  <c r="AX145" i="15" a="1"/>
  <c r="AX145" i="15" s="1"/>
  <c r="BM145" i="15" s="1"/>
  <c r="AW145" i="15" a="1"/>
  <c r="AW145" i="15" s="1"/>
  <c r="BL145" i="15" s="1"/>
  <c r="AV145" i="15" a="1"/>
  <c r="AV145" i="15" s="1"/>
  <c r="BK145" i="15" s="1"/>
  <c r="AZ145" i="15" a="1"/>
  <c r="AZ145" i="15" s="1"/>
  <c r="AY145" i="15" a="1"/>
  <c r="AY145" i="15" s="1"/>
  <c r="BN145" i="15" s="1"/>
  <c r="BA145" i="15" a="1"/>
  <c r="BA145" i="15" s="1"/>
  <c r="AV89" i="15" a="1"/>
  <c r="AV89" i="15" s="1"/>
  <c r="BK89" i="15" s="1"/>
  <c r="AY89" i="15" a="1"/>
  <c r="AY89" i="15" s="1"/>
  <c r="BN89" i="15" s="1"/>
  <c r="BA89" i="15" a="1"/>
  <c r="BA89" i="15" s="1"/>
  <c r="AZ89" i="15" a="1"/>
  <c r="AZ89" i="15" s="1"/>
  <c r="AX89" i="15" a="1"/>
  <c r="AX89" i="15" s="1"/>
  <c r="BM89" i="15" s="1"/>
  <c r="AW89" i="15" a="1"/>
  <c r="AW89" i="15" s="1"/>
  <c r="BL89" i="15" s="1"/>
  <c r="BA171" i="15" a="1"/>
  <c r="BA171" i="15" s="1"/>
  <c r="AZ171" i="15" a="1"/>
  <c r="AZ171" i="15" s="1"/>
  <c r="AY171" i="15" a="1"/>
  <c r="AY171" i="15" s="1"/>
  <c r="BN171" i="15" s="1"/>
  <c r="AX171" i="15" a="1"/>
  <c r="AX171" i="15" s="1"/>
  <c r="BM171" i="15" s="1"/>
  <c r="AW171" i="15" a="1"/>
  <c r="AW171" i="15" s="1"/>
  <c r="BL171" i="15" s="1"/>
  <c r="AV171" i="15" a="1"/>
  <c r="AV171" i="15" s="1"/>
  <c r="BK171" i="15" s="1"/>
  <c r="AY56" i="15" a="1"/>
  <c r="AY56" i="15" s="1"/>
  <c r="BN56" i="15" s="1"/>
  <c r="AX56" i="15" a="1"/>
  <c r="AX56" i="15" s="1"/>
  <c r="BM56" i="15" s="1"/>
  <c r="AW56" i="15" a="1"/>
  <c r="AW56" i="15" s="1"/>
  <c r="BL56" i="15" s="1"/>
  <c r="AV56" i="15" a="1"/>
  <c r="AV56" i="15" s="1"/>
  <c r="BK56" i="15" s="1"/>
  <c r="BA56" i="15" a="1"/>
  <c r="BA56" i="15" s="1"/>
  <c r="AZ56" i="15" a="1"/>
  <c r="AZ56" i="15" s="1"/>
  <c r="BA196" i="15" a="1"/>
  <c r="BA196" i="15" s="1"/>
  <c r="AZ196" i="15" a="1"/>
  <c r="AZ196" i="15" s="1"/>
  <c r="BO196" i="15" s="1"/>
  <c r="C196" i="15" s="1"/>
  <c r="AY196" i="15" a="1"/>
  <c r="AY196" i="15" s="1"/>
  <c r="BN196" i="15" s="1"/>
  <c r="AX196" i="15" a="1"/>
  <c r="AX196" i="15" s="1"/>
  <c r="BM196" i="15" s="1"/>
  <c r="AW196" i="15" a="1"/>
  <c r="AW196" i="15" s="1"/>
  <c r="BL196" i="15" s="1"/>
  <c r="AV196" i="15" a="1"/>
  <c r="AV196" i="15" s="1"/>
  <c r="BK196" i="15" s="1"/>
  <c r="BA146" i="15" a="1"/>
  <c r="BA146" i="15" s="1"/>
  <c r="AZ146" i="15" a="1"/>
  <c r="AZ146" i="15" s="1"/>
  <c r="AY146" i="15" a="1"/>
  <c r="AY146" i="15" s="1"/>
  <c r="BN146" i="15" s="1"/>
  <c r="AV146" i="15" a="1"/>
  <c r="AV146" i="15" s="1"/>
  <c r="BK146" i="15" s="1"/>
  <c r="AX146" i="15" a="1"/>
  <c r="AX146" i="15" s="1"/>
  <c r="BM146" i="15" s="1"/>
  <c r="AW146" i="15" a="1"/>
  <c r="AW146" i="15" s="1"/>
  <c r="BL146" i="15" s="1"/>
  <c r="AY62" i="15" a="1"/>
  <c r="AY62" i="15" s="1"/>
  <c r="BN62" i="15" s="1"/>
  <c r="AX62" i="15" a="1"/>
  <c r="AX62" i="15" s="1"/>
  <c r="BM62" i="15" s="1"/>
  <c r="AW62" i="15" a="1"/>
  <c r="AW62" i="15" s="1"/>
  <c r="BL62" i="15" s="1"/>
  <c r="AV62" i="15" a="1"/>
  <c r="AV62" i="15" s="1"/>
  <c r="BK62" i="15" s="1"/>
  <c r="BA62" i="15" a="1"/>
  <c r="BA62" i="15" s="1"/>
  <c r="AZ62" i="15" a="1"/>
  <c r="AZ62" i="15" s="1"/>
  <c r="AW126" i="15" a="1"/>
  <c r="AW126" i="15" s="1"/>
  <c r="BL126" i="15" s="1"/>
  <c r="AV126" i="15" a="1"/>
  <c r="AV126" i="15" s="1"/>
  <c r="BK126" i="15" s="1"/>
  <c r="BA126" i="15" a="1"/>
  <c r="BA126" i="15" s="1"/>
  <c r="AX126" i="15" a="1"/>
  <c r="AX126" i="15" s="1"/>
  <c r="BM126" i="15" s="1"/>
  <c r="AZ126" i="15" a="1"/>
  <c r="AZ126" i="15" s="1"/>
  <c r="AY126" i="15" a="1"/>
  <c r="AY126" i="15" s="1"/>
  <c r="BN126" i="15" s="1"/>
  <c r="AX159" i="15" a="1"/>
  <c r="AX159" i="15" s="1"/>
  <c r="BM159" i="15" s="1"/>
  <c r="AW159" i="15" a="1"/>
  <c r="AW159" i="15" s="1"/>
  <c r="BL159" i="15" s="1"/>
  <c r="AV159" i="15" a="1"/>
  <c r="AV159" i="15" s="1"/>
  <c r="BK159" i="15" s="1"/>
  <c r="AY159" i="15" a="1"/>
  <c r="AY159" i="15" s="1"/>
  <c r="BN159" i="15" s="1"/>
  <c r="BA159" i="15" a="1"/>
  <c r="BA159" i="15" s="1"/>
  <c r="AZ159" i="15" a="1"/>
  <c r="AZ159" i="15" s="1"/>
  <c r="BA106" i="15" a="1"/>
  <c r="BA106" i="15" s="1"/>
  <c r="AZ106" i="15" a="1"/>
  <c r="AZ106" i="15" s="1"/>
  <c r="AY106" i="15" a="1"/>
  <c r="AY106" i="15" s="1"/>
  <c r="BN106" i="15" s="1"/>
  <c r="AV106" i="15" a="1"/>
  <c r="AV106" i="15" s="1"/>
  <c r="BK106" i="15" s="1"/>
  <c r="AX106" i="15" a="1"/>
  <c r="AX106" i="15" s="1"/>
  <c r="BM106" i="15" s="1"/>
  <c r="AW106" i="15" a="1"/>
  <c r="AW106" i="15" s="1"/>
  <c r="BL106" i="15" s="1"/>
  <c r="BA190" i="15" a="1"/>
  <c r="BA190" i="15" s="1"/>
  <c r="AZ190" i="15" a="1"/>
  <c r="AZ190" i="15" s="1"/>
  <c r="AY190" i="15" a="1"/>
  <c r="AY190" i="15" s="1"/>
  <c r="BN190" i="15" s="1"/>
  <c r="AX190" i="15" a="1"/>
  <c r="AX190" i="15" s="1"/>
  <c r="BM190" i="15" s="1"/>
  <c r="AW190" i="15" a="1"/>
  <c r="AW190" i="15" s="1"/>
  <c r="BL190" i="15" s="1"/>
  <c r="AV190" i="15" a="1"/>
  <c r="AV190" i="15" s="1"/>
  <c r="BK190" i="15" s="1"/>
  <c r="AX137" i="15" a="1"/>
  <c r="AX137" i="15" s="1"/>
  <c r="BM137" i="15" s="1"/>
  <c r="AW137" i="15" a="1"/>
  <c r="AW137" i="15" s="1"/>
  <c r="BL137" i="15" s="1"/>
  <c r="AV137" i="15" a="1"/>
  <c r="AV137" i="15" s="1"/>
  <c r="BK137" i="15" s="1"/>
  <c r="AZ137" i="15" a="1"/>
  <c r="AZ137" i="15" s="1"/>
  <c r="AY137" i="15" a="1"/>
  <c r="AY137" i="15" s="1"/>
  <c r="BN137" i="15" s="1"/>
  <c r="BA137" i="15" a="1"/>
  <c r="BA137" i="15" s="1"/>
  <c r="AV81" i="15" a="1"/>
  <c r="AV81" i="15" s="1"/>
  <c r="BK81" i="15" s="1"/>
  <c r="AY81" i="15" a="1"/>
  <c r="AY81" i="15" s="1"/>
  <c r="BN81" i="15" s="1"/>
  <c r="BA81" i="15" a="1"/>
  <c r="BA81" i="15" s="1"/>
  <c r="AZ81" i="15" a="1"/>
  <c r="AZ81" i="15" s="1"/>
  <c r="AX81" i="15" a="1"/>
  <c r="AX81" i="15" s="1"/>
  <c r="BM81" i="15" s="1"/>
  <c r="AW81" i="15" a="1"/>
  <c r="AW81" i="15" s="1"/>
  <c r="BL81" i="15" s="1"/>
  <c r="BA150" i="15" a="1"/>
  <c r="BA150" i="15" s="1"/>
  <c r="AZ150" i="15" a="1"/>
  <c r="AZ150" i="15" s="1"/>
  <c r="AY150" i="15" a="1"/>
  <c r="AY150" i="15" s="1"/>
  <c r="BN150" i="15" s="1"/>
  <c r="AV150" i="15" a="1"/>
  <c r="AV150" i="15" s="1"/>
  <c r="BK150" i="15" s="1"/>
  <c r="AX150" i="15" a="1"/>
  <c r="AX150" i="15" s="1"/>
  <c r="BM150" i="15" s="1"/>
  <c r="AW150" i="15" a="1"/>
  <c r="AW150" i="15" s="1"/>
  <c r="BL150" i="15" s="1"/>
  <c r="BA24" i="15" a="1"/>
  <c r="BA24" i="15" s="1"/>
  <c r="AZ24" i="15" a="1"/>
  <c r="AZ24" i="15" s="1"/>
  <c r="AX24" i="15" a="1"/>
  <c r="AX24" i="15" s="1"/>
  <c r="BM24" i="15" s="1"/>
  <c r="AY24" i="15" a="1"/>
  <c r="AY24" i="15" s="1"/>
  <c r="BN24" i="15" s="1"/>
  <c r="AW24" i="15" a="1"/>
  <c r="AW24" i="15" s="1"/>
  <c r="BL24" i="15" s="1"/>
  <c r="AV24" i="15" a="1"/>
  <c r="AV24" i="15" s="1"/>
  <c r="BK24" i="15" s="1"/>
  <c r="AW151" i="15" a="1"/>
  <c r="AW151" i="15" s="1"/>
  <c r="BL151" i="15" s="1"/>
  <c r="AV151" i="15" a="1"/>
  <c r="AV151" i="15" s="1"/>
  <c r="BK151" i="15" s="1"/>
  <c r="BA151" i="15" a="1"/>
  <c r="BA151" i="15" s="1"/>
  <c r="AX151" i="15" a="1"/>
  <c r="AX151" i="15" s="1"/>
  <c r="BM151" i="15" s="1"/>
  <c r="AZ151" i="15" a="1"/>
  <c r="AZ151" i="15" s="1"/>
  <c r="AY151" i="15" a="1"/>
  <c r="AY151" i="15" s="1"/>
  <c r="BN151" i="15" s="1"/>
  <c r="C78" i="16"/>
  <c r="D77" i="16" s="1"/>
  <c r="D79" i="16"/>
  <c r="E78" i="16" s="1"/>
  <c r="E43" i="14" s="1" a="1"/>
  <c r="E43" i="14" s="1"/>
  <c r="C29" i="14" l="1"/>
  <c r="I61" i="13"/>
  <c r="BS43" i="15"/>
  <c r="G30" i="39"/>
  <c r="F24" i="39"/>
  <c r="F25" i="39"/>
  <c r="G25" i="39" s="1"/>
  <c r="H25" i="39" s="1"/>
  <c r="I25" i="39" s="1"/>
  <c r="J25" i="39" s="1"/>
  <c r="K25" i="39" s="1"/>
  <c r="L25" i="39" s="1"/>
  <c r="M25" i="39" s="1"/>
  <c r="N25" i="39" s="1"/>
  <c r="O25" i="39" s="1"/>
  <c r="P25" i="39" s="1"/>
  <c r="Q25" i="39" s="1"/>
  <c r="R25" i="39" s="1"/>
  <c r="S25" i="39" s="1"/>
  <c r="T25" i="39" s="1"/>
  <c r="O13" i="39"/>
  <c r="C56" i="14"/>
  <c r="C58" i="14" s="1"/>
  <c r="D16" i="14"/>
  <c r="E16" i="14" s="1"/>
  <c r="C19" i="14"/>
  <c r="I22" i="13" s="1"/>
  <c r="C14" i="14"/>
  <c r="C20" i="14"/>
  <c r="C15" i="14"/>
  <c r="I18" i="13" s="1"/>
  <c r="C45" i="14"/>
  <c r="BS18" i="15"/>
  <c r="BS59" i="15"/>
  <c r="BD134" i="15"/>
  <c r="BS63" i="15"/>
  <c r="BD141" i="15"/>
  <c r="BS155" i="15"/>
  <c r="BD79" i="15"/>
  <c r="BS76" i="15"/>
  <c r="BD119" i="15"/>
  <c r="BD105" i="15"/>
  <c r="BD83" i="15"/>
  <c r="BS132" i="15"/>
  <c r="BD174" i="15"/>
  <c r="BS23" i="15"/>
  <c r="BS140" i="15"/>
  <c r="BD97" i="15"/>
  <c r="BD52" i="15"/>
  <c r="BD118" i="15"/>
  <c r="BD85" i="15"/>
  <c r="BS185" i="15"/>
  <c r="BD58" i="15"/>
  <c r="BD67" i="15"/>
  <c r="BD154" i="15"/>
  <c r="BD169" i="15"/>
  <c r="BD159" i="15"/>
  <c r="BD170" i="15"/>
  <c r="BD151" i="15"/>
  <c r="BD126" i="15"/>
  <c r="BD56" i="15"/>
  <c r="BD158" i="15"/>
  <c r="BD173" i="15"/>
  <c r="BD109" i="15"/>
  <c r="BD115" i="15"/>
  <c r="BS29" i="15"/>
  <c r="BK16" i="15"/>
  <c r="BD184" i="15"/>
  <c r="BD84" i="15"/>
  <c r="BD167" i="15"/>
  <c r="BD72" i="15"/>
  <c r="BD152" i="15"/>
  <c r="BD187" i="15"/>
  <c r="BD25" i="15"/>
  <c r="BD164" i="15"/>
  <c r="BD36" i="15"/>
  <c r="BD142" i="15"/>
  <c r="BD38" i="15"/>
  <c r="BD156" i="15"/>
  <c r="BD98" i="15"/>
  <c r="BD144" i="15"/>
  <c r="BD120" i="15"/>
  <c r="BD128" i="15"/>
  <c r="BD100" i="15"/>
  <c r="BD33" i="15"/>
  <c r="BS116" i="15"/>
  <c r="BS181" i="15"/>
  <c r="BD42" i="15"/>
  <c r="BD166" i="15"/>
  <c r="BD102" i="15"/>
  <c r="BD190" i="15"/>
  <c r="BD145" i="15"/>
  <c r="BD129" i="15"/>
  <c r="BD88" i="15"/>
  <c r="BD113" i="15"/>
  <c r="BD172" i="15"/>
  <c r="BD82" i="15"/>
  <c r="BD191" i="15"/>
  <c r="BD70" i="15"/>
  <c r="BD44" i="15"/>
  <c r="BD28" i="15"/>
  <c r="BD108" i="15"/>
  <c r="BD162" i="15"/>
  <c r="BD186" i="15"/>
  <c r="BD132" i="15"/>
  <c r="BD163" i="15"/>
  <c r="BD24" i="15"/>
  <c r="BS42" i="15"/>
  <c r="BD185" i="15"/>
  <c r="BD48" i="15"/>
  <c r="BD183" i="15"/>
  <c r="BD90" i="15"/>
  <c r="BD197" i="15"/>
  <c r="BS73" i="15"/>
  <c r="BD59" i="15"/>
  <c r="BD62" i="15"/>
  <c r="BD196" i="15"/>
  <c r="BD165" i="15"/>
  <c r="BS22" i="15"/>
  <c r="BS163" i="15"/>
  <c r="BD176" i="15"/>
  <c r="BD148" i="15"/>
  <c r="BD107" i="15"/>
  <c r="BD74" i="15"/>
  <c r="BP61" i="15"/>
  <c r="BS61" i="15" s="1"/>
  <c r="BD61" i="15"/>
  <c r="BD81" i="15"/>
  <c r="BD171" i="15"/>
  <c r="BD114" i="15"/>
  <c r="BD40" i="15"/>
  <c r="BD175" i="15"/>
  <c r="BD179" i="15"/>
  <c r="BD96" i="15"/>
  <c r="BD182" i="15"/>
  <c r="BD157" i="15"/>
  <c r="BD189" i="15"/>
  <c r="BD194" i="15"/>
  <c r="BS148" i="15"/>
  <c r="BS161" i="15"/>
  <c r="BD124" i="15"/>
  <c r="BC177" i="15"/>
  <c r="BD177" i="15"/>
  <c r="BD46" i="15"/>
  <c r="BD37" i="15"/>
  <c r="BP45" i="15"/>
  <c r="BS45" i="15" s="1"/>
  <c r="BD45" i="15"/>
  <c r="D299" i="15"/>
  <c r="E299" i="15" s="1"/>
  <c r="BD117" i="15"/>
  <c r="BC75" i="15"/>
  <c r="BD75" i="15"/>
  <c r="BD181" i="15"/>
  <c r="BD155" i="15"/>
  <c r="BD23" i="15"/>
  <c r="BD122" i="15"/>
  <c r="BD135" i="15"/>
  <c r="BD121" i="15"/>
  <c r="BC131" i="15"/>
  <c r="BD131" i="15"/>
  <c r="BD87" i="15"/>
  <c r="BD39" i="15"/>
  <c r="BD101" i="15"/>
  <c r="BD77" i="15"/>
  <c r="BD116" i="15"/>
  <c r="BD60" i="15"/>
  <c r="BD18" i="15"/>
  <c r="BS133" i="15"/>
  <c r="BD32" i="15"/>
  <c r="BD138" i="15"/>
  <c r="BD168" i="15"/>
  <c r="BD91" i="15"/>
  <c r="BD68" i="15"/>
  <c r="BD123" i="15"/>
  <c r="BD149" i="15"/>
  <c r="D201" i="15"/>
  <c r="E201" i="15" s="1"/>
  <c r="BD19" i="15"/>
  <c r="BC27" i="15"/>
  <c r="BD27" i="15"/>
  <c r="BD29" i="15"/>
  <c r="BD51" i="15"/>
  <c r="BD16" i="15"/>
  <c r="BD30" i="15"/>
  <c r="BD94" i="15"/>
  <c r="BD143" i="15"/>
  <c r="BD195" i="15"/>
  <c r="BS41" i="15"/>
  <c r="BD160" i="15"/>
  <c r="BD49" i="15"/>
  <c r="BD31" i="15"/>
  <c r="BD125" i="15"/>
  <c r="BD41" i="15"/>
  <c r="BD140" i="15"/>
  <c r="BD22" i="15"/>
  <c r="BD137" i="15"/>
  <c r="BD103" i="15"/>
  <c r="BD106" i="15"/>
  <c r="BD64" i="15"/>
  <c r="BD112" i="15"/>
  <c r="BD130" i="15"/>
  <c r="BD104" i="15"/>
  <c r="BD136" i="15"/>
  <c r="BD188" i="15"/>
  <c r="BD69" i="15"/>
  <c r="BD20" i="15"/>
  <c r="BD110" i="15"/>
  <c r="BD43" i="15"/>
  <c r="BD73" i="15"/>
  <c r="BD63" i="15"/>
  <c r="BD127" i="15"/>
  <c r="BD111" i="15"/>
  <c r="BD150" i="15"/>
  <c r="BD146" i="15"/>
  <c r="BD89" i="15"/>
  <c r="BD153" i="15"/>
  <c r="BD80" i="15"/>
  <c r="BD180" i="15"/>
  <c r="BD92" i="15"/>
  <c r="BD86" i="15"/>
  <c r="BC147" i="15"/>
  <c r="BD147" i="15"/>
  <c r="BD53" i="15"/>
  <c r="BD193" i="15"/>
  <c r="BD34" i="15"/>
  <c r="BD47" i="15"/>
  <c r="BD17" i="15"/>
  <c r="BD54" i="15"/>
  <c r="BD76" i="15"/>
  <c r="BD133" i="15"/>
  <c r="BD161" i="15"/>
  <c r="D243" i="15"/>
  <c r="BP75" i="15"/>
  <c r="BS75" i="15" s="1"/>
  <c r="D257" i="15"/>
  <c r="E257" i="15" s="1"/>
  <c r="BC92" i="15"/>
  <c r="BO22" i="15"/>
  <c r="C22" i="15" s="1"/>
  <c r="C204" i="15"/>
  <c r="E204" i="15" s="1"/>
  <c r="BC82" i="15"/>
  <c r="BC122" i="15"/>
  <c r="BC61" i="15"/>
  <c r="BO54" i="15"/>
  <c r="C54" i="15" s="1"/>
  <c r="BC151" i="15"/>
  <c r="BC126" i="15"/>
  <c r="BC70" i="15"/>
  <c r="C236" i="15"/>
  <c r="E236" i="15" s="1"/>
  <c r="BC190" i="15"/>
  <c r="BC38" i="15"/>
  <c r="BC120" i="15"/>
  <c r="BC128" i="15"/>
  <c r="BC24" i="15"/>
  <c r="BC171" i="15"/>
  <c r="BC40" i="15"/>
  <c r="BC179" i="15"/>
  <c r="BC157" i="15"/>
  <c r="BO69" i="15"/>
  <c r="C69" i="15" s="1"/>
  <c r="BP27" i="15"/>
  <c r="BC144" i="15"/>
  <c r="BC158" i="15"/>
  <c r="D209" i="15"/>
  <c r="E209" i="15" s="1"/>
  <c r="BC138" i="15"/>
  <c r="BC165" i="15"/>
  <c r="BP19" i="15"/>
  <c r="BC159" i="15"/>
  <c r="BC56" i="15"/>
  <c r="BC156" i="15"/>
  <c r="BC98" i="15"/>
  <c r="BC100" i="15"/>
  <c r="BC81" i="15"/>
  <c r="BC114" i="15"/>
  <c r="BC175" i="15"/>
  <c r="BC96" i="15"/>
  <c r="BC182" i="15"/>
  <c r="BC50" i="15"/>
  <c r="BC86" i="15"/>
  <c r="BC32" i="15"/>
  <c r="BO61" i="15"/>
  <c r="C61" i="15" s="1"/>
  <c r="BC62" i="15"/>
  <c r="BC66" i="15"/>
  <c r="C243" i="15"/>
  <c r="BC90" i="15"/>
  <c r="BC184" i="15"/>
  <c r="BC28" i="15"/>
  <c r="BC155" i="15"/>
  <c r="BC137" i="15"/>
  <c r="BC167" i="15"/>
  <c r="BC127" i="15"/>
  <c r="BC103" i="15"/>
  <c r="BC111" i="15"/>
  <c r="BC143" i="15"/>
  <c r="BC116" i="15"/>
  <c r="BC83" i="15"/>
  <c r="BC42" i="15"/>
  <c r="BC119" i="15"/>
  <c r="BC187" i="15"/>
  <c r="BC29" i="15"/>
  <c r="BC173" i="15"/>
  <c r="BC125" i="15"/>
  <c r="BC51" i="15"/>
  <c r="D371" i="15"/>
  <c r="E371" i="15" s="1"/>
  <c r="BC189" i="15"/>
  <c r="BP25" i="15"/>
  <c r="BS25" i="15" s="1"/>
  <c r="BC25" i="15"/>
  <c r="D260" i="15"/>
  <c r="E260" i="15" s="1"/>
  <c r="BC78" i="15"/>
  <c r="D269" i="15"/>
  <c r="E269" i="15" s="1"/>
  <c r="BC87" i="15"/>
  <c r="BP39" i="15"/>
  <c r="BS39" i="15" s="1"/>
  <c r="BC39" i="15"/>
  <c r="D283" i="15"/>
  <c r="E283" i="15" s="1"/>
  <c r="BC101" i="15"/>
  <c r="BP77" i="15"/>
  <c r="BS77" i="15" s="1"/>
  <c r="BC77" i="15"/>
  <c r="BC48" i="15"/>
  <c r="BC183" i="15"/>
  <c r="BC135" i="15"/>
  <c r="BP197" i="15"/>
  <c r="BS197" i="15" s="1"/>
  <c r="BC197" i="15"/>
  <c r="BC121" i="15"/>
  <c r="BC71" i="15"/>
  <c r="BC44" i="15"/>
  <c r="D305" i="15"/>
  <c r="E305" i="15" s="1"/>
  <c r="BC123" i="15"/>
  <c r="D237" i="15"/>
  <c r="BC55" i="15"/>
  <c r="D358" i="15"/>
  <c r="E358" i="15" s="1"/>
  <c r="BC176" i="15"/>
  <c r="D281" i="15"/>
  <c r="E281" i="15" s="1"/>
  <c r="BC99" i="15"/>
  <c r="BP149" i="15"/>
  <c r="BS149" i="15" s="1"/>
  <c r="BC149" i="15"/>
  <c r="BC19" i="15"/>
  <c r="BC60" i="15"/>
  <c r="BC63" i="15"/>
  <c r="BC16" i="15"/>
  <c r="D51" i="15"/>
  <c r="BP68" i="15"/>
  <c r="BS68" i="15" s="1"/>
  <c r="BC68" i="15"/>
  <c r="D42" i="15"/>
  <c r="D21" i="14" s="1"/>
  <c r="E21" i="14" s="1"/>
  <c r="BP67" i="15"/>
  <c r="BS67" i="15" s="1"/>
  <c r="BC67" i="15"/>
  <c r="BP154" i="15"/>
  <c r="BS154" i="15" s="1"/>
  <c r="BC154" i="15"/>
  <c r="D213" i="15"/>
  <c r="E213" i="15" s="1"/>
  <c r="BC31" i="15"/>
  <c r="D275" i="15"/>
  <c r="BC93" i="15"/>
  <c r="BC94" i="15"/>
  <c r="D16" i="15"/>
  <c r="D73" i="15"/>
  <c r="D76" i="15"/>
  <c r="E76" i="15" s="1"/>
  <c r="BR76" i="15"/>
  <c r="BP33" i="15"/>
  <c r="BS33" i="15" s="1"/>
  <c r="BC33" i="15"/>
  <c r="D116" i="15"/>
  <c r="E116" i="15" s="1"/>
  <c r="BR116" i="15"/>
  <c r="BC178" i="15"/>
  <c r="D234" i="15"/>
  <c r="D13" i="14" s="1"/>
  <c r="E13" i="14" s="1"/>
  <c r="L16" i="13" s="1"/>
  <c r="BC52" i="15"/>
  <c r="BP36" i="15"/>
  <c r="BS36" i="15" s="1"/>
  <c r="BC36" i="15"/>
  <c r="D324" i="15"/>
  <c r="BC142" i="15"/>
  <c r="D251" i="15"/>
  <c r="E251" i="15" s="1"/>
  <c r="BC69" i="15"/>
  <c r="BP20" i="15"/>
  <c r="BS20" i="15" s="1"/>
  <c r="BC20" i="15"/>
  <c r="D292" i="15"/>
  <c r="E292" i="15" s="1"/>
  <c r="BC110" i="15"/>
  <c r="BP196" i="15"/>
  <c r="BS196" i="15" s="1"/>
  <c r="BC196" i="15"/>
  <c r="D59" i="15"/>
  <c r="E59" i="15" s="1"/>
  <c r="BR59" i="15"/>
  <c r="D140" i="15"/>
  <c r="BP57" i="15"/>
  <c r="BS57" i="15" s="1"/>
  <c r="BC57" i="15"/>
  <c r="BC150" i="15"/>
  <c r="BC106" i="15"/>
  <c r="BC146" i="15"/>
  <c r="BC89" i="15"/>
  <c r="BC64" i="15"/>
  <c r="BC164" i="15"/>
  <c r="BC112" i="15"/>
  <c r="BC130" i="15"/>
  <c r="BC104" i="15"/>
  <c r="BC136" i="15"/>
  <c r="BC118" i="15"/>
  <c r="BC188" i="15"/>
  <c r="D356" i="15"/>
  <c r="E356" i="15" s="1"/>
  <c r="BC174" i="15"/>
  <c r="D29" i="15"/>
  <c r="D22" i="15"/>
  <c r="D60" i="15"/>
  <c r="D247" i="15"/>
  <c r="E247" i="15" s="1"/>
  <c r="BC65" i="15"/>
  <c r="D132" i="15"/>
  <c r="E132" i="15" s="1"/>
  <c r="BR132" i="15"/>
  <c r="D133" i="15"/>
  <c r="E133" i="15" s="1"/>
  <c r="BR133" i="15"/>
  <c r="D181" i="15"/>
  <c r="BO186" i="15"/>
  <c r="C186" i="15" s="1"/>
  <c r="D240" i="15"/>
  <c r="E240" i="15" s="1"/>
  <c r="BC58" i="15"/>
  <c r="D284" i="15"/>
  <c r="E284" i="15" s="1"/>
  <c r="BC102" i="15"/>
  <c r="D235" i="15"/>
  <c r="BC53" i="15"/>
  <c r="D277" i="15"/>
  <c r="E277" i="15" s="1"/>
  <c r="BC95" i="15"/>
  <c r="BP193" i="15"/>
  <c r="BS193" i="15" s="1"/>
  <c r="BC193" i="15"/>
  <c r="BP134" i="15"/>
  <c r="BS134" i="15" s="1"/>
  <c r="BC134" i="15"/>
  <c r="D261" i="15"/>
  <c r="E261" i="15" s="1"/>
  <c r="BC79" i="15"/>
  <c r="BP34" i="15"/>
  <c r="BS34" i="15" s="1"/>
  <c r="BC34" i="15"/>
  <c r="D229" i="15"/>
  <c r="D29" i="14" s="1"/>
  <c r="BC47" i="15"/>
  <c r="D199" i="15"/>
  <c r="E199" i="15" s="1"/>
  <c r="BC17" i="15"/>
  <c r="BC23" i="15"/>
  <c r="BC43" i="15"/>
  <c r="BC59" i="15"/>
  <c r="D18" i="15"/>
  <c r="D217" i="15"/>
  <c r="BC35" i="15"/>
  <c r="D231" i="15"/>
  <c r="E231" i="15" s="1"/>
  <c r="BC49" i="15"/>
  <c r="BC30" i="15"/>
  <c r="BC153" i="15"/>
  <c r="BC80" i="15"/>
  <c r="BC97" i="15"/>
  <c r="BC180" i="15"/>
  <c r="BC105" i="15"/>
  <c r="BC166" i="15"/>
  <c r="D43" i="15"/>
  <c r="D54" i="15"/>
  <c r="D23" i="15"/>
  <c r="E23" i="15" s="1"/>
  <c r="BR23" i="15"/>
  <c r="BP195" i="15"/>
  <c r="BS195" i="15" s="1"/>
  <c r="BC195" i="15"/>
  <c r="BC168" i="15"/>
  <c r="BP194" i="15"/>
  <c r="BS194" i="15" s="1"/>
  <c r="BC194" i="15"/>
  <c r="D266" i="15"/>
  <c r="E266" i="15" s="1"/>
  <c r="BC84" i="15"/>
  <c r="D148" i="15"/>
  <c r="D203" i="15"/>
  <c r="E203" i="15" s="1"/>
  <c r="BC21" i="15"/>
  <c r="D291" i="15"/>
  <c r="E291" i="15" s="1"/>
  <c r="BC109" i="15"/>
  <c r="BP26" i="15"/>
  <c r="BS26" i="15" s="1"/>
  <c r="BC26" i="15"/>
  <c r="D297" i="15"/>
  <c r="E297" i="15" s="1"/>
  <c r="BC115" i="15"/>
  <c r="BP170" i="15"/>
  <c r="BS170" i="15" s="1"/>
  <c r="BC170" i="15"/>
  <c r="BC76" i="15"/>
  <c r="D185" i="15"/>
  <c r="E185" i="15" s="1"/>
  <c r="BR185" i="15"/>
  <c r="D351" i="15"/>
  <c r="BC169" i="15"/>
  <c r="BC139" i="15"/>
  <c r="D41" i="15"/>
  <c r="D307" i="15"/>
  <c r="D161" i="15"/>
  <c r="D290" i="15"/>
  <c r="E290" i="15" s="1"/>
  <c r="BC108" i="15"/>
  <c r="BP162" i="15"/>
  <c r="BS162" i="15" s="1"/>
  <c r="BC162" i="15"/>
  <c r="D289" i="15"/>
  <c r="E289" i="15" s="1"/>
  <c r="BC107" i="15"/>
  <c r="BP74" i="15"/>
  <c r="BS74" i="15" s="1"/>
  <c r="BC74" i="15"/>
  <c r="BP186" i="15"/>
  <c r="BS186" i="15" s="1"/>
  <c r="BC186" i="15"/>
  <c r="BC18" i="15"/>
  <c r="BC132" i="15"/>
  <c r="BC73" i="15"/>
  <c r="D63" i="15"/>
  <c r="D163" i="15"/>
  <c r="BP160" i="15"/>
  <c r="BS160" i="15" s="1"/>
  <c r="BC160" i="15"/>
  <c r="BC72" i="15"/>
  <c r="BC152" i="15"/>
  <c r="BC145" i="15"/>
  <c r="BC129" i="15"/>
  <c r="BC88" i="15"/>
  <c r="BC113" i="15"/>
  <c r="BC172" i="15"/>
  <c r="BC191" i="15"/>
  <c r="C234" i="15"/>
  <c r="C13" i="14" s="1"/>
  <c r="I16" i="13" s="1"/>
  <c r="BP125" i="15"/>
  <c r="BS125" i="15" s="1"/>
  <c r="BP91" i="15"/>
  <c r="BS91" i="15" s="1"/>
  <c r="BC91" i="15"/>
  <c r="D155" i="15"/>
  <c r="E155" i="15" s="1"/>
  <c r="BR155" i="15"/>
  <c r="BP192" i="15"/>
  <c r="BS192" i="15" s="1"/>
  <c r="BC192" i="15"/>
  <c r="BP85" i="15"/>
  <c r="BS85" i="15" s="1"/>
  <c r="BC85" i="15"/>
  <c r="D323" i="15"/>
  <c r="E323" i="15" s="1"/>
  <c r="BC141" i="15"/>
  <c r="BP124" i="15"/>
  <c r="BS124" i="15" s="1"/>
  <c r="BC124" i="15"/>
  <c r="D228" i="15"/>
  <c r="E228" i="15" s="1"/>
  <c r="BC46" i="15"/>
  <c r="D219" i="15"/>
  <c r="E219" i="15" s="1"/>
  <c r="BC37" i="15"/>
  <c r="D227" i="15"/>
  <c r="E227" i="15" s="1"/>
  <c r="BC45" i="15"/>
  <c r="BP117" i="15"/>
  <c r="BS117" i="15" s="1"/>
  <c r="BC117" i="15"/>
  <c r="BC133" i="15"/>
  <c r="BC185" i="15"/>
  <c r="C221" i="15"/>
  <c r="C241" i="15"/>
  <c r="E241" i="15" s="1"/>
  <c r="D259" i="15"/>
  <c r="E259" i="15" s="1"/>
  <c r="BP37" i="15"/>
  <c r="BS37" i="15" s="1"/>
  <c r="D368" i="15"/>
  <c r="E368" i="15" s="1"/>
  <c r="D216" i="15"/>
  <c r="E216" i="15" s="1"/>
  <c r="BP17" i="15"/>
  <c r="BS17" i="15" s="1"/>
  <c r="BP47" i="15"/>
  <c r="BS47" i="15" s="1"/>
  <c r="BP101" i="15"/>
  <c r="BS101" i="15" s="1"/>
  <c r="BO25" i="15"/>
  <c r="C25" i="15" s="1"/>
  <c r="BO60" i="15"/>
  <c r="C60" i="15" s="1"/>
  <c r="D352" i="15"/>
  <c r="BO43" i="15"/>
  <c r="C43" i="15" s="1"/>
  <c r="BO16" i="15"/>
  <c r="C16" i="15" s="1"/>
  <c r="D331" i="15"/>
  <c r="D221" i="15"/>
  <c r="BP99" i="15"/>
  <c r="BS99" i="15" s="1"/>
  <c r="C351" i="15"/>
  <c r="BP55" i="15"/>
  <c r="BS55" i="15" s="1"/>
  <c r="C337" i="15"/>
  <c r="E337" i="15" s="1"/>
  <c r="BO20" i="15"/>
  <c r="C20" i="15" s="1"/>
  <c r="BO84" i="15"/>
  <c r="C84" i="15" s="1"/>
  <c r="C331" i="15"/>
  <c r="D267" i="15"/>
  <c r="E267" i="15" s="1"/>
  <c r="BO107" i="15"/>
  <c r="C107" i="15" s="1"/>
  <c r="BO123" i="15"/>
  <c r="C123" i="15" s="1"/>
  <c r="BP52" i="15"/>
  <c r="BS52" i="15" s="1"/>
  <c r="BP123" i="15"/>
  <c r="BS123" i="15" s="1"/>
  <c r="BP176" i="15"/>
  <c r="BS176" i="15" s="1"/>
  <c r="BP110" i="15"/>
  <c r="BS110" i="15" s="1"/>
  <c r="D239" i="15"/>
  <c r="BO29" i="15"/>
  <c r="C29" i="15" s="1"/>
  <c r="C315" i="15"/>
  <c r="E315" i="15" s="1"/>
  <c r="C298" i="15"/>
  <c r="E298" i="15" s="1"/>
  <c r="C258" i="15"/>
  <c r="E258" i="15" s="1"/>
  <c r="BP93" i="15"/>
  <c r="BS93" i="15" s="1"/>
  <c r="BO49" i="15"/>
  <c r="C49" i="15" s="1"/>
  <c r="BP169" i="15"/>
  <c r="BS169" i="15" s="1"/>
  <c r="C367" i="15"/>
  <c r="E367" i="15" s="1"/>
  <c r="D250" i="15"/>
  <c r="E250" i="15" s="1"/>
  <c r="C314" i="15"/>
  <c r="E314" i="15" s="1"/>
  <c r="BP79" i="15"/>
  <c r="BS79" i="15" s="1"/>
  <c r="BO37" i="15"/>
  <c r="C37" i="15" s="1"/>
  <c r="D249" i="15"/>
  <c r="E249" i="15" s="1"/>
  <c r="BO99" i="15"/>
  <c r="C99" i="15" s="1"/>
  <c r="C235" i="15"/>
  <c r="C275" i="15"/>
  <c r="BO87" i="15"/>
  <c r="C87" i="15" s="1"/>
  <c r="BO19" i="15"/>
  <c r="C19" i="15" s="1"/>
  <c r="C350" i="15"/>
  <c r="BO101" i="15"/>
  <c r="C101" i="15" s="1"/>
  <c r="BO115" i="15"/>
  <c r="C115" i="15" s="1"/>
  <c r="BP107" i="15"/>
  <c r="BS107" i="15" s="1"/>
  <c r="BO51" i="15"/>
  <c r="C51" i="15" s="1"/>
  <c r="C316" i="15"/>
  <c r="D202" i="15"/>
  <c r="E202" i="15" s="1"/>
  <c r="BP35" i="15"/>
  <c r="BS35" i="15" s="1"/>
  <c r="C256" i="15"/>
  <c r="BP141" i="15"/>
  <c r="BS141" i="15" s="1"/>
  <c r="D306" i="15"/>
  <c r="E306" i="15" s="1"/>
  <c r="BP53" i="15"/>
  <c r="BS53" i="15" s="1"/>
  <c r="D207" i="15"/>
  <c r="E207" i="15" s="1"/>
  <c r="BO78" i="15"/>
  <c r="C78" i="15" s="1"/>
  <c r="C205" i="15"/>
  <c r="E205" i="15" s="1"/>
  <c r="BP78" i="15"/>
  <c r="BS78" i="15" s="1"/>
  <c r="D256" i="15"/>
  <c r="BO108" i="15"/>
  <c r="C108" i="15" s="1"/>
  <c r="BP87" i="15"/>
  <c r="BS87" i="15" s="1"/>
  <c r="D342" i="15"/>
  <c r="E342" i="15" s="1"/>
  <c r="BO77" i="15"/>
  <c r="C77" i="15" s="1"/>
  <c r="C208" i="15"/>
  <c r="D336" i="15"/>
  <c r="C369" i="15"/>
  <c r="BP95" i="15"/>
  <c r="BS95" i="15" s="1"/>
  <c r="BO28" i="15"/>
  <c r="C28" i="15" s="1"/>
  <c r="BP49" i="15"/>
  <c r="BS49" i="15" s="1"/>
  <c r="D316" i="15"/>
  <c r="BP142" i="15"/>
  <c r="BS142" i="15" s="1"/>
  <c r="BO85" i="15"/>
  <c r="C85" i="15" s="1"/>
  <c r="BP31" i="15"/>
  <c r="BS31" i="15" s="1"/>
  <c r="BO124" i="15"/>
  <c r="C124" i="15" s="1"/>
  <c r="D208" i="15"/>
  <c r="BP69" i="15"/>
  <c r="BS69" i="15" s="1"/>
  <c r="BO160" i="15"/>
  <c r="C160" i="15" s="1"/>
  <c r="BO95" i="15"/>
  <c r="C95" i="15" s="1"/>
  <c r="BO18" i="15"/>
  <c r="C18" i="15" s="1"/>
  <c r="C307" i="15"/>
  <c r="BP115" i="15"/>
  <c r="BS115" i="15" s="1"/>
  <c r="D218" i="15"/>
  <c r="E218" i="15" s="1"/>
  <c r="BO21" i="15"/>
  <c r="C21" i="15" s="1"/>
  <c r="C237" i="15"/>
  <c r="BP58" i="15"/>
  <c r="BS58" i="15" s="1"/>
  <c r="BP109" i="15"/>
  <c r="BS109" i="15" s="1"/>
  <c r="BO73" i="15"/>
  <c r="C73" i="15" s="1"/>
  <c r="C274" i="15"/>
  <c r="BO42" i="15"/>
  <c r="C42" i="15" s="1"/>
  <c r="C21" i="14" s="1"/>
  <c r="D215" i="15"/>
  <c r="D273" i="15"/>
  <c r="E273" i="15" s="1"/>
  <c r="C324" i="15"/>
  <c r="BO65" i="15"/>
  <c r="C65" i="15" s="1"/>
  <c r="BP65" i="15"/>
  <c r="BS65" i="15" s="1"/>
  <c r="BP46" i="15"/>
  <c r="BS46" i="15" s="1"/>
  <c r="C215" i="15"/>
  <c r="C336" i="15"/>
  <c r="C344" i="15"/>
  <c r="D344" i="15"/>
  <c r="BO46" i="15"/>
  <c r="C46" i="15" s="1"/>
  <c r="BP84" i="15"/>
  <c r="BS84" i="15" s="1"/>
  <c r="BP108" i="15"/>
  <c r="BS108" i="15" s="1"/>
  <c r="BP102" i="15"/>
  <c r="BS102" i="15" s="1"/>
  <c r="BO67" i="15"/>
  <c r="C67" i="15" s="1"/>
  <c r="BP21" i="15"/>
  <c r="BS21" i="15" s="1"/>
  <c r="BO91" i="15"/>
  <c r="C91" i="15" s="1"/>
  <c r="E211" i="15"/>
  <c r="BO190" i="15"/>
  <c r="C190" i="15" s="1"/>
  <c r="BP190" i="15"/>
  <c r="BS190" i="15" s="1"/>
  <c r="BO191" i="15"/>
  <c r="C191" i="15" s="1"/>
  <c r="BP191" i="15"/>
  <c r="BS191" i="15" s="1"/>
  <c r="BO68" i="15"/>
  <c r="C68" i="15" s="1"/>
  <c r="BO180" i="15"/>
  <c r="C180" i="15" s="1"/>
  <c r="C362" i="15"/>
  <c r="BO188" i="15"/>
  <c r="C188" i="15" s="1"/>
  <c r="C370" i="15"/>
  <c r="BP180" i="15"/>
  <c r="BS180" i="15" s="1"/>
  <c r="D362" i="15"/>
  <c r="BP188" i="15"/>
  <c r="BS188" i="15" s="1"/>
  <c r="D370" i="15"/>
  <c r="BO63" i="15"/>
  <c r="C63" i="15" s="1"/>
  <c r="BO102" i="15"/>
  <c r="C102" i="15" s="1"/>
  <c r="BO181" i="15"/>
  <c r="C181" i="15" s="1"/>
  <c r="C363" i="15"/>
  <c r="E363" i="15" s="1"/>
  <c r="BO175" i="15"/>
  <c r="C175" i="15" s="1"/>
  <c r="C357" i="15"/>
  <c r="BO179" i="15"/>
  <c r="C179" i="15" s="1"/>
  <c r="C361" i="15"/>
  <c r="BO182" i="15"/>
  <c r="C182" i="15" s="1"/>
  <c r="C364" i="15"/>
  <c r="BO189" i="15"/>
  <c r="C189" i="15" s="1"/>
  <c r="BP184" i="15"/>
  <c r="BS184" i="15" s="1"/>
  <c r="D366" i="15"/>
  <c r="BP178" i="15"/>
  <c r="BS178" i="15" s="1"/>
  <c r="D360" i="15"/>
  <c r="BP175" i="15"/>
  <c r="BS175" i="15" s="1"/>
  <c r="D357" i="15"/>
  <c r="BP179" i="15"/>
  <c r="BS179" i="15" s="1"/>
  <c r="D361" i="15"/>
  <c r="BO183" i="15"/>
  <c r="C183" i="15" s="1"/>
  <c r="C365" i="15"/>
  <c r="BP182" i="15"/>
  <c r="BS182" i="15" s="1"/>
  <c r="D364" i="15"/>
  <c r="BO184" i="15"/>
  <c r="C184" i="15" s="1"/>
  <c r="C366" i="15"/>
  <c r="BP187" i="15"/>
  <c r="BS187" i="15" s="1"/>
  <c r="D369" i="15"/>
  <c r="BP177" i="15"/>
  <c r="BS177" i="15" s="1"/>
  <c r="D359" i="15"/>
  <c r="BO177" i="15"/>
  <c r="C177" i="15" s="1"/>
  <c r="C359" i="15"/>
  <c r="BP183" i="15"/>
  <c r="BS183" i="15" s="1"/>
  <c r="D365" i="15"/>
  <c r="BP189" i="15"/>
  <c r="BS189" i="15" s="1"/>
  <c r="BO178" i="15"/>
  <c r="C178" i="15" s="1"/>
  <c r="C360" i="15"/>
  <c r="BO156" i="15"/>
  <c r="C156" i="15" s="1"/>
  <c r="C338" i="15"/>
  <c r="BO128" i="15"/>
  <c r="C128" i="15" s="1"/>
  <c r="C310" i="15"/>
  <c r="BP156" i="15"/>
  <c r="BS156" i="15" s="1"/>
  <c r="D338" i="15"/>
  <c r="BO140" i="15"/>
  <c r="C140" i="15" s="1"/>
  <c r="C322" i="15"/>
  <c r="E322" i="15" s="1"/>
  <c r="BP145" i="15"/>
  <c r="BS145" i="15" s="1"/>
  <c r="D327" i="15"/>
  <c r="BP173" i="15"/>
  <c r="BS173" i="15" s="1"/>
  <c r="D355" i="15"/>
  <c r="E224" i="15"/>
  <c r="BO120" i="15"/>
  <c r="C120" i="15" s="1"/>
  <c r="C302" i="15"/>
  <c r="BP136" i="15"/>
  <c r="BS136" i="15" s="1"/>
  <c r="D318" i="15"/>
  <c r="BP159" i="15"/>
  <c r="BS159" i="15" s="1"/>
  <c r="D341" i="15"/>
  <c r="BP158" i="15"/>
  <c r="BS158" i="15" s="1"/>
  <c r="D340" i="15"/>
  <c r="BP166" i="15"/>
  <c r="BS166" i="15" s="1"/>
  <c r="D348" i="15"/>
  <c r="BO171" i="15"/>
  <c r="C171" i="15" s="1"/>
  <c r="C353" i="15"/>
  <c r="BP172" i="15"/>
  <c r="BS172" i="15" s="1"/>
  <c r="D354" i="15"/>
  <c r="BP171" i="15"/>
  <c r="BS171" i="15" s="1"/>
  <c r="D353" i="15"/>
  <c r="BO153" i="15"/>
  <c r="C153" i="15" s="1"/>
  <c r="C335" i="15"/>
  <c r="BO157" i="15"/>
  <c r="C157" i="15" s="1"/>
  <c r="C339" i="15"/>
  <c r="BO173" i="15"/>
  <c r="C173" i="15" s="1"/>
  <c r="C355" i="15"/>
  <c r="E198" i="15"/>
  <c r="BO159" i="15"/>
  <c r="C159" i="15" s="1"/>
  <c r="C341" i="15"/>
  <c r="BO163" i="15"/>
  <c r="C163" i="15" s="1"/>
  <c r="C345" i="15"/>
  <c r="E345" i="15" s="1"/>
  <c r="BP151" i="15"/>
  <c r="BS151" i="15" s="1"/>
  <c r="D333" i="15"/>
  <c r="BP126" i="15"/>
  <c r="BS126" i="15" s="1"/>
  <c r="D308" i="15"/>
  <c r="BO172" i="15"/>
  <c r="C172" i="15" s="1"/>
  <c r="C354" i="15"/>
  <c r="BP120" i="15"/>
  <c r="BS120" i="15" s="1"/>
  <c r="D302" i="15"/>
  <c r="BP128" i="15"/>
  <c r="BS128" i="15" s="1"/>
  <c r="D310" i="15"/>
  <c r="BP129" i="15"/>
  <c r="BS129" i="15" s="1"/>
  <c r="D311" i="15"/>
  <c r="BO119" i="15"/>
  <c r="C119" i="15" s="1"/>
  <c r="C301" i="15"/>
  <c r="BO145" i="15"/>
  <c r="C145" i="15" s="1"/>
  <c r="C327" i="15"/>
  <c r="BO167" i="15"/>
  <c r="C167" i="15" s="1"/>
  <c r="C349" i="15"/>
  <c r="BO129" i="15"/>
  <c r="C129" i="15" s="1"/>
  <c r="C311" i="15"/>
  <c r="BP122" i="15"/>
  <c r="BS122" i="15" s="1"/>
  <c r="D304" i="15"/>
  <c r="BO138" i="15"/>
  <c r="C138" i="15" s="1"/>
  <c r="C320" i="15"/>
  <c r="BP157" i="15"/>
  <c r="BS157" i="15" s="1"/>
  <c r="D339" i="15"/>
  <c r="BO139" i="15"/>
  <c r="C139" i="15" s="1"/>
  <c r="C321" i="15"/>
  <c r="BO137" i="15"/>
  <c r="C137" i="15" s="1"/>
  <c r="C319" i="15"/>
  <c r="BP119" i="15"/>
  <c r="BS119" i="15" s="1"/>
  <c r="D301" i="15"/>
  <c r="BP174" i="15"/>
  <c r="BS174" i="15" s="1"/>
  <c r="BP147" i="15"/>
  <c r="BS147" i="15" s="1"/>
  <c r="D329" i="15"/>
  <c r="E329" i="15" s="1"/>
  <c r="BO161" i="15"/>
  <c r="C161" i="15" s="1"/>
  <c r="C343" i="15"/>
  <c r="E343" i="15" s="1"/>
  <c r="BO152" i="15"/>
  <c r="C152" i="15" s="1"/>
  <c r="C334" i="15"/>
  <c r="BP138" i="15"/>
  <c r="BS138" i="15" s="1"/>
  <c r="D320" i="15"/>
  <c r="BO165" i="15"/>
  <c r="C165" i="15" s="1"/>
  <c r="C347" i="15"/>
  <c r="BP135" i="15"/>
  <c r="BS135" i="15" s="1"/>
  <c r="D317" i="15"/>
  <c r="BP121" i="15"/>
  <c r="BS121" i="15" s="1"/>
  <c r="D303" i="15"/>
  <c r="BO148" i="15"/>
  <c r="C148" i="15" s="1"/>
  <c r="C330" i="15"/>
  <c r="E330" i="15" s="1"/>
  <c r="BP139" i="15"/>
  <c r="BS139" i="15" s="1"/>
  <c r="D321" i="15"/>
  <c r="E242" i="15"/>
  <c r="BO144" i="15"/>
  <c r="C144" i="15" s="1"/>
  <c r="C326" i="15"/>
  <c r="BP118" i="15"/>
  <c r="BS118" i="15" s="1"/>
  <c r="D300" i="15"/>
  <c r="BP144" i="15"/>
  <c r="BS144" i="15" s="1"/>
  <c r="D326" i="15"/>
  <c r="BO143" i="15"/>
  <c r="C143" i="15" s="1"/>
  <c r="C325" i="15"/>
  <c r="BP137" i="15"/>
  <c r="BS137" i="15" s="1"/>
  <c r="D319" i="15"/>
  <c r="BO146" i="15"/>
  <c r="C146" i="15" s="1"/>
  <c r="C328" i="15"/>
  <c r="BP167" i="15"/>
  <c r="BS167" i="15" s="1"/>
  <c r="D349" i="15"/>
  <c r="BP127" i="15"/>
  <c r="BS127" i="15" s="1"/>
  <c r="D309" i="15"/>
  <c r="BO164" i="15"/>
  <c r="C164" i="15" s="1"/>
  <c r="C346" i="15"/>
  <c r="BO130" i="15"/>
  <c r="C130" i="15" s="1"/>
  <c r="C312" i="15"/>
  <c r="BP152" i="15"/>
  <c r="BS152" i="15" s="1"/>
  <c r="D334" i="15"/>
  <c r="BP165" i="15"/>
  <c r="BS165" i="15" s="1"/>
  <c r="D347" i="15"/>
  <c r="E255" i="15"/>
  <c r="BP168" i="15"/>
  <c r="BS168" i="15" s="1"/>
  <c r="D350" i="15"/>
  <c r="BO170" i="15"/>
  <c r="C170" i="15" s="1"/>
  <c r="C352" i="15"/>
  <c r="BO127" i="15"/>
  <c r="C127" i="15" s="1"/>
  <c r="C309" i="15"/>
  <c r="BP153" i="15"/>
  <c r="BS153" i="15" s="1"/>
  <c r="D335" i="15"/>
  <c r="BO158" i="15"/>
  <c r="C158" i="15" s="1"/>
  <c r="C340" i="15"/>
  <c r="BO166" i="15"/>
  <c r="C166" i="15" s="1"/>
  <c r="C348" i="15"/>
  <c r="BO150" i="15"/>
  <c r="C150" i="15" s="1"/>
  <c r="C332" i="15"/>
  <c r="BO151" i="15"/>
  <c r="C151" i="15" s="1"/>
  <c r="C333" i="15"/>
  <c r="BP150" i="15"/>
  <c r="BS150" i="15" s="1"/>
  <c r="D332" i="15"/>
  <c r="BO126" i="15"/>
  <c r="C126" i="15" s="1"/>
  <c r="C308" i="15"/>
  <c r="BP146" i="15"/>
  <c r="BS146" i="15" s="1"/>
  <c r="D328" i="15"/>
  <c r="BO122" i="15"/>
  <c r="C122" i="15" s="1"/>
  <c r="C304" i="15"/>
  <c r="BP164" i="15"/>
  <c r="BS164" i="15" s="1"/>
  <c r="D346" i="15"/>
  <c r="BP130" i="15"/>
  <c r="BS130" i="15" s="1"/>
  <c r="D312" i="15"/>
  <c r="BO136" i="15"/>
  <c r="C136" i="15" s="1"/>
  <c r="C318" i="15"/>
  <c r="BO118" i="15"/>
  <c r="C118" i="15" s="1"/>
  <c r="C300" i="15"/>
  <c r="BO135" i="15"/>
  <c r="C135" i="15" s="1"/>
  <c r="C317" i="15"/>
  <c r="BO121" i="15"/>
  <c r="C121" i="15" s="1"/>
  <c r="C303" i="15"/>
  <c r="BO174" i="15"/>
  <c r="C174" i="15" s="1"/>
  <c r="BP143" i="15"/>
  <c r="BS143" i="15" s="1"/>
  <c r="D325" i="15"/>
  <c r="BP131" i="15"/>
  <c r="BS131" i="15" s="1"/>
  <c r="D313" i="15"/>
  <c r="E313" i="15" s="1"/>
  <c r="D286" i="15"/>
  <c r="BP104" i="15"/>
  <c r="BS104" i="15" s="1"/>
  <c r="C264" i="15"/>
  <c r="BO82" i="15"/>
  <c r="C82" i="15" s="1"/>
  <c r="C285" i="15"/>
  <c r="BO103" i="15"/>
  <c r="C103" i="15" s="1"/>
  <c r="D244" i="15"/>
  <c r="BP62" i="15"/>
  <c r="BS62" i="15" s="1"/>
  <c r="D214" i="15"/>
  <c r="BP32" i="15"/>
  <c r="BS32" i="15" s="1"/>
  <c r="C254" i="15"/>
  <c r="BO72" i="15"/>
  <c r="C72" i="15" s="1"/>
  <c r="C262" i="15"/>
  <c r="BO80" i="15"/>
  <c r="C80" i="15" s="1"/>
  <c r="C212" i="15"/>
  <c r="BO30" i="15"/>
  <c r="C30" i="15" s="1"/>
  <c r="D272" i="15"/>
  <c r="BP90" i="15"/>
  <c r="BS90" i="15" s="1"/>
  <c r="C217" i="15"/>
  <c r="BO35" i="15"/>
  <c r="C35" i="15" s="1"/>
  <c r="D210" i="15"/>
  <c r="E210" i="15" s="1"/>
  <c r="BP28" i="15"/>
  <c r="BS28" i="15" s="1"/>
  <c r="D282" i="15"/>
  <c r="BP100" i="15"/>
  <c r="BS100" i="15" s="1"/>
  <c r="D288" i="15"/>
  <c r="BP106" i="15"/>
  <c r="BS106" i="15" s="1"/>
  <c r="D246" i="15"/>
  <c r="BP64" i="15"/>
  <c r="BS64" i="15" s="1"/>
  <c r="D276" i="15"/>
  <c r="BP94" i="15"/>
  <c r="BS94" i="15" s="1"/>
  <c r="D268" i="15"/>
  <c r="BP86" i="15"/>
  <c r="BS86" i="15" s="1"/>
  <c r="C238" i="15"/>
  <c r="BO56" i="15"/>
  <c r="C56" i="15" s="1"/>
  <c r="D279" i="15"/>
  <c r="BP97" i="15"/>
  <c r="BS97" i="15" s="1"/>
  <c r="C288" i="15"/>
  <c r="BO106" i="15"/>
  <c r="C106" i="15" s="1"/>
  <c r="C271" i="15"/>
  <c r="BO89" i="15"/>
  <c r="C89" i="15" s="1"/>
  <c r="D285" i="15"/>
  <c r="BP103" i="15"/>
  <c r="BS103" i="15" s="1"/>
  <c r="C246" i="15"/>
  <c r="BO64" i="15"/>
  <c r="C64" i="15" s="1"/>
  <c r="D254" i="15"/>
  <c r="BP72" i="15"/>
  <c r="BS72" i="15" s="1"/>
  <c r="D293" i="15"/>
  <c r="BP111" i="15"/>
  <c r="BS111" i="15" s="1"/>
  <c r="C294" i="15"/>
  <c r="BO112" i="15"/>
  <c r="C112" i="15" s="1"/>
  <c r="C286" i="15"/>
  <c r="BO104" i="15"/>
  <c r="C104" i="15" s="1"/>
  <c r="D212" i="15"/>
  <c r="BP30" i="15"/>
  <c r="BS30" i="15" s="1"/>
  <c r="D274" i="15"/>
  <c r="BP92" i="15"/>
  <c r="BS92" i="15" s="1"/>
  <c r="D271" i="15"/>
  <c r="BP89" i="15"/>
  <c r="BS89" i="15" s="1"/>
  <c r="C270" i="15"/>
  <c r="BO88" i="15"/>
  <c r="C88" i="15" s="1"/>
  <c r="D294" i="15"/>
  <c r="BP112" i="15"/>
  <c r="BS112" i="15" s="1"/>
  <c r="C206" i="15"/>
  <c r="BO24" i="15"/>
  <c r="C24" i="15" s="1"/>
  <c r="C220" i="15"/>
  <c r="BO38" i="15"/>
  <c r="C38" i="15" s="1"/>
  <c r="D262" i="15"/>
  <c r="BP80" i="15"/>
  <c r="BS80" i="15" s="1"/>
  <c r="E200" i="15"/>
  <c r="D206" i="15"/>
  <c r="BP24" i="15"/>
  <c r="BS24" i="15" s="1"/>
  <c r="D238" i="15"/>
  <c r="BP56" i="15"/>
  <c r="BS56" i="15" s="1"/>
  <c r="D220" i="15"/>
  <c r="BP38" i="15"/>
  <c r="BS38" i="15" s="1"/>
  <c r="D280" i="15"/>
  <c r="BP98" i="15"/>
  <c r="BS98" i="15" s="1"/>
  <c r="E225" i="15"/>
  <c r="D253" i="15"/>
  <c r="BP71" i="15"/>
  <c r="BS71" i="15" s="1"/>
  <c r="C253" i="15"/>
  <c r="BO71" i="15"/>
  <c r="C71" i="15" s="1"/>
  <c r="C268" i="15"/>
  <c r="BO86" i="15"/>
  <c r="C86" i="15" s="1"/>
  <c r="C282" i="15"/>
  <c r="BO100" i="15"/>
  <c r="C100" i="15" s="1"/>
  <c r="C226" i="15"/>
  <c r="C16" i="14" s="1"/>
  <c r="BO44" i="15"/>
  <c r="C44" i="15" s="1"/>
  <c r="C22" i="14" s="1"/>
  <c r="I25" i="13" s="1"/>
  <c r="C296" i="15"/>
  <c r="BO114" i="15"/>
  <c r="C114" i="15" s="1"/>
  <c r="C222" i="15"/>
  <c r="BO40" i="15"/>
  <c r="C40" i="15" s="1"/>
  <c r="D270" i="15"/>
  <c r="BP88" i="15"/>
  <c r="BS88" i="15" s="1"/>
  <c r="D295" i="15"/>
  <c r="BP113" i="15"/>
  <c r="BS113" i="15" s="1"/>
  <c r="C279" i="15"/>
  <c r="BO97" i="15"/>
  <c r="C97" i="15" s="1"/>
  <c r="C278" i="15"/>
  <c r="BO96" i="15"/>
  <c r="C96" i="15" s="1"/>
  <c r="C287" i="15"/>
  <c r="BO105" i="15"/>
  <c r="C105" i="15" s="1"/>
  <c r="D264" i="15"/>
  <c r="BP82" i="15"/>
  <c r="BS82" i="15" s="1"/>
  <c r="C272" i="15"/>
  <c r="BO90" i="15"/>
  <c r="C90" i="15" s="1"/>
  <c r="D232" i="15"/>
  <c r="BP50" i="15"/>
  <c r="BS50" i="15" s="1"/>
  <c r="C223" i="15"/>
  <c r="E223" i="15" s="1"/>
  <c r="BO41" i="15"/>
  <c r="C41" i="15" s="1"/>
  <c r="C232" i="15"/>
  <c r="BO50" i="15"/>
  <c r="C50" i="15" s="1"/>
  <c r="C252" i="15"/>
  <c r="BO70" i="15"/>
  <c r="C70" i="15" s="1"/>
  <c r="D265" i="15"/>
  <c r="BP83" i="15"/>
  <c r="BS83" i="15" s="1"/>
  <c r="C263" i="15"/>
  <c r="BO81" i="15"/>
  <c r="C81" i="15" s="1"/>
  <c r="D263" i="15"/>
  <c r="BP81" i="15"/>
  <c r="BS81" i="15" s="1"/>
  <c r="D296" i="15"/>
  <c r="BP114" i="15"/>
  <c r="BS114" i="15" s="1"/>
  <c r="D222" i="15"/>
  <c r="BP40" i="15"/>
  <c r="BS40" i="15" s="1"/>
  <c r="C230" i="15"/>
  <c r="BO48" i="15"/>
  <c r="C48" i="15" s="1"/>
  <c r="C18" i="14" s="1"/>
  <c r="D278" i="15"/>
  <c r="BP96" i="15"/>
  <c r="BS96" i="15" s="1"/>
  <c r="D252" i="15"/>
  <c r="BP70" i="15"/>
  <c r="BS70" i="15" s="1"/>
  <c r="D248" i="15"/>
  <c r="BP66" i="15"/>
  <c r="BS66" i="15" s="1"/>
  <c r="C248" i="15"/>
  <c r="BO66" i="15"/>
  <c r="C66" i="15" s="1"/>
  <c r="C239" i="15"/>
  <c r="BO57" i="15"/>
  <c r="C57" i="15" s="1"/>
  <c r="C265" i="15"/>
  <c r="BO83" i="15"/>
  <c r="C83" i="15" s="1"/>
  <c r="C293" i="15"/>
  <c r="BO111" i="15"/>
  <c r="C111" i="15" s="1"/>
  <c r="C280" i="15"/>
  <c r="BO98" i="15"/>
  <c r="C98" i="15" s="1"/>
  <c r="D287" i="15"/>
  <c r="BP105" i="15"/>
  <c r="BS105" i="15" s="1"/>
  <c r="C244" i="15"/>
  <c r="BO62" i="15"/>
  <c r="C62" i="15" s="1"/>
  <c r="C214" i="15"/>
  <c r="BO32" i="15"/>
  <c r="C32" i="15" s="1"/>
  <c r="D230" i="15"/>
  <c r="BP48" i="15"/>
  <c r="BS48" i="15" s="1"/>
  <c r="C295" i="15"/>
  <c r="BO113" i="15"/>
  <c r="C113" i="15" s="1"/>
  <c r="C276" i="15"/>
  <c r="BO94" i="15"/>
  <c r="C94" i="15" s="1"/>
  <c r="E245" i="15"/>
  <c r="D226" i="15"/>
  <c r="BP44" i="15"/>
  <c r="BS44" i="15" s="1"/>
  <c r="E233" i="15"/>
  <c r="D14" i="14" l="1"/>
  <c r="E14" i="14" s="1"/>
  <c r="L17" i="13" s="1"/>
  <c r="D15" i="14"/>
  <c r="E15" i="14" s="1"/>
  <c r="F15" i="14" s="1"/>
  <c r="J18" i="13" s="1"/>
  <c r="F13" i="14"/>
  <c r="J16" i="13" s="1"/>
  <c r="H30" i="39"/>
  <c r="G24" i="39"/>
  <c r="P13" i="39"/>
  <c r="L24" i="13"/>
  <c r="F21" i="14"/>
  <c r="J24" i="13" s="1"/>
  <c r="L19" i="13"/>
  <c r="F16" i="14"/>
  <c r="I24" i="13"/>
  <c r="I23" i="13"/>
  <c r="I21" i="13"/>
  <c r="E229" i="15"/>
  <c r="BS16" i="15"/>
  <c r="BR75" i="15"/>
  <c r="D75" i="15"/>
  <c r="E75" i="15" s="1"/>
  <c r="D61" i="15"/>
  <c r="E61" i="15" s="1"/>
  <c r="BR45" i="15"/>
  <c r="E243" i="15"/>
  <c r="D45" i="15"/>
  <c r="E45" i="15" s="1"/>
  <c r="D27" i="15"/>
  <c r="E27" i="15" s="1"/>
  <c r="BS27" i="15"/>
  <c r="D19" i="15"/>
  <c r="E19" i="15" s="1"/>
  <c r="BS19" i="15"/>
  <c r="BR27" i="15"/>
  <c r="E161" i="15"/>
  <c r="BR22" i="15"/>
  <c r="E22" i="15"/>
  <c r="E235" i="15"/>
  <c r="E29" i="15"/>
  <c r="E54" i="15"/>
  <c r="E217" i="15"/>
  <c r="E163" i="15"/>
  <c r="E307" i="15"/>
  <c r="BR61" i="15"/>
  <c r="E60" i="15"/>
  <c r="BR54" i="15"/>
  <c r="E18" i="15"/>
  <c r="E51" i="15"/>
  <c r="E181" i="15"/>
  <c r="E16" i="15"/>
  <c r="BR148" i="15"/>
  <c r="E41" i="15"/>
  <c r="E63" i="15"/>
  <c r="E221" i="15"/>
  <c r="E234" i="15"/>
  <c r="BR163" i="15"/>
  <c r="E148" i="15"/>
  <c r="BR29" i="15"/>
  <c r="E43" i="15"/>
  <c r="D40" i="15"/>
  <c r="E40" i="15" s="1"/>
  <c r="BR40" i="15"/>
  <c r="D82" i="15"/>
  <c r="E82" i="15" s="1"/>
  <c r="BR82" i="15"/>
  <c r="D121" i="15"/>
  <c r="E121" i="15" s="1"/>
  <c r="BR121" i="15"/>
  <c r="D158" i="15"/>
  <c r="E158" i="15" s="1"/>
  <c r="BR158" i="15"/>
  <c r="D184" i="15"/>
  <c r="E184" i="15" s="1"/>
  <c r="BR184" i="15"/>
  <c r="D191" i="15"/>
  <c r="E191" i="15" s="1"/>
  <c r="BR191" i="15"/>
  <c r="D84" i="15"/>
  <c r="E84" i="15" s="1"/>
  <c r="BR84" i="15"/>
  <c r="D65" i="15"/>
  <c r="E65" i="15" s="1"/>
  <c r="BR65" i="15"/>
  <c r="D109" i="15"/>
  <c r="E109" i="15" s="1"/>
  <c r="BR109" i="15"/>
  <c r="D169" i="15"/>
  <c r="E169" i="15" s="1"/>
  <c r="BR169" i="15"/>
  <c r="D110" i="15"/>
  <c r="E110" i="15" s="1"/>
  <c r="BR110" i="15"/>
  <c r="D99" i="15"/>
  <c r="E99" i="15" s="1"/>
  <c r="BR99" i="15"/>
  <c r="D117" i="15"/>
  <c r="E117" i="15" s="1"/>
  <c r="BR117" i="15"/>
  <c r="D192" i="15"/>
  <c r="E192" i="15" s="1"/>
  <c r="BR192" i="15"/>
  <c r="D162" i="15"/>
  <c r="E162" i="15" s="1"/>
  <c r="BR162" i="15"/>
  <c r="D195" i="15"/>
  <c r="E195" i="15" s="1"/>
  <c r="BR195" i="15"/>
  <c r="D57" i="15"/>
  <c r="E57" i="15" s="1"/>
  <c r="BR57" i="15"/>
  <c r="D44" i="15"/>
  <c r="E44" i="15" s="1"/>
  <c r="BR44" i="15"/>
  <c r="D112" i="15"/>
  <c r="E112" i="15" s="1"/>
  <c r="BR112" i="15"/>
  <c r="D92" i="15"/>
  <c r="E92" i="15" s="1"/>
  <c r="BR92" i="15"/>
  <c r="D119" i="15"/>
  <c r="E119" i="15" s="1"/>
  <c r="BR119" i="15"/>
  <c r="D157" i="15"/>
  <c r="E157" i="15" s="1"/>
  <c r="BR157" i="15"/>
  <c r="D129" i="15"/>
  <c r="E129" i="15" s="1"/>
  <c r="BR129" i="15"/>
  <c r="D156" i="15"/>
  <c r="E156" i="15" s="1"/>
  <c r="BR156" i="15"/>
  <c r="D187" i="15"/>
  <c r="E187" i="15" s="1"/>
  <c r="BR187" i="15"/>
  <c r="D179" i="15"/>
  <c r="E179" i="15" s="1"/>
  <c r="BR179" i="15"/>
  <c r="D180" i="15"/>
  <c r="E180" i="15" s="1"/>
  <c r="BR180" i="15"/>
  <c r="E42" i="15"/>
  <c r="D115" i="15"/>
  <c r="E115" i="15" s="1"/>
  <c r="BR115" i="15"/>
  <c r="D141" i="15"/>
  <c r="E141" i="15" s="1"/>
  <c r="BR141" i="15"/>
  <c r="D107" i="15"/>
  <c r="E107" i="15" s="1"/>
  <c r="BR107" i="15"/>
  <c r="D176" i="15"/>
  <c r="E176" i="15" s="1"/>
  <c r="BR176" i="15"/>
  <c r="D101" i="15"/>
  <c r="E101" i="15" s="1"/>
  <c r="BR101" i="15"/>
  <c r="D37" i="15"/>
  <c r="E37" i="15" s="1"/>
  <c r="BR37" i="15"/>
  <c r="D160" i="15"/>
  <c r="E160" i="15" s="1"/>
  <c r="BR160" i="15"/>
  <c r="BR140" i="15"/>
  <c r="BR73" i="15"/>
  <c r="BR42" i="15"/>
  <c r="D77" i="15"/>
  <c r="E77" i="15" s="1"/>
  <c r="BR77" i="15"/>
  <c r="D113" i="15"/>
  <c r="E113" i="15" s="1"/>
  <c r="BR113" i="15"/>
  <c r="D189" i="15"/>
  <c r="E189" i="15" s="1"/>
  <c r="BR189" i="15"/>
  <c r="D94" i="15"/>
  <c r="E94" i="15" s="1"/>
  <c r="BR94" i="15"/>
  <c r="D153" i="15"/>
  <c r="E153" i="15" s="1"/>
  <c r="BR153" i="15"/>
  <c r="D137" i="15"/>
  <c r="E137" i="15" s="1"/>
  <c r="BR137" i="15"/>
  <c r="D139" i="15"/>
  <c r="E139" i="15" s="1"/>
  <c r="BR139" i="15"/>
  <c r="D172" i="15"/>
  <c r="E172" i="15" s="1"/>
  <c r="BR172" i="15"/>
  <c r="D78" i="15"/>
  <c r="E78" i="15" s="1"/>
  <c r="BR78" i="15"/>
  <c r="D93" i="15"/>
  <c r="E93" i="15" s="1"/>
  <c r="BR93" i="15"/>
  <c r="D134" i="15"/>
  <c r="E134" i="15" s="1"/>
  <c r="BR134" i="15"/>
  <c r="D50" i="15"/>
  <c r="E50" i="15" s="1"/>
  <c r="BR50" i="15"/>
  <c r="D71" i="15"/>
  <c r="E71" i="15" s="1"/>
  <c r="BR71" i="15"/>
  <c r="D38" i="15"/>
  <c r="E38" i="15" s="1"/>
  <c r="BR38" i="15"/>
  <c r="D80" i="15"/>
  <c r="E80" i="15" s="1"/>
  <c r="BR80" i="15"/>
  <c r="D173" i="15"/>
  <c r="E173" i="15" s="1"/>
  <c r="BR173" i="15"/>
  <c r="D175" i="15"/>
  <c r="E175" i="15" s="1"/>
  <c r="BR175" i="15"/>
  <c r="E324" i="15"/>
  <c r="D35" i="15"/>
  <c r="E35" i="15" s="1"/>
  <c r="BR35" i="15"/>
  <c r="D123" i="15"/>
  <c r="E123" i="15" s="1"/>
  <c r="BR123" i="15"/>
  <c r="BR161" i="15"/>
  <c r="D26" i="15"/>
  <c r="E26" i="15" s="1"/>
  <c r="BR26" i="15"/>
  <c r="BR16" i="15"/>
  <c r="D197" i="15"/>
  <c r="E197" i="15" s="1"/>
  <c r="BR197" i="15"/>
  <c r="D171" i="15"/>
  <c r="E171" i="15" s="1"/>
  <c r="BR171" i="15"/>
  <c r="D97" i="15"/>
  <c r="E97" i="15" s="1"/>
  <c r="BR97" i="15"/>
  <c r="D150" i="15"/>
  <c r="E150" i="15" s="1"/>
  <c r="BR150" i="15"/>
  <c r="D127" i="15"/>
  <c r="E127" i="15" s="1"/>
  <c r="BR127" i="15"/>
  <c r="D159" i="15"/>
  <c r="E159" i="15" s="1"/>
  <c r="BR159" i="15"/>
  <c r="D81" i="15"/>
  <c r="E81" i="15" s="1"/>
  <c r="BR81" i="15"/>
  <c r="D88" i="15"/>
  <c r="E88" i="15" s="1"/>
  <c r="BR88" i="15"/>
  <c r="D111" i="15"/>
  <c r="E111" i="15" s="1"/>
  <c r="BR111" i="15"/>
  <c r="D64" i="15"/>
  <c r="E64" i="15" s="1"/>
  <c r="BR64" i="15"/>
  <c r="D164" i="15"/>
  <c r="E164" i="15" s="1"/>
  <c r="BR164" i="15"/>
  <c r="D152" i="15"/>
  <c r="E152" i="15" s="1"/>
  <c r="BR152" i="15"/>
  <c r="D167" i="15"/>
  <c r="E167" i="15" s="1"/>
  <c r="BR167" i="15"/>
  <c r="D136" i="15"/>
  <c r="E136" i="15" s="1"/>
  <c r="BR136" i="15"/>
  <c r="D190" i="15"/>
  <c r="E190" i="15" s="1"/>
  <c r="BR190" i="15"/>
  <c r="D21" i="15"/>
  <c r="E21" i="15" s="1"/>
  <c r="BR21" i="15"/>
  <c r="E73" i="15"/>
  <c r="D58" i="15"/>
  <c r="E58" i="15" s="1"/>
  <c r="BR58" i="15"/>
  <c r="D142" i="15"/>
  <c r="E142" i="15" s="1"/>
  <c r="BR142" i="15"/>
  <c r="D79" i="15"/>
  <c r="E79" i="15" s="1"/>
  <c r="BR79" i="15"/>
  <c r="D52" i="15"/>
  <c r="E52" i="15" s="1"/>
  <c r="BR52" i="15"/>
  <c r="D17" i="15"/>
  <c r="BR17" i="15"/>
  <c r="BR63" i="15"/>
  <c r="D74" i="15"/>
  <c r="E74" i="15" s="1"/>
  <c r="BR74" i="15"/>
  <c r="BR18" i="15"/>
  <c r="D193" i="15"/>
  <c r="E193" i="15" s="1"/>
  <c r="BR193" i="15"/>
  <c r="D36" i="15"/>
  <c r="E36" i="15" s="1"/>
  <c r="BR36" i="15"/>
  <c r="D154" i="15"/>
  <c r="E154" i="15" s="1"/>
  <c r="BR154" i="15"/>
  <c r="D68" i="15"/>
  <c r="E68" i="15" s="1"/>
  <c r="BR68" i="15"/>
  <c r="D149" i="15"/>
  <c r="E149" i="15" s="1"/>
  <c r="BR149" i="15"/>
  <c r="D83" i="15"/>
  <c r="E83" i="15" s="1"/>
  <c r="BR83" i="15"/>
  <c r="D118" i="15"/>
  <c r="E118" i="15" s="1"/>
  <c r="BR118" i="15"/>
  <c r="D114" i="15"/>
  <c r="E114" i="15" s="1"/>
  <c r="BR114" i="15"/>
  <c r="D103" i="15"/>
  <c r="E103" i="15" s="1"/>
  <c r="BR103" i="15"/>
  <c r="D168" i="15"/>
  <c r="E168" i="15" s="1"/>
  <c r="BR168" i="15"/>
  <c r="D47" i="15"/>
  <c r="BR47" i="15"/>
  <c r="D56" i="15"/>
  <c r="E56" i="15" s="1"/>
  <c r="BR56" i="15"/>
  <c r="D89" i="15"/>
  <c r="E89" i="15" s="1"/>
  <c r="BR89" i="15"/>
  <c r="D90" i="15"/>
  <c r="E90" i="15" s="1"/>
  <c r="BR90" i="15"/>
  <c r="D32" i="15"/>
  <c r="E32" i="15" s="1"/>
  <c r="BR32" i="15"/>
  <c r="D104" i="15"/>
  <c r="E104" i="15" s="1"/>
  <c r="BR104" i="15"/>
  <c r="D143" i="15"/>
  <c r="E143" i="15" s="1"/>
  <c r="BR143" i="15"/>
  <c r="D128" i="15"/>
  <c r="E128" i="15" s="1"/>
  <c r="BR128" i="15"/>
  <c r="D126" i="15"/>
  <c r="E126" i="15" s="1"/>
  <c r="BR126" i="15"/>
  <c r="D145" i="15"/>
  <c r="E145" i="15" s="1"/>
  <c r="BR145" i="15"/>
  <c r="D182" i="15"/>
  <c r="E182" i="15" s="1"/>
  <c r="BR182" i="15"/>
  <c r="D178" i="15"/>
  <c r="E178" i="15" s="1"/>
  <c r="BR178" i="15"/>
  <c r="E237" i="15"/>
  <c r="D55" i="15"/>
  <c r="E55" i="15" s="1"/>
  <c r="BR55" i="15"/>
  <c r="D91" i="15"/>
  <c r="E91" i="15" s="1"/>
  <c r="BR91" i="15"/>
  <c r="D194" i="15"/>
  <c r="E194" i="15" s="1"/>
  <c r="BR194" i="15"/>
  <c r="D33" i="15"/>
  <c r="E33" i="15" s="1"/>
  <c r="BR33" i="15"/>
  <c r="BR51" i="15"/>
  <c r="D25" i="15"/>
  <c r="E25" i="15" s="1"/>
  <c r="BR25" i="15"/>
  <c r="D131" i="15"/>
  <c r="E131" i="15" s="1"/>
  <c r="BR131" i="15"/>
  <c r="D95" i="15"/>
  <c r="E95" i="15" s="1"/>
  <c r="BR95" i="15"/>
  <c r="D96" i="15"/>
  <c r="E96" i="15" s="1"/>
  <c r="BR96" i="15"/>
  <c r="D100" i="15"/>
  <c r="E100" i="15" s="1"/>
  <c r="BR100" i="15"/>
  <c r="D130" i="15"/>
  <c r="E130" i="15" s="1"/>
  <c r="BR130" i="15"/>
  <c r="D165" i="15"/>
  <c r="E165" i="15" s="1"/>
  <c r="BR165" i="15"/>
  <c r="D48" i="15"/>
  <c r="BR48" i="15"/>
  <c r="D30" i="15"/>
  <c r="E30" i="15" s="1"/>
  <c r="BR30" i="15"/>
  <c r="D86" i="15"/>
  <c r="E86" i="15" s="1"/>
  <c r="BR86" i="15"/>
  <c r="D106" i="15"/>
  <c r="E106" i="15" s="1"/>
  <c r="BR106" i="15"/>
  <c r="D28" i="15"/>
  <c r="E28" i="15" s="1"/>
  <c r="BR28" i="15"/>
  <c r="D146" i="15"/>
  <c r="E146" i="15" s="1"/>
  <c r="BR146" i="15"/>
  <c r="D144" i="15"/>
  <c r="E144" i="15" s="1"/>
  <c r="BR144" i="15"/>
  <c r="D138" i="15"/>
  <c r="E138" i="15" s="1"/>
  <c r="BR138" i="15"/>
  <c r="D147" i="15"/>
  <c r="E147" i="15" s="1"/>
  <c r="BR147" i="15"/>
  <c r="D166" i="15"/>
  <c r="E166" i="15" s="1"/>
  <c r="BR166" i="15"/>
  <c r="D177" i="15"/>
  <c r="E177" i="15" s="1"/>
  <c r="BR177" i="15"/>
  <c r="D102" i="15"/>
  <c r="E102" i="15" s="1"/>
  <c r="BR102" i="15"/>
  <c r="D49" i="15"/>
  <c r="E49" i="15" s="1"/>
  <c r="BR49" i="15"/>
  <c r="D85" i="15"/>
  <c r="E85" i="15" s="1"/>
  <c r="BR85" i="15"/>
  <c r="D125" i="15"/>
  <c r="E125" i="15" s="1"/>
  <c r="BR125" i="15"/>
  <c r="BR41" i="15"/>
  <c r="D34" i="15"/>
  <c r="E34" i="15" s="1"/>
  <c r="BR34" i="15"/>
  <c r="BR181" i="15"/>
  <c r="BR60" i="15"/>
  <c r="D196" i="15"/>
  <c r="E196" i="15" s="1"/>
  <c r="BR196" i="15"/>
  <c r="D20" i="15"/>
  <c r="E20" i="15" s="1"/>
  <c r="BR20" i="15"/>
  <c r="D67" i="15"/>
  <c r="E67" i="15" s="1"/>
  <c r="BR67" i="15"/>
  <c r="D70" i="15"/>
  <c r="E70" i="15" s="1"/>
  <c r="BR70" i="15"/>
  <c r="D135" i="15"/>
  <c r="E135" i="15" s="1"/>
  <c r="BR135" i="15"/>
  <c r="D183" i="15"/>
  <c r="E183" i="15" s="1"/>
  <c r="BR183" i="15"/>
  <c r="D31" i="15"/>
  <c r="E31" i="15" s="1"/>
  <c r="BR31" i="15"/>
  <c r="D124" i="15"/>
  <c r="E124" i="15" s="1"/>
  <c r="BR124" i="15"/>
  <c r="D186" i="15"/>
  <c r="E186" i="15" s="1"/>
  <c r="BR186" i="15"/>
  <c r="D66" i="15"/>
  <c r="E66" i="15" s="1"/>
  <c r="BR66" i="15"/>
  <c r="D72" i="15"/>
  <c r="E72" i="15" s="1"/>
  <c r="BR72" i="15"/>
  <c r="D105" i="15"/>
  <c r="E105" i="15" s="1"/>
  <c r="BR105" i="15"/>
  <c r="D98" i="15"/>
  <c r="E98" i="15" s="1"/>
  <c r="BR98" i="15"/>
  <c r="D24" i="15"/>
  <c r="E24" i="15" s="1"/>
  <c r="BR24" i="15"/>
  <c r="D62" i="15"/>
  <c r="E62" i="15" s="1"/>
  <c r="BR62" i="15"/>
  <c r="D174" i="15"/>
  <c r="E174" i="15" s="1"/>
  <c r="BR174" i="15"/>
  <c r="D122" i="15"/>
  <c r="E122" i="15" s="1"/>
  <c r="BR122" i="15"/>
  <c r="D120" i="15"/>
  <c r="E120" i="15" s="1"/>
  <c r="BR120" i="15"/>
  <c r="D151" i="15"/>
  <c r="E151" i="15" s="1"/>
  <c r="BR151" i="15"/>
  <c r="E140" i="15"/>
  <c r="D188" i="15"/>
  <c r="E188" i="15" s="1"/>
  <c r="BR188" i="15"/>
  <c r="D108" i="15"/>
  <c r="E108" i="15" s="1"/>
  <c r="BR108" i="15"/>
  <c r="D46" i="15"/>
  <c r="E46" i="15" s="1"/>
  <c r="BR46" i="15"/>
  <c r="D69" i="15"/>
  <c r="E69" i="15" s="1"/>
  <c r="BR69" i="15"/>
  <c r="D87" i="15"/>
  <c r="E87" i="15" s="1"/>
  <c r="BR87" i="15"/>
  <c r="D53" i="15"/>
  <c r="E53" i="15" s="1"/>
  <c r="BR53" i="15"/>
  <c r="E275" i="15"/>
  <c r="E351" i="15"/>
  <c r="D170" i="15"/>
  <c r="E170" i="15" s="1"/>
  <c r="BR170" i="15"/>
  <c r="BR43" i="15"/>
  <c r="BR19" i="15"/>
  <c r="D39" i="15"/>
  <c r="E39" i="15" s="1"/>
  <c r="BR39" i="15"/>
  <c r="E331" i="15"/>
  <c r="E352" i="15"/>
  <c r="E239" i="15"/>
  <c r="E316" i="15"/>
  <c r="E369" i="15"/>
  <c r="E350" i="15"/>
  <c r="E208" i="15"/>
  <c r="E256" i="15"/>
  <c r="E301" i="15"/>
  <c r="E336" i="15"/>
  <c r="E344" i="15"/>
  <c r="E274" i="15"/>
  <c r="E335" i="15"/>
  <c r="E263" i="15"/>
  <c r="E215" i="15"/>
  <c r="E325" i="15"/>
  <c r="E222" i="15"/>
  <c r="E278" i="15"/>
  <c r="E318" i="15"/>
  <c r="E319" i="15"/>
  <c r="E296" i="15"/>
  <c r="E339" i="15"/>
  <c r="E353" i="15"/>
  <c r="E338" i="15"/>
  <c r="E206" i="15"/>
  <c r="E362" i="15"/>
  <c r="E359" i="15"/>
  <c r="E346" i="15"/>
  <c r="E254" i="15"/>
  <c r="E300" i="15"/>
  <c r="E366" i="15"/>
  <c r="E262" i="15"/>
  <c r="E333" i="15"/>
  <c r="E312" i="15"/>
  <c r="E321" i="15"/>
  <c r="E317" i="15"/>
  <c r="E334" i="15"/>
  <c r="E361" i="15"/>
  <c r="E285" i="15"/>
  <c r="E308" i="15"/>
  <c r="E310" i="15"/>
  <c r="E365" i="15"/>
  <c r="E270" i="15"/>
  <c r="E348" i="15"/>
  <c r="E357" i="15"/>
  <c r="E370" i="15"/>
  <c r="E349" i="15"/>
  <c r="E280" i="15"/>
  <c r="E309" i="15"/>
  <c r="E364" i="15"/>
  <c r="E360" i="15"/>
  <c r="E287" i="15"/>
  <c r="E271" i="15"/>
  <c r="E328" i="15"/>
  <c r="E347" i="15"/>
  <c r="E311" i="15"/>
  <c r="E332" i="15"/>
  <c r="E302" i="15"/>
  <c r="E294" i="15"/>
  <c r="E326" i="15"/>
  <c r="E226" i="15"/>
  <c r="E230" i="15"/>
  <c r="E264" i="15"/>
  <c r="E253" i="15"/>
  <c r="E303" i="15"/>
  <c r="E341" i="15"/>
  <c r="E355" i="15"/>
  <c r="E354" i="15"/>
  <c r="E340" i="15"/>
  <c r="E327" i="15"/>
  <c r="E320" i="15"/>
  <c r="E238" i="15"/>
  <c r="E212" i="15"/>
  <c r="E304" i="15"/>
  <c r="E248" i="15"/>
  <c r="E295" i="15"/>
  <c r="E246" i="15"/>
  <c r="E244" i="15"/>
  <c r="E232" i="15"/>
  <c r="E293" i="15"/>
  <c r="E268" i="15"/>
  <c r="E288" i="15"/>
  <c r="E252" i="15"/>
  <c r="E265" i="15"/>
  <c r="E220" i="15"/>
  <c r="E279" i="15"/>
  <c r="E276" i="15"/>
  <c r="E282" i="15"/>
  <c r="E272" i="15"/>
  <c r="E214" i="15"/>
  <c r="E286" i="15"/>
  <c r="F14" i="14" l="1"/>
  <c r="J17" i="13" s="1"/>
  <c r="E48" i="15"/>
  <c r="D18" i="14"/>
  <c r="E18" i="14" s="1"/>
  <c r="E47" i="15"/>
  <c r="D20" i="14"/>
  <c r="E20" i="14" s="1"/>
  <c r="L18" i="13"/>
  <c r="D22" i="14"/>
  <c r="E22" i="14" s="1"/>
  <c r="D19" i="14"/>
  <c r="E19" i="14" s="1"/>
  <c r="H24" i="39"/>
  <c r="I30" i="39"/>
  <c r="Q13" i="39"/>
  <c r="I17" i="13"/>
  <c r="J19" i="13"/>
  <c r="I19" i="13"/>
  <c r="F22" i="14" l="1"/>
  <c r="J25" i="13" s="1"/>
  <c r="L25" i="13"/>
  <c r="L21" i="13"/>
  <c r="F18" i="14"/>
  <c r="J21" i="13" s="1"/>
  <c r="L22" i="13"/>
  <c r="F19" i="14"/>
  <c r="J22" i="13" s="1"/>
  <c r="L23" i="13"/>
  <c r="F20" i="14"/>
  <c r="J23" i="13" s="1"/>
  <c r="I24" i="39"/>
  <c r="J30" i="39"/>
  <c r="R13" i="39"/>
  <c r="E29" i="14"/>
  <c r="F29" i="14" s="1"/>
  <c r="I32" i="13" s="1"/>
  <c r="F11" i="8"/>
  <c r="G11" i="8" s="1"/>
  <c r="H11" i="8" s="1"/>
  <c r="I11" i="8" s="1"/>
  <c r="J11" i="8" s="1"/>
  <c r="K11" i="8" s="1"/>
  <c r="L11" i="8" s="1"/>
  <c r="M11" i="8" s="1"/>
  <c r="N11" i="8" s="1"/>
  <c r="O11" i="8" s="1"/>
  <c r="P11" i="8" s="1"/>
  <c r="Q11" i="8" s="1"/>
  <c r="R11" i="8" s="1"/>
  <c r="S11" i="8" s="1"/>
  <c r="T11" i="8" s="1"/>
  <c r="F13" i="8"/>
  <c r="G13" i="8" s="1"/>
  <c r="E21" i="8"/>
  <c r="F21" i="8"/>
  <c r="G21" i="8" s="1"/>
  <c r="H21" i="8" s="1"/>
  <c r="I21" i="8" s="1"/>
  <c r="J21" i="8" s="1"/>
  <c r="K21" i="8" s="1"/>
  <c r="L21" i="8" s="1"/>
  <c r="M21" i="8" s="1"/>
  <c r="N21" i="8" s="1"/>
  <c r="O21" i="8" s="1"/>
  <c r="P21" i="8" s="1"/>
  <c r="Q21" i="8" s="1"/>
  <c r="R21" i="8" s="1"/>
  <c r="S21" i="8" s="1"/>
  <c r="T21" i="8" s="1"/>
  <c r="D53" i="8"/>
  <c r="G52" i="6"/>
  <c r="G53" i="6"/>
  <c r="G54" i="6" s="1"/>
  <c r="G51" i="6"/>
  <c r="G50" i="6"/>
  <c r="G49" i="6"/>
  <c r="D24" i="7"/>
  <c r="E23" i="7"/>
  <c r="D23" i="7"/>
  <c r="M23" i="7" s="1"/>
  <c r="E26" i="7"/>
  <c r="D26" i="7"/>
  <c r="M26" i="7" s="1"/>
  <c r="E25" i="7"/>
  <c r="D25" i="7"/>
  <c r="M25" i="7" s="1"/>
  <c r="D16" i="7"/>
  <c r="D20" i="7"/>
  <c r="E19" i="7"/>
  <c r="D19" i="7"/>
  <c r="M19" i="7" s="1"/>
  <c r="D18" i="7"/>
  <c r="E17" i="7"/>
  <c r="D17" i="7"/>
  <c r="M17" i="7" s="1"/>
  <c r="B24" i="7" l="1"/>
  <c r="M24" i="7"/>
  <c r="H20" i="7"/>
  <c r="M20" i="7"/>
  <c r="H16" i="7"/>
  <c r="M16" i="7"/>
  <c r="B18" i="7"/>
  <c r="M18" i="7"/>
  <c r="J40" i="13"/>
  <c r="E26" i="39"/>
  <c r="J24" i="39"/>
  <c r="K30" i="39"/>
  <c r="S13" i="39"/>
  <c r="B17" i="7"/>
  <c r="C31" i="14"/>
  <c r="E13" i="8"/>
  <c r="E30" i="8" s="1"/>
  <c r="E24" i="8" s="1"/>
  <c r="E25" i="8" s="1"/>
  <c r="H13" i="8"/>
  <c r="B26" i="7"/>
  <c r="B19" i="7"/>
  <c r="B23" i="7"/>
  <c r="B25" i="7"/>
  <c r="H17" i="7"/>
  <c r="H19" i="7"/>
  <c r="H18" i="7"/>
  <c r="B20" i="7"/>
  <c r="F11" i="2"/>
  <c r="G11" i="2" s="1"/>
  <c r="H11" i="2" s="1"/>
  <c r="I11" i="2" s="1"/>
  <c r="J11" i="2" s="1"/>
  <c r="K11" i="2" s="1"/>
  <c r="L11" i="2" s="1"/>
  <c r="M11" i="2" s="1"/>
  <c r="N11" i="2" s="1"/>
  <c r="O11" i="2" s="1"/>
  <c r="P11" i="2" s="1"/>
  <c r="Q11" i="2" s="1"/>
  <c r="R11" i="2" s="1"/>
  <c r="S11" i="2" s="1"/>
  <c r="C62" i="14" l="1"/>
  <c r="C64" i="14" s="1"/>
  <c r="C67" i="14"/>
  <c r="C69" i="14" s="1"/>
  <c r="C32" i="14"/>
  <c r="I31" i="13" s="1"/>
  <c r="J39" i="13"/>
  <c r="K39" i="13" s="1"/>
  <c r="L39" i="13" s="1"/>
  <c r="F26" i="39"/>
  <c r="G26" i="39" s="1"/>
  <c r="H26" i="39" s="1"/>
  <c r="I26" i="39" s="1"/>
  <c r="J26" i="39" s="1"/>
  <c r="K26" i="39" s="1"/>
  <c r="L26" i="39" s="1"/>
  <c r="M26" i="39" s="1"/>
  <c r="N26" i="39" s="1"/>
  <c r="O26" i="39" s="1"/>
  <c r="P26" i="39" s="1"/>
  <c r="Q26" i="39" s="1"/>
  <c r="R26" i="39" s="1"/>
  <c r="S26" i="39" s="1"/>
  <c r="T26" i="39" s="1"/>
  <c r="E27" i="39"/>
  <c r="E19" i="5"/>
  <c r="E12" i="39" s="1"/>
  <c r="K24" i="39"/>
  <c r="L30" i="39"/>
  <c r="T13" i="39"/>
  <c r="I13" i="8"/>
  <c r="E248" i="7"/>
  <c r="M248" i="7"/>
  <c r="E247" i="7"/>
  <c r="M247" i="7"/>
  <c r="E246" i="7"/>
  <c r="M246" i="7"/>
  <c r="E245" i="7"/>
  <c r="M245" i="7"/>
  <c r="E244" i="7"/>
  <c r="M244" i="7"/>
  <c r="E243" i="7"/>
  <c r="M243" i="7"/>
  <c r="E242" i="7"/>
  <c r="M242" i="7"/>
  <c r="E241" i="7"/>
  <c r="M241" i="7"/>
  <c r="E240" i="7"/>
  <c r="M240" i="7"/>
  <c r="E120" i="7"/>
  <c r="D120" i="7"/>
  <c r="M120" i="7" s="1"/>
  <c r="E119" i="7"/>
  <c r="D119" i="7"/>
  <c r="M119" i="7" s="1"/>
  <c r="E118" i="7"/>
  <c r="D118" i="7"/>
  <c r="M118" i="7" s="1"/>
  <c r="E117" i="7"/>
  <c r="D117" i="7"/>
  <c r="M117" i="7" s="1"/>
  <c r="E116" i="7"/>
  <c r="D116" i="7"/>
  <c r="M116" i="7" s="1"/>
  <c r="E115" i="7"/>
  <c r="D115" i="7"/>
  <c r="M115" i="7" s="1"/>
  <c r="E114" i="7"/>
  <c r="D114" i="7"/>
  <c r="M114" i="7" s="1"/>
  <c r="E113" i="7"/>
  <c r="D113" i="7"/>
  <c r="M113" i="7" s="1"/>
  <c r="E112" i="7"/>
  <c r="D112" i="7"/>
  <c r="M112" i="7" s="1"/>
  <c r="E111" i="7"/>
  <c r="D111" i="7"/>
  <c r="M111" i="7" s="1"/>
  <c r="E110" i="7"/>
  <c r="D110" i="7"/>
  <c r="M110" i="7" s="1"/>
  <c r="E109" i="7"/>
  <c r="D109" i="7"/>
  <c r="M109" i="7" s="1"/>
  <c r="E108" i="7"/>
  <c r="D108" i="7"/>
  <c r="M108" i="7" s="1"/>
  <c r="E107" i="7"/>
  <c r="D107" i="7"/>
  <c r="M107" i="7" s="1"/>
  <c r="E106" i="7"/>
  <c r="D106" i="7"/>
  <c r="M106" i="7" s="1"/>
  <c r="E105" i="7"/>
  <c r="D105" i="7"/>
  <c r="M105" i="7" s="1"/>
  <c r="E104" i="7"/>
  <c r="D104" i="7"/>
  <c r="M104" i="7" s="1"/>
  <c r="E103" i="7"/>
  <c r="D103" i="7"/>
  <c r="M103" i="7" s="1"/>
  <c r="E102" i="7"/>
  <c r="D102" i="7"/>
  <c r="M102" i="7" s="1"/>
  <c r="E101" i="7"/>
  <c r="D101" i="7"/>
  <c r="M101" i="7" s="1"/>
  <c r="E100" i="7"/>
  <c r="D100" i="7"/>
  <c r="M100" i="7" s="1"/>
  <c r="E99" i="7"/>
  <c r="D99" i="7"/>
  <c r="M99" i="7" s="1"/>
  <c r="E98" i="7"/>
  <c r="D98" i="7"/>
  <c r="M98" i="7" s="1"/>
  <c r="E97" i="7"/>
  <c r="D97" i="7"/>
  <c r="M97" i="7" s="1"/>
  <c r="E96" i="7"/>
  <c r="D96" i="7"/>
  <c r="M96" i="7" s="1"/>
  <c r="E95" i="7"/>
  <c r="D95" i="7"/>
  <c r="M95" i="7" s="1"/>
  <c r="E94" i="7"/>
  <c r="D94" i="7"/>
  <c r="M94" i="7" s="1"/>
  <c r="E93" i="7"/>
  <c r="D93" i="7"/>
  <c r="M93" i="7" s="1"/>
  <c r="E92" i="7"/>
  <c r="D92" i="7"/>
  <c r="M92" i="7" s="1"/>
  <c r="E91" i="7"/>
  <c r="D91" i="7"/>
  <c r="M91" i="7" s="1"/>
  <c r="E90" i="7"/>
  <c r="D90" i="7"/>
  <c r="M90" i="7" s="1"/>
  <c r="E89" i="7"/>
  <c r="D89" i="7"/>
  <c r="M89" i="7" s="1"/>
  <c r="E88" i="7"/>
  <c r="D88" i="7"/>
  <c r="M88" i="7" s="1"/>
  <c r="E87" i="7"/>
  <c r="D87" i="7"/>
  <c r="M87" i="7" s="1"/>
  <c r="E86" i="7"/>
  <c r="D86" i="7"/>
  <c r="M86" i="7" s="1"/>
  <c r="E85" i="7"/>
  <c r="D85" i="7"/>
  <c r="M85" i="7" s="1"/>
  <c r="E84" i="7"/>
  <c r="D84" i="7"/>
  <c r="M84" i="7" s="1"/>
  <c r="E83" i="7"/>
  <c r="D83" i="7"/>
  <c r="M83" i="7" s="1"/>
  <c r="E82" i="7"/>
  <c r="D82" i="7"/>
  <c r="M82" i="7" s="1"/>
  <c r="E81" i="7"/>
  <c r="D81" i="7"/>
  <c r="M81" i="7" s="1"/>
  <c r="E80" i="7"/>
  <c r="D80" i="7"/>
  <c r="M80" i="7" s="1"/>
  <c r="E79" i="7"/>
  <c r="D79" i="7"/>
  <c r="M79" i="7" s="1"/>
  <c r="E78" i="7"/>
  <c r="D78" i="7"/>
  <c r="M78" i="7" s="1"/>
  <c r="E77" i="7"/>
  <c r="D77" i="7"/>
  <c r="M77" i="7" s="1"/>
  <c r="E76" i="7"/>
  <c r="D76" i="7"/>
  <c r="M76" i="7" s="1"/>
  <c r="E75" i="7"/>
  <c r="D75" i="7"/>
  <c r="M75" i="7" s="1"/>
  <c r="E74" i="7"/>
  <c r="D74" i="7"/>
  <c r="M74" i="7" s="1"/>
  <c r="E73" i="7"/>
  <c r="D73" i="7"/>
  <c r="M73" i="7" s="1"/>
  <c r="E72" i="7"/>
  <c r="D72" i="7"/>
  <c r="M72" i="7" s="1"/>
  <c r="E71" i="7"/>
  <c r="D71" i="7"/>
  <c r="M71" i="7" s="1"/>
  <c r="E70" i="7"/>
  <c r="D70" i="7"/>
  <c r="M70" i="7" s="1"/>
  <c r="E69" i="7"/>
  <c r="D69" i="7"/>
  <c r="M69" i="7" s="1"/>
  <c r="E68" i="7"/>
  <c r="D68" i="7"/>
  <c r="M68" i="7" s="1"/>
  <c r="E67" i="7"/>
  <c r="D67" i="7"/>
  <c r="M67" i="7" s="1"/>
  <c r="E66" i="7"/>
  <c r="D66" i="7"/>
  <c r="M66" i="7" s="1"/>
  <c r="E65" i="7"/>
  <c r="D65" i="7"/>
  <c r="M65" i="7" s="1"/>
  <c r="E64" i="7"/>
  <c r="D64" i="7"/>
  <c r="M64" i="7" s="1"/>
  <c r="E63" i="7"/>
  <c r="D63" i="7"/>
  <c r="M63" i="7" s="1"/>
  <c r="E62" i="7"/>
  <c r="D62" i="7"/>
  <c r="M62" i="7" s="1"/>
  <c r="E61" i="7"/>
  <c r="D61" i="7"/>
  <c r="M61" i="7" s="1"/>
  <c r="E60" i="7"/>
  <c r="D60" i="7"/>
  <c r="M60" i="7" s="1"/>
  <c r="E59" i="7"/>
  <c r="D59" i="7"/>
  <c r="M59" i="7" s="1"/>
  <c r="E58" i="7"/>
  <c r="D58" i="7"/>
  <c r="M58" i="7" s="1"/>
  <c r="E57" i="7"/>
  <c r="D57" i="7"/>
  <c r="M57" i="7" s="1"/>
  <c r="E56" i="7"/>
  <c r="D56" i="7"/>
  <c r="M56" i="7" s="1"/>
  <c r="E55" i="7"/>
  <c r="D55" i="7"/>
  <c r="M55" i="7" s="1"/>
  <c r="E54" i="7"/>
  <c r="D54" i="7"/>
  <c r="M54" i="7" s="1"/>
  <c r="E53" i="7"/>
  <c r="D53" i="7"/>
  <c r="M53" i="7" s="1"/>
  <c r="E52" i="7"/>
  <c r="D52" i="7"/>
  <c r="M52" i="7" s="1"/>
  <c r="E51" i="7"/>
  <c r="D51" i="7"/>
  <c r="M51" i="7" s="1"/>
  <c r="E50" i="7"/>
  <c r="D50" i="7"/>
  <c r="M50" i="7" s="1"/>
  <c r="E49" i="7"/>
  <c r="D49" i="7"/>
  <c r="M49" i="7" s="1"/>
  <c r="E48" i="7"/>
  <c r="D48" i="7"/>
  <c r="M48" i="7" s="1"/>
  <c r="E47" i="7"/>
  <c r="D47" i="7"/>
  <c r="M47" i="7" s="1"/>
  <c r="E46" i="7"/>
  <c r="D46" i="7"/>
  <c r="M46" i="7" s="1"/>
  <c r="E40" i="7"/>
  <c r="D40" i="7"/>
  <c r="M40" i="7" s="1"/>
  <c r="E39" i="7"/>
  <c r="D39" i="7"/>
  <c r="M39" i="7" s="1"/>
  <c r="E38" i="7"/>
  <c r="D38" i="7"/>
  <c r="M38" i="7" s="1"/>
  <c r="E37" i="7"/>
  <c r="D37" i="7"/>
  <c r="M37" i="7" s="1"/>
  <c r="E36" i="7"/>
  <c r="D36" i="7"/>
  <c r="M36" i="7" s="1"/>
  <c r="E35" i="7"/>
  <c r="D35" i="7"/>
  <c r="M35" i="7" s="1"/>
  <c r="E34" i="7"/>
  <c r="D34" i="7"/>
  <c r="M34" i="7" s="1"/>
  <c r="E33" i="7"/>
  <c r="D33" i="7"/>
  <c r="M33" i="7" s="1"/>
  <c r="E32" i="7"/>
  <c r="D32" i="7"/>
  <c r="M32" i="7" s="1"/>
  <c r="E31" i="7"/>
  <c r="D31" i="7"/>
  <c r="M31" i="7" s="1"/>
  <c r="E30" i="7"/>
  <c r="D30" i="7"/>
  <c r="M30" i="7" s="1"/>
  <c r="E29" i="7"/>
  <c r="D29" i="7"/>
  <c r="M29" i="7" s="1"/>
  <c r="E28" i="7"/>
  <c r="D28" i="7"/>
  <c r="M28" i="7" s="1"/>
  <c r="E27" i="7"/>
  <c r="D27" i="7"/>
  <c r="M27" i="7" s="1"/>
  <c r="D22" i="7"/>
  <c r="E21" i="7"/>
  <c r="D21" i="7"/>
  <c r="M21" i="7" s="1"/>
  <c r="E15" i="7"/>
  <c r="D15" i="7"/>
  <c r="M15" i="7" s="1"/>
  <c r="E14" i="7"/>
  <c r="D14" i="7"/>
  <c r="M14" i="7" s="1"/>
  <c r="E13" i="7"/>
  <c r="D13" i="7"/>
  <c r="M13" i="7" s="1"/>
  <c r="E12" i="7"/>
  <c r="D12" i="7"/>
  <c r="M12" i="7" s="1"/>
  <c r="D11" i="7"/>
  <c r="M11" i="7" s="1"/>
  <c r="E11" i="7"/>
  <c r="B22" i="7" l="1"/>
  <c r="M22" i="7"/>
  <c r="P32" i="7"/>
  <c r="P31" i="7"/>
  <c r="Q31" i="7"/>
  <c r="Q32" i="7"/>
  <c r="F20" i="13"/>
  <c r="F27" i="39"/>
  <c r="G27" i="39" s="1"/>
  <c r="H27" i="39" s="1"/>
  <c r="I27" i="39" s="1"/>
  <c r="J27" i="39" s="1"/>
  <c r="K27" i="39" s="1"/>
  <c r="L27" i="39" s="1"/>
  <c r="M27" i="39" s="1"/>
  <c r="N27" i="39" s="1"/>
  <c r="O27" i="39" s="1"/>
  <c r="P27" i="39" s="1"/>
  <c r="Q27" i="39" s="1"/>
  <c r="R27" i="39" s="1"/>
  <c r="S27" i="39" s="1"/>
  <c r="T27" i="39" s="1"/>
  <c r="E28" i="39"/>
  <c r="F28" i="39" s="1"/>
  <c r="G28" i="39" s="1"/>
  <c r="H28" i="39" s="1"/>
  <c r="I28" i="39" s="1"/>
  <c r="J28" i="39" s="1"/>
  <c r="K28" i="39" s="1"/>
  <c r="L28" i="39" s="1"/>
  <c r="M28" i="39" s="1"/>
  <c r="N28" i="39" s="1"/>
  <c r="O28" i="39" s="1"/>
  <c r="E26" i="8"/>
  <c r="E27" i="8" s="1"/>
  <c r="F30" i="8"/>
  <c r="F24" i="8" s="1"/>
  <c r="E43" i="39"/>
  <c r="D26" i="2"/>
  <c r="L24" i="39"/>
  <c r="M30" i="39"/>
  <c r="F12" i="39"/>
  <c r="E12" i="8"/>
  <c r="E43" i="8" s="1"/>
  <c r="B28" i="7"/>
  <c r="B32" i="7"/>
  <c r="B34" i="7"/>
  <c r="B40" i="7"/>
  <c r="B51" i="7"/>
  <c r="B57" i="7"/>
  <c r="B63" i="7"/>
  <c r="B69" i="7"/>
  <c r="B75" i="7"/>
  <c r="B81" i="7"/>
  <c r="B87" i="7"/>
  <c r="B93" i="7"/>
  <c r="B99" i="7"/>
  <c r="B105" i="7"/>
  <c r="B111" i="7"/>
  <c r="B117" i="7"/>
  <c r="B242" i="7"/>
  <c r="B38" i="7"/>
  <c r="B29" i="7"/>
  <c r="B35" i="7"/>
  <c r="B46" i="7"/>
  <c r="B52" i="7"/>
  <c r="B58" i="7"/>
  <c r="B13" i="7"/>
  <c r="B100" i="7"/>
  <c r="B106" i="7"/>
  <c r="B112" i="7"/>
  <c r="B118" i="7"/>
  <c r="B243" i="7"/>
  <c r="B14" i="7"/>
  <c r="J13" i="8"/>
  <c r="B12" i="7"/>
  <c r="B27" i="7"/>
  <c r="B33" i="7"/>
  <c r="B39" i="7"/>
  <c r="B50" i="7"/>
  <c r="B56" i="7"/>
  <c r="B62" i="7"/>
  <c r="B68" i="7"/>
  <c r="B74" i="7"/>
  <c r="B80" i="7"/>
  <c r="B86" i="7"/>
  <c r="B92" i="7"/>
  <c r="B98" i="7"/>
  <c r="B104" i="7"/>
  <c r="B110" i="7"/>
  <c r="B116" i="7"/>
  <c r="B241" i="7"/>
  <c r="B247" i="7"/>
  <c r="B64" i="7"/>
  <c r="B70" i="7"/>
  <c r="B76" i="7"/>
  <c r="B82" i="7"/>
  <c r="B88" i="7"/>
  <c r="B94" i="7"/>
  <c r="B248" i="7"/>
  <c r="B15" i="7"/>
  <c r="B21" i="7"/>
  <c r="B31" i="7"/>
  <c r="B37" i="7"/>
  <c r="B48" i="7"/>
  <c r="B54" i="7"/>
  <c r="B60" i="7"/>
  <c r="B66" i="7"/>
  <c r="B72" i="7"/>
  <c r="B78" i="7"/>
  <c r="B84" i="7"/>
  <c r="B90" i="7"/>
  <c r="B96" i="7"/>
  <c r="B102" i="7"/>
  <c r="B108" i="7"/>
  <c r="B114" i="7"/>
  <c r="B120" i="7"/>
  <c r="B49" i="7"/>
  <c r="B55" i="7"/>
  <c r="B61" i="7"/>
  <c r="B67" i="7"/>
  <c r="B73" i="7"/>
  <c r="B245" i="7"/>
  <c r="B16" i="7"/>
  <c r="B30" i="7"/>
  <c r="B36" i="7"/>
  <c r="B47" i="7"/>
  <c r="B53" i="7"/>
  <c r="B59" i="7"/>
  <c r="B65" i="7"/>
  <c r="B71" i="7"/>
  <c r="B77" i="7"/>
  <c r="B83" i="7"/>
  <c r="B89" i="7"/>
  <c r="B95" i="7"/>
  <c r="B101" i="7"/>
  <c r="B107" i="7"/>
  <c r="B79" i="7"/>
  <c r="B85" i="7"/>
  <c r="B91" i="7"/>
  <c r="B97" i="7"/>
  <c r="B103" i="7"/>
  <c r="B109" i="7"/>
  <c r="B115" i="7"/>
  <c r="B240" i="7"/>
  <c r="B246" i="7"/>
  <c r="B113" i="7"/>
  <c r="B119" i="7"/>
  <c r="B244" i="7"/>
  <c r="B11" i="7"/>
  <c r="F12" i="2"/>
  <c r="D13" i="2" l="1"/>
  <c r="P16" i="7"/>
  <c r="P12" i="7"/>
  <c r="P18" i="7"/>
  <c r="P14" i="7"/>
  <c r="P13" i="7"/>
  <c r="P11" i="7"/>
  <c r="P15" i="7"/>
  <c r="P20" i="7"/>
  <c r="P19" i="7"/>
  <c r="P17" i="7"/>
  <c r="Q20" i="7"/>
  <c r="Q13" i="7"/>
  <c r="Q19" i="7"/>
  <c r="Q18" i="7"/>
  <c r="Q17" i="7"/>
  <c r="Q16" i="7"/>
  <c r="Q12" i="7"/>
  <c r="Q15" i="7"/>
  <c r="Q14" i="7"/>
  <c r="Q11" i="7"/>
  <c r="E28" i="8"/>
  <c r="D20" i="2"/>
  <c r="E44" i="5"/>
  <c r="G30" i="8"/>
  <c r="G24" i="8" s="1"/>
  <c r="F47" i="39"/>
  <c r="E26" i="2"/>
  <c r="N30" i="39"/>
  <c r="M24" i="39"/>
  <c r="P28" i="39"/>
  <c r="E45" i="5"/>
  <c r="F12" i="8"/>
  <c r="K13" i="8"/>
  <c r="D17" i="2"/>
  <c r="E15" i="2"/>
  <c r="D14" i="2"/>
  <c r="D16" i="2"/>
  <c r="D15" i="2"/>
  <c r="E47" i="5" s="1"/>
  <c r="F13" i="2"/>
  <c r="E16" i="2"/>
  <c r="E14" i="2"/>
  <c r="E17" i="2"/>
  <c r="E13" i="2"/>
  <c r="F17" i="2"/>
  <c r="G12" i="2"/>
  <c r="G13" i="2" s="1"/>
  <c r="F16" i="2"/>
  <c r="F14" i="2"/>
  <c r="F15" i="2"/>
  <c r="E44" i="13" l="1"/>
  <c r="E45" i="13"/>
  <c r="E48" i="5"/>
  <c r="H30" i="8"/>
  <c r="I30" i="8" s="1"/>
  <c r="J30" i="8" s="1"/>
  <c r="F47" i="8"/>
  <c r="F48" i="8" s="1"/>
  <c r="E20" i="2"/>
  <c r="N24" i="39"/>
  <c r="O30" i="39"/>
  <c r="Q28" i="39"/>
  <c r="D22" i="2"/>
  <c r="D28" i="2"/>
  <c r="F48" i="39"/>
  <c r="L13" i="8"/>
  <c r="H12" i="2"/>
  <c r="H13" i="2" s="1"/>
  <c r="G17" i="2"/>
  <c r="G16" i="2"/>
  <c r="G14" i="2"/>
  <c r="G15" i="2"/>
  <c r="F18" i="2"/>
  <c r="J46" i="13" l="1"/>
  <c r="K46" i="13"/>
  <c r="L46" i="13" s="1"/>
  <c r="I24" i="8"/>
  <c r="H24" i="8"/>
  <c r="P30" i="39"/>
  <c r="O24" i="39"/>
  <c r="R28" i="39"/>
  <c r="E28" i="2"/>
  <c r="M13" i="8"/>
  <c r="J24" i="8"/>
  <c r="K30" i="8"/>
  <c r="G18" i="2"/>
  <c r="H16" i="2"/>
  <c r="H17" i="2"/>
  <c r="I12" i="2"/>
  <c r="H15" i="2"/>
  <c r="H14" i="2"/>
  <c r="D18" i="2"/>
  <c r="D21" i="2" s="1"/>
  <c r="E14" i="8" s="1"/>
  <c r="F66" i="6"/>
  <c r="E66" i="6"/>
  <c r="E18" i="8" l="1"/>
  <c r="E31" i="8" s="1"/>
  <c r="E14" i="39"/>
  <c r="Q30" i="39"/>
  <c r="P24" i="39"/>
  <c r="S28" i="39"/>
  <c r="D27" i="2"/>
  <c r="N13" i="8"/>
  <c r="L30" i="8"/>
  <c r="K24" i="8"/>
  <c r="J12" i="2"/>
  <c r="J13" i="2" s="1"/>
  <c r="I13" i="2"/>
  <c r="E49" i="5"/>
  <c r="I17" i="2"/>
  <c r="I15" i="2"/>
  <c r="I16" i="2"/>
  <c r="I14" i="2"/>
  <c r="H18" i="2"/>
  <c r="D29" i="2" l="1"/>
  <c r="J47" i="13"/>
  <c r="K47" i="13" s="1"/>
  <c r="L47" i="13" s="1"/>
  <c r="D23" i="2"/>
  <c r="E53" i="8"/>
  <c r="E53" i="39"/>
  <c r="F39" i="39" s="1"/>
  <c r="G39" i="39" s="1"/>
  <c r="H39" i="39" s="1"/>
  <c r="I39" i="39" s="1"/>
  <c r="J39" i="39" s="1"/>
  <c r="K39" i="39" s="1"/>
  <c r="L39" i="39" s="1"/>
  <c r="M39" i="39" s="1"/>
  <c r="N39" i="39" s="1"/>
  <c r="O39" i="39" s="1"/>
  <c r="P39" i="39" s="1"/>
  <c r="Q39" i="39" s="1"/>
  <c r="R39" i="39" s="1"/>
  <c r="S39" i="39" s="1"/>
  <c r="T39" i="39" s="1"/>
  <c r="R30" i="39"/>
  <c r="Q24" i="39"/>
  <c r="T28" i="39"/>
  <c r="L24" i="8"/>
  <c r="M30" i="8"/>
  <c r="O13" i="8"/>
  <c r="J17" i="2"/>
  <c r="J16" i="2"/>
  <c r="K12" i="2"/>
  <c r="K13" i="2" s="1"/>
  <c r="J14" i="2"/>
  <c r="J15" i="2"/>
  <c r="E22" i="2"/>
  <c r="I18" i="2"/>
  <c r="E18" i="2"/>
  <c r="E27" i="2" s="1"/>
  <c r="E29" i="2" s="1"/>
  <c r="E15" i="39" l="1"/>
  <c r="E19" i="39" s="1"/>
  <c r="E20" i="39" s="1"/>
  <c r="E18" i="39"/>
  <c r="E31" i="39" s="1"/>
  <c r="F39" i="8"/>
  <c r="G39" i="8" s="1"/>
  <c r="S30" i="39"/>
  <c r="R24" i="39"/>
  <c r="N30" i="8"/>
  <c r="M24" i="8"/>
  <c r="P13" i="8"/>
  <c r="K16" i="2"/>
  <c r="K14" i="2"/>
  <c r="L12" i="2"/>
  <c r="L13" i="2" s="1"/>
  <c r="J18" i="2"/>
  <c r="K15" i="2"/>
  <c r="K17" i="2"/>
  <c r="E15" i="8" l="1"/>
  <c r="E19" i="8" s="1"/>
  <c r="E20" i="8" s="1"/>
  <c r="E22" i="39"/>
  <c r="H39" i="8"/>
  <c r="I39" i="8" s="1"/>
  <c r="J39" i="8" s="1"/>
  <c r="K39" i="8" s="1"/>
  <c r="L39" i="8" s="1"/>
  <c r="M39" i="8" s="1"/>
  <c r="N39" i="8" s="1"/>
  <c r="O39" i="8" s="1"/>
  <c r="P39" i="8" s="1"/>
  <c r="Q39" i="8" s="1"/>
  <c r="R39" i="8" s="1"/>
  <c r="S39" i="8" s="1"/>
  <c r="T39" i="8" s="1"/>
  <c r="S24" i="39"/>
  <c r="T30" i="39"/>
  <c r="T24" i="39" s="1"/>
  <c r="Q13" i="8"/>
  <c r="O30" i="8"/>
  <c r="N24" i="8"/>
  <c r="L14" i="2"/>
  <c r="M12" i="2"/>
  <c r="M13" i="2" s="1"/>
  <c r="L16" i="2"/>
  <c r="L15" i="2"/>
  <c r="L17" i="2"/>
  <c r="K18" i="2"/>
  <c r="E36" i="39" l="1"/>
  <c r="E22" i="8"/>
  <c r="E36" i="8" s="1"/>
  <c r="M14" i="2"/>
  <c r="P30" i="8"/>
  <c r="O24" i="8"/>
  <c r="R13" i="8"/>
  <c r="M16" i="2"/>
  <c r="M17" i="2"/>
  <c r="M15" i="2"/>
  <c r="N12" i="2"/>
  <c r="N16" i="2" s="1"/>
  <c r="L18" i="2"/>
  <c r="M18" i="2" l="1"/>
  <c r="O12" i="2"/>
  <c r="O13" i="2" s="1"/>
  <c r="N17" i="2"/>
  <c r="N14" i="2"/>
  <c r="N13" i="2"/>
  <c r="S13" i="8"/>
  <c r="N15" i="2"/>
  <c r="P24" i="8"/>
  <c r="Q30" i="8"/>
  <c r="N18" i="2" l="1"/>
  <c r="O14" i="2"/>
  <c r="O15" i="2"/>
  <c r="P12" i="2"/>
  <c r="P13" i="2" s="1"/>
  <c r="O17" i="2"/>
  <c r="O16" i="2"/>
  <c r="T13" i="8"/>
  <c r="Q24" i="8"/>
  <c r="R30" i="8"/>
  <c r="E21" i="2"/>
  <c r="F14" i="8" s="1"/>
  <c r="E23" i="2" l="1"/>
  <c r="F14" i="39"/>
  <c r="F15" i="39" s="1"/>
  <c r="Q12" i="2"/>
  <c r="Q13" i="2" s="1"/>
  <c r="P15" i="2"/>
  <c r="O18" i="2"/>
  <c r="P17" i="2"/>
  <c r="P16" i="2"/>
  <c r="P14" i="2"/>
  <c r="S30" i="8"/>
  <c r="R24" i="8"/>
  <c r="F15" i="8" l="1"/>
  <c r="F19" i="8" s="1"/>
  <c r="F20" i="8" s="1"/>
  <c r="F18" i="8"/>
  <c r="F19" i="39"/>
  <c r="F20" i="39" s="1"/>
  <c r="F18" i="39"/>
  <c r="Q15" i="2"/>
  <c r="Q16" i="2"/>
  <c r="R12" i="2"/>
  <c r="R13" i="2" s="1"/>
  <c r="Q17" i="2"/>
  <c r="Q14" i="2"/>
  <c r="P18" i="2"/>
  <c r="T30" i="8"/>
  <c r="S24" i="8"/>
  <c r="F22" i="39" l="1"/>
  <c r="F36" i="39" s="1"/>
  <c r="F37" i="39" s="1"/>
  <c r="F38" i="39" s="1"/>
  <c r="F40" i="39" s="1"/>
  <c r="F41" i="39" s="1"/>
  <c r="G12" i="39" s="1"/>
  <c r="F22" i="8"/>
  <c r="F31" i="39"/>
  <c r="F32" i="39" s="1"/>
  <c r="F33" i="39" s="1"/>
  <c r="R15" i="2"/>
  <c r="R14" i="2"/>
  <c r="R17" i="2"/>
  <c r="R16" i="2"/>
  <c r="S12" i="2"/>
  <c r="S13" i="2" s="1"/>
  <c r="Q18" i="2"/>
  <c r="T24" i="8"/>
  <c r="F43" i="39" l="1"/>
  <c r="F44" i="39" s="1"/>
  <c r="F45" i="39" s="1"/>
  <c r="F26" i="2"/>
  <c r="S14" i="2"/>
  <c r="S16" i="2"/>
  <c r="S15" i="2"/>
  <c r="G47" i="5" s="1"/>
  <c r="R18" i="2"/>
  <c r="S17" i="2"/>
  <c r="G47" i="39" l="1"/>
  <c r="G48" i="39" s="1"/>
  <c r="S18" i="2"/>
  <c r="F28" i="2" l="1"/>
  <c r="F27" i="2"/>
  <c r="F29" i="2" s="1"/>
  <c r="C78" i="14" l="1"/>
  <c r="C75" i="14"/>
  <c r="I29" i="13" l="1"/>
  <c r="F27" i="8"/>
  <c r="G27" i="8" s="1"/>
  <c r="H27" i="8" s="1"/>
  <c r="I27" i="8" s="1"/>
  <c r="J27" i="8" s="1"/>
  <c r="K27" i="8" s="1"/>
  <c r="L27" i="8" s="1"/>
  <c r="M27" i="8" s="1"/>
  <c r="N27" i="8" s="1"/>
  <c r="O27" i="8" s="1"/>
  <c r="P27" i="8" s="1"/>
  <c r="Q27" i="8" s="1"/>
  <c r="R27" i="8" s="1"/>
  <c r="S27" i="8" s="1"/>
  <c r="T27" i="8" s="1"/>
  <c r="F25" i="8"/>
  <c r="G25" i="8" s="1"/>
  <c r="H25" i="8" s="1"/>
  <c r="I25" i="8" s="1"/>
  <c r="J25" i="8" s="1"/>
  <c r="K25" i="8" s="1"/>
  <c r="L25" i="8" s="1"/>
  <c r="M25" i="8" s="1"/>
  <c r="N25" i="8" s="1"/>
  <c r="O25" i="8" s="1"/>
  <c r="P25" i="8" s="1"/>
  <c r="Q25" i="8" s="1"/>
  <c r="R25" i="8" s="1"/>
  <c r="S25" i="8" s="1"/>
  <c r="T25" i="8" s="1"/>
  <c r="F31" i="8" l="1"/>
  <c r="F32" i="8" s="1"/>
  <c r="F26" i="8"/>
  <c r="G26" i="8" s="1"/>
  <c r="H26" i="8" s="1"/>
  <c r="I26" i="8" s="1"/>
  <c r="J26" i="8" s="1"/>
  <c r="K26" i="8" s="1"/>
  <c r="L26" i="8" s="1"/>
  <c r="M26" i="8" s="1"/>
  <c r="N26" i="8" s="1"/>
  <c r="O26" i="8" s="1"/>
  <c r="P26" i="8" s="1"/>
  <c r="Q26" i="8" s="1"/>
  <c r="R26" i="8" s="1"/>
  <c r="S26" i="8" s="1"/>
  <c r="T26" i="8" s="1"/>
  <c r="F33" i="8" l="1"/>
  <c r="F28" i="8"/>
  <c r="F36" i="8" s="1"/>
  <c r="F37" i="8" s="1"/>
  <c r="F38" i="8" s="1"/>
  <c r="F40" i="8" s="1"/>
  <c r="G28" i="8" l="1"/>
  <c r="F41" i="8" l="1"/>
  <c r="H28" i="8"/>
  <c r="F43" i="8" l="1"/>
  <c r="F44" i="8" s="1"/>
  <c r="F45" i="8" s="1"/>
  <c r="G12" i="8"/>
  <c r="I28" i="8"/>
  <c r="F20" i="2" l="1"/>
  <c r="F22" i="2" s="1"/>
  <c r="G47" i="8"/>
  <c r="G48" i="8" s="1"/>
  <c r="J28" i="8"/>
  <c r="F21" i="2" l="1"/>
  <c r="G14" i="8" s="1"/>
  <c r="G15" i="8" s="1"/>
  <c r="K28" i="8"/>
  <c r="F23" i="2" l="1"/>
  <c r="G14" i="39"/>
  <c r="G15" i="39" s="1"/>
  <c r="G19" i="39" s="1"/>
  <c r="G20" i="39" s="1"/>
  <c r="G18" i="8"/>
  <c r="G31" i="8" s="1"/>
  <c r="G32" i="8" s="1"/>
  <c r="G33" i="8" s="1"/>
  <c r="G19" i="8"/>
  <c r="G20" i="8" s="1"/>
  <c r="L28" i="8"/>
  <c r="G18" i="39" l="1"/>
  <c r="G22" i="39" s="1"/>
  <c r="G36" i="39" s="1"/>
  <c r="G37" i="39" s="1"/>
  <c r="G38" i="39" s="1"/>
  <c r="G40" i="39" s="1"/>
  <c r="G41" i="39" s="1"/>
  <c r="G22" i="8"/>
  <c r="G36" i="8" s="1"/>
  <c r="G37" i="8" s="1"/>
  <c r="G38" i="8" s="1"/>
  <c r="G40" i="8" s="1"/>
  <c r="G41" i="8" s="1"/>
  <c r="G43" i="8" s="1"/>
  <c r="M28" i="8"/>
  <c r="G43" i="39" l="1"/>
  <c r="G44" i="39" s="1"/>
  <c r="G45" i="39" s="1"/>
  <c r="H12" i="39"/>
  <c r="G31" i="39"/>
  <c r="G32" i="39" s="1"/>
  <c r="G33" i="39" s="1"/>
  <c r="H12" i="8"/>
  <c r="G20" i="2" s="1"/>
  <c r="G44" i="8"/>
  <c r="G45" i="8" s="1"/>
  <c r="N28" i="8"/>
  <c r="G26" i="2" l="1"/>
  <c r="H47" i="8"/>
  <c r="H48" i="8" s="1"/>
  <c r="G22" i="2"/>
  <c r="H47" i="39"/>
  <c r="H48" i="39" s="1"/>
  <c r="O28" i="8"/>
  <c r="G21" i="2" l="1"/>
  <c r="G28" i="2"/>
  <c r="G27" i="2"/>
  <c r="G29" i="2" s="1"/>
  <c r="P28" i="8"/>
  <c r="H14" i="8" l="1"/>
  <c r="H15" i="8" s="1"/>
  <c r="H14" i="39"/>
  <c r="G23" i="2"/>
  <c r="Q28" i="8"/>
  <c r="H15" i="39" l="1"/>
  <c r="H19" i="39" s="1"/>
  <c r="H20" i="39" s="1"/>
  <c r="H18" i="8"/>
  <c r="H31" i="8" s="1"/>
  <c r="H32" i="8" s="1"/>
  <c r="H33" i="8" s="1"/>
  <c r="H19" i="8"/>
  <c r="H20" i="8" s="1"/>
  <c r="H18" i="39"/>
  <c r="R28" i="8"/>
  <c r="H22" i="8" l="1"/>
  <c r="H36" i="8" s="1"/>
  <c r="H37" i="8" s="1"/>
  <c r="H38" i="8" s="1"/>
  <c r="H40" i="8" s="1"/>
  <c r="H41" i="8" s="1"/>
  <c r="H22" i="39"/>
  <c r="H36" i="39" s="1"/>
  <c r="H37" i="39" s="1"/>
  <c r="H38" i="39" s="1"/>
  <c r="H40" i="39" s="1"/>
  <c r="H41" i="39" s="1"/>
  <c r="H31" i="39"/>
  <c r="H32" i="39" s="1"/>
  <c r="H33" i="39" s="1"/>
  <c r="S28" i="8"/>
  <c r="H43" i="39" l="1"/>
  <c r="H44" i="39" s="1"/>
  <c r="H45" i="39" s="1"/>
  <c r="I12" i="39"/>
  <c r="H26" i="2" s="1"/>
  <c r="I12" i="8"/>
  <c r="H20" i="2" s="1"/>
  <c r="H43" i="8"/>
  <c r="H44" i="8" s="1"/>
  <c r="H45" i="8" s="1"/>
  <c r="T28" i="8"/>
  <c r="I47" i="39" l="1"/>
  <c r="I48" i="39" s="1"/>
  <c r="I47" i="8"/>
  <c r="I48" i="8" s="1"/>
  <c r="H22" i="2"/>
  <c r="H21" i="2"/>
  <c r="H27" i="2"/>
  <c r="H29" i="2" s="1"/>
  <c r="H28" i="2"/>
  <c r="I14" i="8" l="1"/>
  <c r="I15" i="8" s="1"/>
  <c r="I14" i="39"/>
  <c r="H23" i="2"/>
  <c r="I15" i="39" l="1"/>
  <c r="I19" i="39" s="1"/>
  <c r="I20" i="39" s="1"/>
  <c r="I18" i="39"/>
  <c r="I18" i="8"/>
  <c r="I19" i="8"/>
  <c r="I20" i="8" s="1"/>
  <c r="I22" i="39" l="1"/>
  <c r="I36" i="39" s="1"/>
  <c r="I37" i="39" s="1"/>
  <c r="I38" i="39" s="1"/>
  <c r="I40" i="39" s="1"/>
  <c r="I41" i="39" s="1"/>
  <c r="I31" i="39"/>
  <c r="I32" i="39" s="1"/>
  <c r="I33" i="39" s="1"/>
  <c r="I22" i="8"/>
  <c r="I36" i="8" s="1"/>
  <c r="I31" i="8"/>
  <c r="I32" i="8" s="1"/>
  <c r="I33" i="8" s="1"/>
  <c r="J12" i="39" l="1"/>
  <c r="I43" i="39"/>
  <c r="I37" i="8"/>
  <c r="I38" i="8" s="1"/>
  <c r="I40" i="8" s="1"/>
  <c r="I41" i="8" s="1"/>
  <c r="I26" i="2" l="1"/>
  <c r="J12" i="8"/>
  <c r="I20" i="2" s="1"/>
  <c r="I43" i="8"/>
  <c r="I44" i="8" s="1"/>
  <c r="I45" i="8" s="1"/>
  <c r="I44" i="39"/>
  <c r="I45" i="39" s="1"/>
  <c r="J47" i="8" l="1"/>
  <c r="J48" i="8" s="1"/>
  <c r="I21" i="2"/>
  <c r="J47" i="39"/>
  <c r="J48" i="39" s="1"/>
  <c r="I28" i="2"/>
  <c r="J14" i="8" l="1"/>
  <c r="J15" i="8" s="1"/>
  <c r="J14" i="39"/>
  <c r="I23" i="2"/>
  <c r="I22" i="2"/>
  <c r="I27" i="2"/>
  <c r="I29" i="2" s="1"/>
  <c r="J15" i="39" l="1"/>
  <c r="J19" i="39" s="1"/>
  <c r="J20" i="39" s="1"/>
  <c r="J18" i="39"/>
  <c r="J18" i="8"/>
  <c r="J19" i="8"/>
  <c r="J20" i="8" s="1"/>
  <c r="J22" i="39" l="1"/>
  <c r="J36" i="39" s="1"/>
  <c r="J37" i="39" s="1"/>
  <c r="J38" i="39" s="1"/>
  <c r="J40" i="39" s="1"/>
  <c r="J41" i="39" s="1"/>
  <c r="J31" i="39"/>
  <c r="J32" i="39" s="1"/>
  <c r="J33" i="39" s="1"/>
  <c r="J22" i="8"/>
  <c r="J36" i="8" s="1"/>
  <c r="J37" i="8" s="1"/>
  <c r="J38" i="8" s="1"/>
  <c r="J40" i="8" s="1"/>
  <c r="J41" i="8" s="1"/>
  <c r="J31" i="8"/>
  <c r="J32" i="8" s="1"/>
  <c r="J33" i="8" s="1"/>
  <c r="J43" i="39" l="1"/>
  <c r="K12" i="39"/>
  <c r="J26" i="2" s="1"/>
  <c r="K12" i="8"/>
  <c r="J20" i="2" s="1"/>
  <c r="J43" i="8"/>
  <c r="J44" i="8" s="1"/>
  <c r="J45" i="8" s="1"/>
  <c r="J44" i="39" l="1"/>
  <c r="J45" i="39" s="1"/>
  <c r="K47" i="8"/>
  <c r="K48" i="8" s="1"/>
  <c r="J27" i="2" l="1"/>
  <c r="J29" i="2" s="1"/>
  <c r="K47" i="39"/>
  <c r="K48" i="39" s="1"/>
  <c r="J22" i="2"/>
  <c r="J21" i="2"/>
  <c r="K14" i="8" l="1"/>
  <c r="K15" i="8" s="1"/>
  <c r="K14" i="39"/>
  <c r="J23" i="2"/>
  <c r="J28" i="2"/>
  <c r="K15" i="39" l="1"/>
  <c r="K19" i="39" s="1"/>
  <c r="K20" i="39" s="1"/>
  <c r="K18" i="39"/>
  <c r="K31" i="39" s="1"/>
  <c r="K32" i="39" s="1"/>
  <c r="K33" i="39" s="1"/>
  <c r="K18" i="8"/>
  <c r="K19" i="8"/>
  <c r="K20" i="8" s="1"/>
  <c r="K22" i="39" l="1"/>
  <c r="K36" i="39" s="1"/>
  <c r="K37" i="39" s="1"/>
  <c r="K38" i="39" s="1"/>
  <c r="K40" i="39" s="1"/>
  <c r="K41" i="39" s="1"/>
  <c r="K22" i="8"/>
  <c r="K36" i="8" s="1"/>
  <c r="K37" i="8" s="1"/>
  <c r="K38" i="8" s="1"/>
  <c r="K40" i="8" s="1"/>
  <c r="K41" i="8" s="1"/>
  <c r="K31" i="8"/>
  <c r="K32" i="8" s="1"/>
  <c r="K33" i="8" s="1"/>
  <c r="L12" i="39" l="1"/>
  <c r="K43" i="39"/>
  <c r="L12" i="8"/>
  <c r="K20" i="2" s="1"/>
  <c r="K43" i="8"/>
  <c r="K44" i="8" s="1"/>
  <c r="K45" i="8" s="1"/>
  <c r="K26" i="2" l="1"/>
  <c r="K44" i="39"/>
  <c r="K45" i="39" s="1"/>
  <c r="L47" i="39"/>
  <c r="L48" i="39" s="1"/>
  <c r="L47" i="8"/>
  <c r="L48" i="8" s="1"/>
  <c r="K28" i="2" l="1"/>
  <c r="K22" i="2"/>
  <c r="K21" i="2"/>
  <c r="L14" i="8" l="1"/>
  <c r="L15" i="8" s="1"/>
  <c r="L14" i="39"/>
  <c r="K23" i="2"/>
  <c r="K27" i="2"/>
  <c r="K29" i="2" s="1"/>
  <c r="L15" i="39" l="1"/>
  <c r="L19" i="39" s="1"/>
  <c r="L20" i="39" s="1"/>
  <c r="L18" i="39"/>
  <c r="L31" i="39" s="1"/>
  <c r="L32" i="39" s="1"/>
  <c r="L33" i="39" s="1"/>
  <c r="L19" i="8"/>
  <c r="L20" i="8" s="1"/>
  <c r="L18" i="8"/>
  <c r="L22" i="39" l="1"/>
  <c r="L36" i="39" s="1"/>
  <c r="L37" i="39" s="1"/>
  <c r="L38" i="39" s="1"/>
  <c r="L40" i="39" s="1"/>
  <c r="L41" i="39" s="1"/>
  <c r="L22" i="8"/>
  <c r="L36" i="8" s="1"/>
  <c r="L37" i="8" s="1"/>
  <c r="L38" i="8" s="1"/>
  <c r="L40" i="8" s="1"/>
  <c r="L41" i="8" s="1"/>
  <c r="L31" i="8"/>
  <c r="L32" i="8" s="1"/>
  <c r="L33" i="8" s="1"/>
  <c r="L43" i="39" l="1"/>
  <c r="M12" i="39"/>
  <c r="L26" i="2" s="1"/>
  <c r="L43" i="8"/>
  <c r="L44" i="8" s="1"/>
  <c r="L45" i="8" s="1"/>
  <c r="M12" i="8"/>
  <c r="L20" i="2" s="1"/>
  <c r="L44" i="39" l="1"/>
  <c r="L45" i="39" s="1"/>
  <c r="M47" i="8"/>
  <c r="M48" i="8" s="1"/>
  <c r="M47" i="39" l="1"/>
  <c r="M48" i="39" s="1"/>
  <c r="L22" i="2"/>
  <c r="L21" i="2"/>
  <c r="L28" i="2"/>
  <c r="L27" i="2"/>
  <c r="L29" i="2" s="1"/>
  <c r="M14" i="8" l="1"/>
  <c r="M15" i="8" s="1"/>
  <c r="M14" i="39"/>
  <c r="L23" i="2"/>
  <c r="M15" i="39" l="1"/>
  <c r="M19" i="39" s="1"/>
  <c r="M20" i="39" s="1"/>
  <c r="M18" i="39"/>
  <c r="M31" i="39" s="1"/>
  <c r="M32" i="39" s="1"/>
  <c r="M33" i="39" s="1"/>
  <c r="M19" i="8"/>
  <c r="M20" i="8" s="1"/>
  <c r="M18" i="8"/>
  <c r="M22" i="39" l="1"/>
  <c r="M36" i="39" s="1"/>
  <c r="M37" i="39" s="1"/>
  <c r="M38" i="39" s="1"/>
  <c r="M40" i="39" s="1"/>
  <c r="M41" i="39" s="1"/>
  <c r="M22" i="8"/>
  <c r="M36" i="8" s="1"/>
  <c r="M37" i="8" s="1"/>
  <c r="M38" i="8" s="1"/>
  <c r="M40" i="8" s="1"/>
  <c r="M41" i="8" s="1"/>
  <c r="M31" i="8"/>
  <c r="M32" i="8" s="1"/>
  <c r="M33" i="8" s="1"/>
  <c r="M43" i="39" l="1"/>
  <c r="N12" i="39"/>
  <c r="M26" i="2" s="1"/>
  <c r="M43" i="8"/>
  <c r="M44" i="8" s="1"/>
  <c r="M45" i="8" s="1"/>
  <c r="N12" i="8"/>
  <c r="M20" i="2" s="1"/>
  <c r="M44" i="39" l="1"/>
  <c r="M45" i="39" s="1"/>
  <c r="N47" i="39"/>
  <c r="N48" i="39" s="1"/>
  <c r="N47" i="8"/>
  <c r="N48" i="8" s="1"/>
  <c r="M27" i="2" l="1"/>
  <c r="M29" i="2" s="1"/>
  <c r="M28" i="2"/>
  <c r="M21" i="2"/>
  <c r="M22" i="2"/>
  <c r="N14" i="8" l="1"/>
  <c r="N15" i="8" s="1"/>
  <c r="N14" i="39"/>
  <c r="M23" i="2"/>
  <c r="N15" i="39" l="1"/>
  <c r="N19" i="39" s="1"/>
  <c r="N20" i="39" s="1"/>
  <c r="N18" i="39"/>
  <c r="N31" i="39" s="1"/>
  <c r="N32" i="39" s="1"/>
  <c r="N33" i="39" s="1"/>
  <c r="N19" i="8"/>
  <c r="N20" i="8" s="1"/>
  <c r="N18" i="8"/>
  <c r="N22" i="39" l="1"/>
  <c r="N36" i="39" s="1"/>
  <c r="N37" i="39" s="1"/>
  <c r="N38" i="39" s="1"/>
  <c r="N40" i="39" s="1"/>
  <c r="N41" i="39" s="1"/>
  <c r="N22" i="8"/>
  <c r="N36" i="8" s="1"/>
  <c r="N37" i="8" s="1"/>
  <c r="N38" i="8" s="1"/>
  <c r="N40" i="8" s="1"/>
  <c r="N41" i="8" s="1"/>
  <c r="N31" i="8"/>
  <c r="N32" i="8" s="1"/>
  <c r="N33" i="8" s="1"/>
  <c r="O12" i="39" l="1"/>
  <c r="N43" i="39"/>
  <c r="N43" i="8"/>
  <c r="N44" i="8" s="1"/>
  <c r="N45" i="8" s="1"/>
  <c r="O12" i="8"/>
  <c r="N20" i="2" s="1"/>
  <c r="N26" i="2" l="1"/>
  <c r="N44" i="39"/>
  <c r="N45" i="39" s="1"/>
  <c r="O47" i="8"/>
  <c r="O48" i="8" s="1"/>
  <c r="O47" i="39" l="1"/>
  <c r="O48" i="39" s="1"/>
  <c r="N27" i="2"/>
  <c r="N29" i="2" s="1"/>
  <c r="N28" i="2"/>
  <c r="N22" i="2"/>
  <c r="N21" i="2"/>
  <c r="O14" i="8" l="1"/>
  <c r="O15" i="8" s="1"/>
  <c r="O14" i="39"/>
  <c r="N23" i="2"/>
  <c r="O15" i="39" l="1"/>
  <c r="O19" i="39" s="1"/>
  <c r="O20" i="39" s="1"/>
  <c r="O18" i="39"/>
  <c r="O31" i="39" s="1"/>
  <c r="O32" i="39" s="1"/>
  <c r="O33" i="39" s="1"/>
  <c r="O19" i="8"/>
  <c r="O20" i="8" s="1"/>
  <c r="O18" i="8"/>
  <c r="O22" i="39" l="1"/>
  <c r="O36" i="39" s="1"/>
  <c r="O37" i="39" s="1"/>
  <c r="O38" i="39" s="1"/>
  <c r="O40" i="39" s="1"/>
  <c r="O41" i="39" s="1"/>
  <c r="O22" i="8"/>
  <c r="O36" i="8" s="1"/>
  <c r="O37" i="8" s="1"/>
  <c r="O38" i="8" s="1"/>
  <c r="O40" i="8" s="1"/>
  <c r="O41" i="8" s="1"/>
  <c r="O31" i="8"/>
  <c r="O32" i="8" s="1"/>
  <c r="O33" i="8" s="1"/>
  <c r="O43" i="39" l="1"/>
  <c r="P12" i="39"/>
  <c r="O26" i="2" s="1"/>
  <c r="P12" i="8"/>
  <c r="O20" i="2" s="1"/>
  <c r="O43" i="8"/>
  <c r="O44" i="8" s="1"/>
  <c r="O45" i="8" s="1"/>
  <c r="O44" i="39" l="1"/>
  <c r="O45" i="39" s="1"/>
  <c r="P47" i="8"/>
  <c r="P48" i="8" s="1"/>
  <c r="P47" i="39" l="1"/>
  <c r="P48" i="39" s="1"/>
  <c r="O21" i="2"/>
  <c r="O22" i="2"/>
  <c r="O27" i="2"/>
  <c r="O29" i="2" s="1"/>
  <c r="O28" i="2"/>
  <c r="P14" i="8" l="1"/>
  <c r="P15" i="8" s="1"/>
  <c r="P14" i="39"/>
  <c r="O23" i="2"/>
  <c r="P15" i="39" l="1"/>
  <c r="P19" i="39" s="1"/>
  <c r="P20" i="39" s="1"/>
  <c r="P18" i="39"/>
  <c r="P19" i="8"/>
  <c r="P20" i="8" s="1"/>
  <c r="P18" i="8"/>
  <c r="P22" i="39" l="1"/>
  <c r="P36" i="39" s="1"/>
  <c r="P37" i="39" s="1"/>
  <c r="P38" i="39" s="1"/>
  <c r="P40" i="39" s="1"/>
  <c r="P41" i="39" s="1"/>
  <c r="P31" i="39"/>
  <c r="P32" i="39" s="1"/>
  <c r="P33" i="39" s="1"/>
  <c r="P31" i="8"/>
  <c r="P32" i="8" s="1"/>
  <c r="P33" i="8" s="1"/>
  <c r="P22" i="8"/>
  <c r="P36" i="8" s="1"/>
  <c r="P37" i="8" s="1"/>
  <c r="P38" i="8" s="1"/>
  <c r="P40" i="8" s="1"/>
  <c r="P41" i="8" s="1"/>
  <c r="Q12" i="39" l="1"/>
  <c r="P43" i="39"/>
  <c r="P43" i="8"/>
  <c r="P44" i="8" s="1"/>
  <c r="P45" i="8" s="1"/>
  <c r="Q12" i="8"/>
  <c r="P20" i="2" s="1"/>
  <c r="P26" i="2" l="1"/>
  <c r="P44" i="39"/>
  <c r="P45" i="39" s="1"/>
  <c r="Q47" i="8"/>
  <c r="Q48" i="8" s="1"/>
  <c r="Q47" i="39" l="1"/>
  <c r="Q48" i="39" s="1"/>
  <c r="P27" i="2"/>
  <c r="P29" i="2" s="1"/>
  <c r="P28" i="2"/>
  <c r="P21" i="2"/>
  <c r="P22" i="2"/>
  <c r="Q14" i="8" l="1"/>
  <c r="Q15" i="8" s="1"/>
  <c r="Q14" i="39"/>
  <c r="P23" i="2"/>
  <c r="Q15" i="39" l="1"/>
  <c r="Q19" i="39" s="1"/>
  <c r="Q20" i="39" s="1"/>
  <c r="Q18" i="39"/>
  <c r="Q19" i="8"/>
  <c r="Q20" i="8" s="1"/>
  <c r="Q18" i="8"/>
  <c r="Q22" i="39" l="1"/>
  <c r="Q36" i="39" s="1"/>
  <c r="Q37" i="39" s="1"/>
  <c r="Q38" i="39" s="1"/>
  <c r="Q40" i="39" s="1"/>
  <c r="Q41" i="39" s="1"/>
  <c r="Q31" i="39"/>
  <c r="Q32" i="39" s="1"/>
  <c r="Q33" i="39" s="1"/>
  <c r="Q31" i="8"/>
  <c r="Q32" i="8" s="1"/>
  <c r="Q33" i="8" s="1"/>
  <c r="Q22" i="8"/>
  <c r="Q36" i="8" s="1"/>
  <c r="Q37" i="8" s="1"/>
  <c r="Q38" i="8" s="1"/>
  <c r="Q40" i="8" s="1"/>
  <c r="Q41" i="8" s="1"/>
  <c r="Q43" i="39" l="1"/>
  <c r="R12" i="39"/>
  <c r="Q26" i="2" s="1"/>
  <c r="R12" i="8"/>
  <c r="Q20" i="2" s="1"/>
  <c r="Q43" i="8"/>
  <c r="Q44" i="8" s="1"/>
  <c r="Q45" i="8" s="1"/>
  <c r="Q44" i="39" l="1"/>
  <c r="Q45" i="39" s="1"/>
  <c r="R47" i="8"/>
  <c r="R48" i="8" s="1"/>
  <c r="R47" i="39" l="1"/>
  <c r="R48" i="39" s="1"/>
  <c r="Q22" i="2"/>
  <c r="Q21" i="2"/>
  <c r="Q27" i="2"/>
  <c r="Q29" i="2" s="1"/>
  <c r="Q28" i="2"/>
  <c r="R14" i="8" l="1"/>
  <c r="R15" i="8" s="1"/>
  <c r="R14" i="39"/>
  <c r="Q23" i="2"/>
  <c r="R15" i="39" l="1"/>
  <c r="R19" i="39" s="1"/>
  <c r="R20" i="39" s="1"/>
  <c r="R18" i="39"/>
  <c r="R31" i="39" s="1"/>
  <c r="R32" i="39" s="1"/>
  <c r="R33" i="39" s="1"/>
  <c r="R19" i="8"/>
  <c r="R20" i="8" s="1"/>
  <c r="R18" i="8"/>
  <c r="R22" i="39" l="1"/>
  <c r="R36" i="39" s="1"/>
  <c r="R37" i="39" s="1"/>
  <c r="R38" i="39" s="1"/>
  <c r="R40" i="39" s="1"/>
  <c r="R41" i="39" s="1"/>
  <c r="R31" i="8"/>
  <c r="R32" i="8" s="1"/>
  <c r="R33" i="8" s="1"/>
  <c r="R22" i="8"/>
  <c r="R36" i="8" s="1"/>
  <c r="R37" i="8" s="1"/>
  <c r="R38" i="8" s="1"/>
  <c r="R40" i="8" s="1"/>
  <c r="R41" i="8" s="1"/>
  <c r="R43" i="39" l="1"/>
  <c r="S12" i="39"/>
  <c r="R43" i="8"/>
  <c r="R44" i="8" s="1"/>
  <c r="R45" i="8" s="1"/>
  <c r="S12" i="8"/>
  <c r="R20" i="2" s="1"/>
  <c r="R26" i="2" l="1"/>
  <c r="R44" i="39"/>
  <c r="R45" i="39" s="1"/>
  <c r="S47" i="39"/>
  <c r="S48" i="39" s="1"/>
  <c r="S47" i="8"/>
  <c r="S48" i="8" s="1"/>
  <c r="R27" i="2" l="1"/>
  <c r="R29" i="2" s="1"/>
  <c r="R28" i="2"/>
  <c r="R22" i="2"/>
  <c r="R21" i="2"/>
  <c r="S14" i="8" l="1"/>
  <c r="S15" i="8" s="1"/>
  <c r="S14" i="39"/>
  <c r="R23" i="2"/>
  <c r="S15" i="39" l="1"/>
  <c r="S19" i="39" s="1"/>
  <c r="S20" i="39" s="1"/>
  <c r="S18" i="39"/>
  <c r="S18" i="8"/>
  <c r="S19" i="8"/>
  <c r="S20" i="8" s="1"/>
  <c r="S22" i="39" l="1"/>
  <c r="S36" i="39" s="1"/>
  <c r="S37" i="39" s="1"/>
  <c r="S38" i="39" s="1"/>
  <c r="S40" i="39" s="1"/>
  <c r="S41" i="39" s="1"/>
  <c r="T12" i="39" s="1"/>
  <c r="S31" i="39"/>
  <c r="S32" i="39" s="1"/>
  <c r="S33" i="39" s="1"/>
  <c r="S22" i="8"/>
  <c r="S36" i="8" s="1"/>
  <c r="S37" i="8" s="1"/>
  <c r="S38" i="8" s="1"/>
  <c r="S40" i="8" s="1"/>
  <c r="S41" i="8" s="1"/>
  <c r="S31" i="8"/>
  <c r="S32" i="8" s="1"/>
  <c r="S33" i="8" s="1"/>
  <c r="S26" i="2" l="1"/>
  <c r="S43" i="39"/>
  <c r="S43" i="8"/>
  <c r="S44" i="8" s="1"/>
  <c r="S45" i="8" s="1"/>
  <c r="T12" i="8"/>
  <c r="S20" i="2" s="1"/>
  <c r="S44" i="39" l="1"/>
  <c r="S45" i="39" s="1"/>
  <c r="T47" i="8"/>
  <c r="T47" i="39" l="1"/>
  <c r="J50" i="13" s="1"/>
  <c r="G45" i="5"/>
  <c r="G48" i="5" s="1"/>
  <c r="G49" i="5" s="1"/>
  <c r="S22" i="2"/>
  <c r="S21" i="2"/>
  <c r="T48" i="8"/>
  <c r="S27" i="2"/>
  <c r="S28" i="2"/>
  <c r="J48" i="13" l="1"/>
  <c r="K48" i="13" s="1"/>
  <c r="L48" i="13" s="1"/>
  <c r="T48" i="39"/>
  <c r="J51" i="13" s="1"/>
  <c r="S29" i="2"/>
  <c r="T14" i="8"/>
  <c r="T15" i="8" s="1"/>
  <c r="J49" i="13"/>
  <c r="K49" i="13" s="1"/>
  <c r="L49" i="13" s="1"/>
  <c r="T14" i="39"/>
  <c r="S23" i="2"/>
  <c r="H45" i="5"/>
  <c r="I45" i="5" s="1"/>
  <c r="T15" i="39" l="1"/>
  <c r="T19" i="39" s="1"/>
  <c r="T20" i="39" s="1"/>
  <c r="T18" i="39"/>
  <c r="T18" i="8"/>
  <c r="T19" i="8"/>
  <c r="T20" i="8" s="1"/>
  <c r="T22" i="39" l="1"/>
  <c r="T36" i="39" s="1"/>
  <c r="T37" i="39" s="1"/>
  <c r="T38" i="39" s="1"/>
  <c r="T40" i="39" s="1"/>
  <c r="T41" i="39" s="1"/>
  <c r="T43" i="39" s="1"/>
  <c r="T31" i="39"/>
  <c r="T32" i="39" s="1"/>
  <c r="T33" i="39" s="1"/>
  <c r="T22" i="8"/>
  <c r="T31" i="8"/>
  <c r="T32" i="8" s="1"/>
  <c r="T33" i="8" s="1"/>
  <c r="T36" i="8" l="1"/>
  <c r="T37" i="8" s="1"/>
  <c r="T38" i="8" s="1"/>
  <c r="T40" i="8" s="1"/>
  <c r="T41" i="8" s="1"/>
  <c r="T43" i="8" s="1"/>
  <c r="J52" i="13" l="1"/>
  <c r="G44" i="5"/>
  <c r="H44" i="5" s="1"/>
  <c r="E50" i="5" s="1"/>
  <c r="T44" i="8"/>
  <c r="T45" i="8" s="1"/>
  <c r="J55" i="13" l="1"/>
  <c r="K55" i="13"/>
  <c r="I44" i="5"/>
  <c r="D88" i="13"/>
  <c r="T44" i="39"/>
  <c r="T45" i="39" s="1"/>
  <c r="K61" i="13" l="1"/>
  <c r="F88" i="13"/>
  <c r="K62" i="13"/>
  <c r="L55" i="13"/>
  <c r="P29" i="7"/>
  <c r="P30" i="7"/>
  <c r="P27" i="7"/>
  <c r="Q27" i="7"/>
  <c r="Q30" i="7"/>
  <c r="Q29" i="7"/>
  <c r="Q28" i="7"/>
  <c r="P28" i="7"/>
  <c r="J56" i="13"/>
  <c r="E24" i="13" l="1"/>
  <c r="E23" i="13"/>
  <c r="J62" i="13"/>
  <c r="D37" i="14" s="1"/>
  <c r="I63" i="13" l="1"/>
  <c r="D51" i="14"/>
  <c r="D62" i="14" l="1"/>
  <c r="D64" i="14" s="1"/>
  <c r="D75" i="14" s="1"/>
  <c r="D53" i="14"/>
  <c r="D56" i="14" s="1"/>
  <c r="F52" i="14"/>
  <c r="F63" i="14" s="1"/>
  <c r="F68" i="14" s="1"/>
  <c r="E51" i="14"/>
  <c r="G68" i="14" l="1"/>
  <c r="D67" i="14"/>
  <c r="D69" i="14" s="1"/>
  <c r="D78" i="14" s="1"/>
  <c r="E62" i="14"/>
  <c r="E53" i="14"/>
  <c r="D58" i="14"/>
  <c r="E56" i="14" l="1"/>
  <c r="E67" i="14" s="1"/>
  <c r="F64" i="14"/>
  <c r="F53" i="14" s="1"/>
  <c r="E64" i="14"/>
  <c r="E75" i="14" s="1"/>
  <c r="E69" i="14" l="1"/>
  <c r="E78" i="14" s="1"/>
  <c r="F69" i="14"/>
  <c r="F56" i="14"/>
  <c r="F75" i="14"/>
  <c r="E58" i="14"/>
  <c r="F58" i="14" l="1"/>
  <c r="E47" i="14" s="1"/>
  <c r="I81" i="13" s="1"/>
  <c r="F78" i="14"/>
  <c r="G53" i="14"/>
  <c r="G33" i="14" s="1"/>
  <c r="G56" i="14" l="1"/>
  <c r="G64" i="14"/>
  <c r="G75" i="14" s="1"/>
  <c r="I74" i="13"/>
  <c r="I98" i="13"/>
  <c r="F98" i="13" s="1"/>
  <c r="I95" i="13" l="1"/>
  <c r="F95" i="13" s="1"/>
  <c r="G32" i="14"/>
  <c r="G58" i="14"/>
  <c r="I84" i="13"/>
  <c r="G69" i="14"/>
  <c r="G78" i="14" l="1"/>
  <c r="I97" i="13" s="1"/>
  <c r="F97" i="13" s="1"/>
  <c r="G67" i="14"/>
  <c r="J95" i="13"/>
  <c r="F99" i="13" l="1"/>
  <c r="J9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2" authorId="0" shapeId="0" xr:uid="{C41E15DD-A623-4195-AAFD-7F137099F775}">
      <text>
        <r>
          <rPr>
            <b/>
            <sz val="9"/>
            <color indexed="81"/>
            <rFont val="Tahoma"/>
            <family val="2"/>
          </rPr>
          <t xml:space="preserve">If GCT of new exceeds esxisitng routes, it will not be used, so in this case is set to equal exisitng route.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390D91C7-55E6-4A63-8B7F-DDF2FB2D5AFE}">
      <text>
        <r>
          <rPr>
            <sz val="9"/>
            <color indexed="81"/>
            <rFont val="Tahoma"/>
            <family val="2"/>
          </rPr>
          <t>From Table 42 (note relates to PT only, but good placeholder proxy)</t>
        </r>
      </text>
    </comment>
    <comment ref="F11" authorId="0" shapeId="0" xr:uid="{19589872-7D1C-44EB-A6FF-9568897A15B5}">
      <text>
        <r>
          <rPr>
            <sz val="9"/>
            <color indexed="81"/>
            <rFont val="Tahoma"/>
            <family val="2"/>
          </rPr>
          <t>Place holder values, need data source (NZTA processed Tom Tom data etc.)</t>
        </r>
      </text>
    </comment>
    <comment ref="F24" authorId="0" shapeId="0" xr:uid="{DCC1A21F-7A11-4605-9B40-7AC6EA5B6F6F}">
      <text>
        <r>
          <rPr>
            <sz val="9"/>
            <color indexed="81"/>
            <rFont val="Tahoma"/>
            <family val="2"/>
          </rPr>
          <t>From Table 16</t>
        </r>
      </text>
    </comment>
    <comment ref="J24" authorId="0" shapeId="0" xr:uid="{557D06CB-3202-4A20-B587-61C93DC5B548}">
      <text>
        <r>
          <rPr>
            <sz val="9"/>
            <color indexed="81"/>
            <rFont val="Tahoma"/>
            <family val="2"/>
          </rPr>
          <t>From Table 16</t>
        </r>
      </text>
    </comment>
    <comment ref="E48" authorId="0" shapeId="0" xr:uid="{F4671F7E-384B-461F-86C0-CD185549F08E}">
      <text>
        <r>
          <rPr>
            <b/>
            <sz val="9"/>
            <color indexed="81"/>
            <rFont val="Tahoma"/>
            <family val="2"/>
          </rPr>
          <t>Table SP3.1 (Sheet SP3-5) for zero gradient</t>
        </r>
      </text>
    </comment>
    <comment ref="F48" authorId="0" shapeId="0" xr:uid="{3D3E4C0D-3437-43D1-A67E-3E91DCF59219}">
      <text>
        <r>
          <rPr>
            <sz val="9"/>
            <color indexed="81"/>
            <rFont val="Tahoma"/>
            <family val="2"/>
          </rPr>
          <t>Table SP3.2 Assume 3.0 IRI (79 NAARA) - Values are same for both Rural and Urban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<sst xmlns="http://schemas.openxmlformats.org/spreadsheetml/2006/main" count="4763" uniqueCount="1136">
  <si>
    <t>Units</t>
  </si>
  <si>
    <t>(km)</t>
  </si>
  <si>
    <t>(kph)</t>
  </si>
  <si>
    <t>AADT</t>
  </si>
  <si>
    <t>Capacity</t>
  </si>
  <si>
    <t>VOC</t>
  </si>
  <si>
    <t>VOT</t>
  </si>
  <si>
    <t>(mins)</t>
  </si>
  <si>
    <t>GC Elasticity (Demand .wrt GCT)</t>
  </si>
  <si>
    <t>SATURN</t>
  </si>
  <si>
    <t>Free Speed</t>
  </si>
  <si>
    <t>Speed at capacity</t>
  </si>
  <si>
    <t>Power</t>
  </si>
  <si>
    <t>Congested Speed</t>
  </si>
  <si>
    <t>Variable</t>
  </si>
  <si>
    <t>Notation</t>
  </si>
  <si>
    <t>Location</t>
  </si>
  <si>
    <t>Full Trip Length</t>
  </si>
  <si>
    <t>F_L</t>
  </si>
  <si>
    <t>S_VS</t>
  </si>
  <si>
    <t>F_CB</t>
  </si>
  <si>
    <t>F_VS</t>
  </si>
  <si>
    <t>Full Mean Speed</t>
  </si>
  <si>
    <t>Full Base VOC</t>
  </si>
  <si>
    <t>Sub Trip Length</t>
  </si>
  <si>
    <t>Sub Mean Speed</t>
  </si>
  <si>
    <t>Sub Base VOC</t>
  </si>
  <si>
    <t>S_L</t>
  </si>
  <si>
    <t>S_CB</t>
  </si>
  <si>
    <t>S_TTC</t>
  </si>
  <si>
    <t>Sub VOC</t>
  </si>
  <si>
    <t>S_VOC</t>
  </si>
  <si>
    <t>($)</t>
  </si>
  <si>
    <t>Sub TTC GTC</t>
  </si>
  <si>
    <t>Sub VOC GTC</t>
  </si>
  <si>
    <t>Genreral Parameters</t>
  </si>
  <si>
    <t>($/hr)</t>
  </si>
  <si>
    <t>Value of Time</t>
  </si>
  <si>
    <t>(c/km)</t>
  </si>
  <si>
    <t>S_VOC$</t>
  </si>
  <si>
    <t>Sub GTC</t>
  </si>
  <si>
    <t>S_GTC</t>
  </si>
  <si>
    <t>Sub Other GTC</t>
  </si>
  <si>
    <t>S_OTHC</t>
  </si>
  <si>
    <t>B_TTC</t>
  </si>
  <si>
    <t>B_VOC$</t>
  </si>
  <si>
    <t>B_VOC</t>
  </si>
  <si>
    <t>B_GTC</t>
  </si>
  <si>
    <t>BAL TTC GTC</t>
  </si>
  <si>
    <t>BAL VOC</t>
  </si>
  <si>
    <t>BAL VOC GTC</t>
  </si>
  <si>
    <t>BAL GTC</t>
  </si>
  <si>
    <t>FULL GTC</t>
  </si>
  <si>
    <t>F_GTC</t>
  </si>
  <si>
    <t>ΔGTC</t>
  </si>
  <si>
    <t>(%)</t>
  </si>
  <si>
    <t>Full Trip Time</t>
  </si>
  <si>
    <t>Demand Change</t>
  </si>
  <si>
    <t>Veh.km/day</t>
  </si>
  <si>
    <t>Local VKT</t>
  </si>
  <si>
    <t>L_VKT</t>
  </si>
  <si>
    <t>VKT Change</t>
  </si>
  <si>
    <t>ΔVKT</t>
  </si>
  <si>
    <t>(veh/day)</t>
  </si>
  <si>
    <t>ΔAADT</t>
  </si>
  <si>
    <t>ΔAADT%</t>
  </si>
  <si>
    <t>BAL Trip Length</t>
  </si>
  <si>
    <t>B_L</t>
  </si>
  <si>
    <t>F_TTC</t>
  </si>
  <si>
    <t>Proposed Road Description</t>
  </si>
  <si>
    <t>Current Road Descriptions</t>
  </si>
  <si>
    <t>Mid</t>
  </si>
  <si>
    <t>Auckland Inner</t>
  </si>
  <si>
    <t>Auckland Mid</t>
  </si>
  <si>
    <t>Auckland Outer</t>
  </si>
  <si>
    <t>Wellington Inner</t>
  </si>
  <si>
    <t>Wellington Mid</t>
  </si>
  <si>
    <t>Wellington Outer</t>
  </si>
  <si>
    <t>Christchurch Inner</t>
  </si>
  <si>
    <t>Christchurch Mid</t>
  </si>
  <si>
    <t>Christchurch Outer</t>
  </si>
  <si>
    <t>Other</t>
  </si>
  <si>
    <t>Avg Trip Length (km)</t>
  </si>
  <si>
    <t>Mean Speed (length of Route)</t>
  </si>
  <si>
    <t>Road Location</t>
  </si>
  <si>
    <t>Road Heirachy</t>
  </si>
  <si>
    <t>Length of Improvement (km)</t>
  </si>
  <si>
    <t>AADT (veh/day)</t>
  </si>
  <si>
    <t>Posted Speed Limit (kph)</t>
  </si>
  <si>
    <t>(used in speed flow lookup)</t>
  </si>
  <si>
    <t>Avg Speed (kph)</t>
  </si>
  <si>
    <t>Road Attributes</t>
  </si>
  <si>
    <t xml:space="preserve">Rural </t>
  </si>
  <si>
    <t>VOT ($/hr/veh)</t>
  </si>
  <si>
    <t>Urban Other</t>
  </si>
  <si>
    <t>Total Number of lanes (2-way)</t>
  </si>
  <si>
    <t>Elasticity</t>
  </si>
  <si>
    <t>Peak</t>
  </si>
  <si>
    <t>Off Peak</t>
  </si>
  <si>
    <t>Low</t>
  </si>
  <si>
    <t>High</t>
  </si>
  <si>
    <t>Period</t>
  </si>
  <si>
    <t>User Inputs</t>
  </si>
  <si>
    <t>Lane-km added</t>
  </si>
  <si>
    <t>(calculated for info only)</t>
  </si>
  <si>
    <t>Base VOC (c/km)</t>
  </si>
  <si>
    <t>Roughness Cost (c/km)</t>
  </si>
  <si>
    <t>VOC (c/km)</t>
  </si>
  <si>
    <t>Rural Strategic</t>
  </si>
  <si>
    <t>Calc</t>
  </si>
  <si>
    <t>Volume Delay Curves from CAST SATURN Model</t>
  </si>
  <si>
    <t>Do-Min</t>
  </si>
  <si>
    <t>Posted Speed</t>
  </si>
  <si>
    <t>Input</t>
  </si>
  <si>
    <t>Output</t>
  </si>
  <si>
    <t>Definition</t>
  </si>
  <si>
    <t>Cap</t>
  </si>
  <si>
    <t>SPower</t>
  </si>
  <si>
    <t>CI</t>
  </si>
  <si>
    <t>*Motorway, max =100, 1 ln</t>
  </si>
  <si>
    <t>*Motorway, max =80, 1 ln</t>
  </si>
  <si>
    <t>*Motorway, max =100, 2 ln</t>
  </si>
  <si>
    <t>*Motorway, max =80, 2 ln</t>
  </si>
  <si>
    <t>*Motorway, max =100, 3 ln</t>
  </si>
  <si>
    <t>*Motorway, max =100, 4 ln</t>
  </si>
  <si>
    <t>*State Highway (L.A.R), max =100, 1 l</t>
  </si>
  <si>
    <t>*State Highway (L.A.R), max =90, 1 ln</t>
  </si>
  <si>
    <t>*State Highway (L.A.R), max =80, 1 ln</t>
  </si>
  <si>
    <t>*State Highway (L.A.R), max =70, 1 ln</t>
  </si>
  <si>
    <t>*State Highway (L.A.R), max =60, 1 ln</t>
  </si>
  <si>
    <t>*State Highway (L.A.R), max =50, 1 ln</t>
  </si>
  <si>
    <t>*State Highway (L.A.R), max =100, 2 l</t>
  </si>
  <si>
    <t>*State Highway (L.A.R), max =80, 2 ln</t>
  </si>
  <si>
    <t>*State Highway (L.A.R), max =70, 2 ln</t>
  </si>
  <si>
    <t>*State Highway (L.A.R), max =60, 2 ln</t>
  </si>
  <si>
    <t>*State Highway (L.A.R), max =50, 2 ln</t>
  </si>
  <si>
    <t>*State Highway (L.A.R), max =100, 3 l</t>
  </si>
  <si>
    <t>*State Highway (L.A.R), max =80, 3 ln</t>
  </si>
  <si>
    <t>*State Highway (L.A.R), max =70, 3 ln</t>
  </si>
  <si>
    <t>*State Highway (L.A.R), max =60, 3 ln</t>
  </si>
  <si>
    <t>*State Highway (L.A.R), max =50, 3 ln</t>
  </si>
  <si>
    <t>*Major Arterial, max =100, 1 ln</t>
  </si>
  <si>
    <t>*Major Arterial, max =90, 1 ln</t>
  </si>
  <si>
    <t>*Major Arterial, max =80, 1 ln</t>
  </si>
  <si>
    <t>*Major Arterial, max =70, 1 ln</t>
  </si>
  <si>
    <t>*Major Arterial, max =60, 1 ln</t>
  </si>
  <si>
    <t>*Major Arterial, max =50, 1 ln</t>
  </si>
  <si>
    <t>*Major Arterial, max =40, 1 ln</t>
  </si>
  <si>
    <t>*Major Arterial, max =100, 2 ln</t>
  </si>
  <si>
    <t>*Major Arterial, max =80, 2 ln</t>
  </si>
  <si>
    <t>*Major Arterial, max =70, 2 ln</t>
  </si>
  <si>
    <t>*Major Arterial, max =60, 2 ln</t>
  </si>
  <si>
    <t>*Major Arterial, max =50, 2 ln</t>
  </si>
  <si>
    <t>*Major Arterial, max =40, 2 ln</t>
  </si>
  <si>
    <t>*Major Arterial, max =100, 3 ln</t>
  </si>
  <si>
    <t>*Major Arterial, max =80, 3 ln</t>
  </si>
  <si>
    <t>*Major Arterial, max =70, 3 ln</t>
  </si>
  <si>
    <t>*Major Arterial, max =60, 3 ln</t>
  </si>
  <si>
    <t>*Major Arterial, max =50, 3 ln</t>
  </si>
  <si>
    <t>*Major Arterial, max =100, 4 ln</t>
  </si>
  <si>
    <t>*Major Arterial, max =80, 4 ln</t>
  </si>
  <si>
    <t>*Major Arterial, max =70, 4 ln</t>
  </si>
  <si>
    <t>*Major Arterial, max =60, 4 ln</t>
  </si>
  <si>
    <t>*Major Arterial, max =50, 4 ln</t>
  </si>
  <si>
    <t>*Minor Arterial (L.A.R), max =100, 1</t>
  </si>
  <si>
    <t>*Minor Arterial (L.A.R), max =90, 1 l</t>
  </si>
  <si>
    <t>*Minor Arterial (L.A.R), max =80, 1 l</t>
  </si>
  <si>
    <t>*Minor Arterial (L.A.R), max =70, 1 l</t>
  </si>
  <si>
    <t>*Minor Arterial (L.A.R), max =60, 1 l</t>
  </si>
  <si>
    <t>*Minor Arterial (L.A.R), max =50, 1 l</t>
  </si>
  <si>
    <t>*Minor Arterial (L.A.R), max =40, 1 l</t>
  </si>
  <si>
    <t>*Minor Arterial (L.A.R), max =30, 1 l</t>
  </si>
  <si>
    <t>*Minor Arterial (L.A.R), max =100, 2</t>
  </si>
  <si>
    <t>*Minor Arterial (L.A.R), max =80, 2 l</t>
  </si>
  <si>
    <t>*Minor Arterial (L.A.R), max =70, 2 l</t>
  </si>
  <si>
    <t>*Minor Arterial (L.A.R), max =60, 2 l</t>
  </si>
  <si>
    <t>*Minor Arterial (L.A.R), max =50, 2 l</t>
  </si>
  <si>
    <t>*Minor Arterial (L.A.R), max =40, 2 l</t>
  </si>
  <si>
    <t>*Minor Arterial (L.A.R), max =30, 2 l</t>
  </si>
  <si>
    <t>*Minor Arterial (L.A.R), max =100, 3</t>
  </si>
  <si>
    <t>*Minor Arterial (L.A.R), max =80, 3 l</t>
  </si>
  <si>
    <t>*Minor Arterial (L.A.R), max =70, 3 l</t>
  </si>
  <si>
    <t>*Minor Arterial (L.A.R), max =60, 3 l</t>
  </si>
  <si>
    <t>*Minor Arterial (L.A.R), max =50, 3 l</t>
  </si>
  <si>
    <t>*Minor Arterial (L.A.R), max =100, 4</t>
  </si>
  <si>
    <t>*Minor Arterial (L.A.R), max =80, 4 l</t>
  </si>
  <si>
    <t>*Minor Arterial (L.A.R), max =70, 4 l</t>
  </si>
  <si>
    <t>*Minor Arterial (L.A.R), max =60, 4 l</t>
  </si>
  <si>
    <t>*Minor Arterial (L.A.R), max =50, 4 l</t>
  </si>
  <si>
    <t>*Minor Arterial, max =100, 1 ln</t>
  </si>
  <si>
    <t>*Minor Arterial, max =90, 1 ln</t>
  </si>
  <si>
    <t>*Minor Arterial, max =80, 1 ln</t>
  </si>
  <si>
    <t>*Minor Arterial, max =70, 1 ln</t>
  </si>
  <si>
    <t>*Minor Arterial, max =60, 1 ln</t>
  </si>
  <si>
    <t>*Minor Arterial, max =50, 1 ln</t>
  </si>
  <si>
    <t>*Minor Arterial, max =40, 1 ln</t>
  </si>
  <si>
    <t>*Minor Arterial, max =30, 1 ln</t>
  </si>
  <si>
    <t>*Minor Arterial, max =20, 1 ln</t>
  </si>
  <si>
    <t>*Minor Arterial, max =100, 2 ln</t>
  </si>
  <si>
    <t>*Minor Arterial, max =80, 2 ln</t>
  </si>
  <si>
    <t>*Minor Arterial, max =70, 2 ln</t>
  </si>
  <si>
    <t>*Minor Arterial, max =60, 2 ln</t>
  </si>
  <si>
    <t>*Minor Arterial, max =50, 2 ln</t>
  </si>
  <si>
    <t>*Minor Arterial, max =40, 2 ln</t>
  </si>
  <si>
    <t>*Minor Arterial, max =30, 2 ln</t>
  </si>
  <si>
    <t>*Minor Arterial, max =100, 3 ln</t>
  </si>
  <si>
    <t>*Minor Arterial, max =80, 3 ln</t>
  </si>
  <si>
    <t>*Minor Arterial, max =70, 3 ln</t>
  </si>
  <si>
    <t>*Minor Arterial, max =60, 3 ln</t>
  </si>
  <si>
    <t>*Minor Arterial, max =50, 3 ln</t>
  </si>
  <si>
    <t>*Minor Arterial, max =40, 3 ln</t>
  </si>
  <si>
    <t>*Minor Arterial, max =100, 4 ln</t>
  </si>
  <si>
    <t>*Minor Arterial, max =80, 4 ln</t>
  </si>
  <si>
    <t>*Minor Arterial, max =70, 4 ln</t>
  </si>
  <si>
    <t>*Minor Arterial, max =60, 4 ln</t>
  </si>
  <si>
    <t>*Minor Arterial, max =50, 4 ln</t>
  </si>
  <si>
    <t>*Collector, max =100, 1 ln</t>
  </si>
  <si>
    <t>*Collector, max =90, 1 ln</t>
  </si>
  <si>
    <t>*Collector, max =80, 1 ln</t>
  </si>
  <si>
    <t>*Collector, max =70, 1 ln</t>
  </si>
  <si>
    <t>*Collector, max =60, 1 ln</t>
  </si>
  <si>
    <t>*Collector, max =50, 1 ln</t>
  </si>
  <si>
    <t>*Collector, max =40, 1 ln</t>
  </si>
  <si>
    <t>*Collector, max =30, 1 ln</t>
  </si>
  <si>
    <t>*Collector, max =20, 1 ln</t>
  </si>
  <si>
    <t>*Collector, max =50, 2 ln</t>
  </si>
  <si>
    <t>*Collector, max =40, 2 ln</t>
  </si>
  <si>
    <t>Lanes</t>
  </si>
  <si>
    <t>Max</t>
  </si>
  <si>
    <t>Min</t>
  </si>
  <si>
    <t>AADT to Avg Houly Flow Factor</t>
  </si>
  <si>
    <t>User Outputs</t>
  </si>
  <si>
    <t>Iteration</t>
  </si>
  <si>
    <t>Option Iteration</t>
  </si>
  <si>
    <t>Demand Change (iter)</t>
  </si>
  <si>
    <t>Change GC (iter)</t>
  </si>
  <si>
    <t>Change GC (%) (iter)</t>
  </si>
  <si>
    <t>VKT Change (%)</t>
  </si>
  <si>
    <t>DoMin</t>
  </si>
  <si>
    <t>Option</t>
  </si>
  <si>
    <t>Diff</t>
  </si>
  <si>
    <t>Diff(%)</t>
  </si>
  <si>
    <t>Local Corridor</t>
  </si>
  <si>
    <t xml:space="preserve">DoMin </t>
  </si>
  <si>
    <t>VKT/Day</t>
  </si>
  <si>
    <t>Induced VKT/day</t>
  </si>
  <si>
    <t>&lt;--- =Cell AE33 multipied by various correction factors?</t>
  </si>
  <si>
    <t>Short vs long response</t>
  </si>
  <si>
    <t>PT proximity</t>
  </si>
  <si>
    <t xml:space="preserve">Landuse </t>
  </si>
  <si>
    <t>(note these are long term)</t>
  </si>
  <si>
    <t>Daily (weighted)</t>
  </si>
  <si>
    <t>Motorway</t>
  </si>
  <si>
    <t>Major Arterial</t>
  </si>
  <si>
    <t>Minor  Arterial</t>
  </si>
  <si>
    <t>State Highway (LAR)</t>
  </si>
  <si>
    <t>Minor Arterial (LAR)</t>
  </si>
  <si>
    <t>Valid Lanes:</t>
  </si>
  <si>
    <t>Valid Speeds:</t>
  </si>
  <si>
    <t>DM</t>
  </si>
  <si>
    <t>Opt</t>
  </si>
  <si>
    <t>Lanes added</t>
  </si>
  <si>
    <t>Filter Current Selectable Lane Lists</t>
  </si>
  <si>
    <t>User Specifed Additional Time (mins)</t>
  </si>
  <si>
    <t xml:space="preserve">Sub AADT </t>
  </si>
  <si>
    <t>V/C</t>
  </si>
  <si>
    <t>Measure</t>
  </si>
  <si>
    <t>Capacity (AADT)</t>
  </si>
  <si>
    <t>Road Type</t>
  </si>
  <si>
    <t xml:space="preserve">CAST SATURN Model </t>
  </si>
  <si>
    <t>Lookup Definition</t>
  </si>
  <si>
    <t>CAST Definition</t>
  </si>
  <si>
    <t>(affects average trip length and speed)</t>
  </si>
  <si>
    <t>(used in speed flow lookup and VOT)</t>
  </si>
  <si>
    <t>(length of section where changes apply)</t>
  </si>
  <si>
    <t>(base traffic)</t>
  </si>
  <si>
    <t>Elasticity (Demand wrt. GTC)</t>
  </si>
  <si>
    <t>Calcs &amp; Working</t>
  </si>
  <si>
    <t>MBCM Update Factor:</t>
  </si>
  <si>
    <t>(July 2015 to 2021)</t>
  </si>
  <si>
    <t>Return to dashboard</t>
  </si>
  <si>
    <t>USER INPUTS</t>
  </si>
  <si>
    <t>OUTPUTS</t>
  </si>
  <si>
    <t>Canterbury</t>
  </si>
  <si>
    <t>Lane-km elasticity for induced traffic</t>
  </si>
  <si>
    <t>Within locality</t>
  </si>
  <si>
    <t>Long term</t>
  </si>
  <si>
    <t>At NZ level</t>
  </si>
  <si>
    <t>Medium</t>
  </si>
  <si>
    <t>Induced VKT per day</t>
  </si>
  <si>
    <t>PT mode share (rail, metro, segregated bus)</t>
  </si>
  <si>
    <t>Tolling</t>
  </si>
  <si>
    <t>Land use change</t>
  </si>
  <si>
    <t>New development density</t>
  </si>
  <si>
    <t>No tolls</t>
  </si>
  <si>
    <t>Low - rural/fringe</t>
  </si>
  <si>
    <t>High - CBD</t>
  </si>
  <si>
    <t>ends</t>
  </si>
  <si>
    <t>Input US short-term elasticity:</t>
  </si>
  <si>
    <t>Describe rule to match with NZ class</t>
  </si>
  <si>
    <t>Urban trunk/motorway at capacity</t>
  </si>
  <si>
    <t>Urban other</t>
  </si>
  <si>
    <t>=All other urban (irrespective of administrator)</t>
  </si>
  <si>
    <t>Rural highways</t>
  </si>
  <si>
    <t>=Rural Interregional Connectors locally-administered</t>
  </si>
  <si>
    <t>Net of displacement</t>
  </si>
  <si>
    <t>Gross of displacement</t>
  </si>
  <si>
    <t>Rural other</t>
  </si>
  <si>
    <t>=All other NZ rural</t>
  </si>
  <si>
    <t>Input default short term as % of long term response</t>
  </si>
  <si>
    <t>of full response in congested conditions</t>
  </si>
  <si>
    <t>Elasticity for road class x administrator x region</t>
  </si>
  <si>
    <t>Lane kms in NZ for road type (kms)</t>
  </si>
  <si>
    <t>VKT for road type (MVKT)</t>
  </si>
  <si>
    <t>For information only</t>
  </si>
  <si>
    <t>Calc done in %</t>
  </si>
  <si>
    <t>Expected extra VKT (km/day)</t>
  </si>
  <si>
    <t>Expected increase in VKT (%)</t>
  </si>
  <si>
    <t>New lane-kms</t>
  </si>
  <si>
    <t>Short term response is</t>
  </si>
  <si>
    <t>Factors to apply to adjust lane-km elasticity</t>
  </si>
  <si>
    <t>Counterfactual development density (what density would it have been without the road)</t>
  </si>
  <si>
    <t>Development quality</t>
  </si>
  <si>
    <t>Factor</t>
  </si>
  <si>
    <t>Lane-km adjustment factor</t>
  </si>
  <si>
    <t>Default elasticities for local roads</t>
  </si>
  <si>
    <t>Induced traffic (MVKT)</t>
  </si>
  <si>
    <t>Network Characteristics</t>
  </si>
  <si>
    <t>https://pmrt.transportinsights.nz/Report/net1</t>
  </si>
  <si>
    <t>1mill=</t>
  </si>
  <si>
    <t>days/year=</t>
  </si>
  <si>
    <t>2019/20</t>
  </si>
  <si>
    <t>All classes</t>
  </si>
  <si>
    <t>NZ Road Types</t>
  </si>
  <si>
    <t>NZ regions</t>
  </si>
  <si>
    <t>Northland</t>
  </si>
  <si>
    <t>Auckland</t>
  </si>
  <si>
    <t>Waikato</t>
  </si>
  <si>
    <t>Bay of Plenty</t>
  </si>
  <si>
    <t>Gisborne</t>
  </si>
  <si>
    <t>Hawke's Bay</t>
  </si>
  <si>
    <t>Taranaki</t>
  </si>
  <si>
    <t>Wellington</t>
  </si>
  <si>
    <t>West Coast</t>
  </si>
  <si>
    <t>Chatham Islands</t>
  </si>
  <si>
    <t>Otago</t>
  </si>
  <si>
    <t>Southland</t>
  </si>
  <si>
    <t>Road administrator</t>
  </si>
  <si>
    <t>Congestion</t>
  </si>
  <si>
    <t>Local TLA</t>
  </si>
  <si>
    <t>PT mode share</t>
  </si>
  <si>
    <t>Public transport: Elasticity is 50% lower with good rail PT (Garcia-Lopez et al, Bucsky and Juhasz – 2 studies)</t>
  </si>
  <si>
    <t>interpolated</t>
  </si>
  <si>
    <t>High tolls</t>
  </si>
  <si>
    <t>Road pricing: Elasticity is 85% lower with road pricing (Garcia-Lopez et al – note only 1 study)</t>
  </si>
  <si>
    <t>Medium tolls</t>
  </si>
  <si>
    <t>Low tolls</t>
  </si>
  <si>
    <t>Good quality development</t>
  </si>
  <si>
    <t>Development Density</t>
  </si>
  <si>
    <t>Counterfactual (below) and New development (right)</t>
  </si>
  <si>
    <t>Mid - within city but not CBD</t>
  </si>
  <si>
    <t>Poor quality development</t>
  </si>
  <si>
    <t>%age increase in trips</t>
  </si>
  <si>
    <t>Number of trips per person</t>
  </si>
  <si>
    <t>Density (persons/km2)</t>
  </si>
  <si>
    <t>VKT</t>
  </si>
  <si>
    <t>Method 1. 
Lane-km elasticity</t>
  </si>
  <si>
    <t>INFORMATION REQUIRED</t>
  </si>
  <si>
    <t>Incl overide if given</t>
  </si>
  <si>
    <t>Unadjusted</t>
  </si>
  <si>
    <t>Assumed lane-km elasticity for road class:</t>
  </si>
  <si>
    <t>Increase in lane-kms</t>
  </si>
  <si>
    <t>Number of new lanes:</t>
  </si>
  <si>
    <t>Change in lane-km (km):</t>
  </si>
  <si>
    <t>Change in lane-km (%):</t>
  </si>
  <si>
    <t>Number of existing lanes:</t>
  </si>
  <si>
    <t>VKT for road type (km/day)</t>
  </si>
  <si>
    <t>Ratio of short-term to long-term effects (set &lt;1 if short-term elasticity used instead)</t>
  </si>
  <si>
    <t>(long term)</t>
  </si>
  <si>
    <t>Implied lane-km elasticity (if using cost elasticity approach):</t>
  </si>
  <si>
    <t>PT mode share (rail, metro, segregated bus):</t>
  </si>
  <si>
    <t>Counterfactual development density:</t>
  </si>
  <si>
    <t>New development density:</t>
  </si>
  <si>
    <t>Development quality (from induced traffic perspective):</t>
  </si>
  <si>
    <t>Adjusted lane-km elasticity for induced traffic</t>
  </si>
  <si>
    <t>D. After further adjusting for diverted traffic, the net VKT point estimate for NZ is:</t>
  </si>
  <si>
    <t>New lanes location within city:</t>
  </si>
  <si>
    <t xml:space="preserve">    </t>
  </si>
  <si>
    <t>Admin</t>
  </si>
  <si>
    <t>RegionalCouncil</t>
  </si>
  <si>
    <t>DistrictCouncil</t>
  </si>
  <si>
    <t>Year</t>
  </si>
  <si>
    <t>UrbanRural</t>
  </si>
  <si>
    <t>ONFCategory</t>
  </si>
  <si>
    <t>TotalLengthKm</t>
  </si>
  <si>
    <t>TotalLengthPercent</t>
  </si>
  <si>
    <t>SealedKm</t>
  </si>
  <si>
    <t>UnsealedKm</t>
  </si>
  <si>
    <t>LaneKm</t>
  </si>
  <si>
    <t>VehicleJourneysMVkt</t>
  </si>
  <si>
    <t>Waka Kotahi Roads</t>
  </si>
  <si>
    <t>Combined</t>
  </si>
  <si>
    <t>Unclassified</t>
  </si>
  <si>
    <t>RURAL</t>
  </si>
  <si>
    <t>Interregional Connectors</t>
  </si>
  <si>
    <t>Peri-urban Roads</t>
  </si>
  <si>
    <t>Rural Connectors</t>
  </si>
  <si>
    <t>URBAN</t>
  </si>
  <si>
    <t>Activity Streets</t>
  </si>
  <si>
    <t>Main Streets</t>
  </si>
  <si>
    <t>Transit Corridors</t>
  </si>
  <si>
    <t>Urban Connectors</t>
  </si>
  <si>
    <t>All Roads</t>
  </si>
  <si>
    <t>Auckland Region</t>
  </si>
  <si>
    <t>Rural Roads</t>
  </si>
  <si>
    <t>Stopping Places</t>
  </si>
  <si>
    <t>City Hubs</t>
  </si>
  <si>
    <t>Civic Spaces</t>
  </si>
  <si>
    <t>Local Streets</t>
  </si>
  <si>
    <t>Bay of Plenty Region</t>
  </si>
  <si>
    <t>Canterbury Region</t>
  </si>
  <si>
    <t>Chatham Islands Region</t>
  </si>
  <si>
    <t>Gisborne Region</t>
  </si>
  <si>
    <t>Hawke's Bay Region</t>
  </si>
  <si>
    <t>Manawatu/Whanganui Region</t>
  </si>
  <si>
    <t>Marlborough Region</t>
  </si>
  <si>
    <t>Nelson Region</t>
  </si>
  <si>
    <t>Northland Region</t>
  </si>
  <si>
    <t>Otago Region</t>
  </si>
  <si>
    <t>Southland Region</t>
  </si>
  <si>
    <t>Taranaki Region</t>
  </si>
  <si>
    <t>Tasman Region</t>
  </si>
  <si>
    <t>Waikato Region</t>
  </si>
  <si>
    <t>Wellington Region</t>
  </si>
  <si>
    <t>West Coast Region</t>
  </si>
  <si>
    <t>Nelson Marlborough Region</t>
  </si>
  <si>
    <t>DOC Roads</t>
  </si>
  <si>
    <t>DOC</t>
  </si>
  <si>
    <t>OriginOrder</t>
  </si>
  <si>
    <t>Concat</t>
  </si>
  <si>
    <t>FindWKrow</t>
  </si>
  <si>
    <t>Implied Local Roads</t>
  </si>
  <si>
    <t>NOTE CHANGE</t>
  </si>
  <si>
    <t>NOTE: 2 SECTIONS BELOW</t>
  </si>
  <si>
    <t>Data also available:</t>
  </si>
  <si>
    <t>DO NOTE CHANGE THESE 3</t>
  </si>
  <si>
    <t>LaneKM</t>
  </si>
  <si>
    <t>Lookup code</t>
  </si>
  <si>
    <t>A space=</t>
  </si>
  <si>
    <t>NZ One Network Road Classification (ONRC)</t>
  </si>
  <si>
    <t>Typical NZ AADT (ONRC)</t>
  </si>
  <si>
    <t>US Functional Class of roads</t>
  </si>
  <si>
    <t>Typical US AADT</t>
  </si>
  <si>
    <t>Typical NZ people movement per day (ONRC)</t>
  </si>
  <si>
    <t>NZ One Network Framework (ONF)</t>
  </si>
  <si>
    <t>ONF Nature of Movement (ONF)</t>
  </si>
  <si>
    <t>Typical NZ people movement per day (ONF)</t>
  </si>
  <si>
    <t>Probable ONF alignment</t>
  </si>
  <si>
    <t>GT1. High volume</t>
  </si>
  <si>
    <t>Urban &gt; 35,000</t>
  </si>
  <si>
    <t>35,000 – 129,000 (Urban states, see Note 2)</t>
  </si>
  <si>
    <t>Urban &gt; 40,000</t>
  </si>
  <si>
    <t>The high-volume movement of people nationally or to nationally significant locations. Nationally significant routes.</t>
  </si>
  <si>
    <t>Rural &gt; 20,000</t>
  </si>
  <si>
    <t>12,000 – 34,000 (Rural)</t>
  </si>
  <si>
    <t>Rural &gt; 25,000</t>
  </si>
  <si>
    <t>GT2. National</t>
  </si>
  <si>
    <t>Urban &gt; 25,000</t>
  </si>
  <si>
    <t>13,000 – 55,000 (Urban)</t>
  </si>
  <si>
    <t>Urban &gt; 30,000</t>
  </si>
  <si>
    <t>The movement of people nationally or to nationally significant locations</t>
  </si>
  <si>
    <t xml:space="preserve">M1. Major </t>
  </si>
  <si>
    <t>Mass movement of people and/or goods on roads or streets that are of major importance in urban areas, within and between regions or nationally.</t>
  </si>
  <si>
    <t>Typically &gt; 20,000 per day</t>
  </si>
  <si>
    <t>Rural &gt; 15,000</t>
  </si>
  <si>
    <t>4,000 – 18,500 (Rural)</t>
  </si>
  <si>
    <t>Rural &gt; 18,000</t>
  </si>
  <si>
    <t>GT3. Regional</t>
  </si>
  <si>
    <t>Urban &gt; 15,000</t>
  </si>
  <si>
    <t>Urban &gt; 18,000</t>
  </si>
  <si>
    <t>Connectors providing significant movement of people between cities and regions.</t>
  </si>
  <si>
    <t>Rural &gt; 10,000</t>
  </si>
  <si>
    <t>Rural &gt; 12,000</t>
  </si>
  <si>
    <t>GT4. Arterial</t>
  </si>
  <si>
    <t>Urban &gt; 5,000</t>
  </si>
  <si>
    <t>7,000 – 27,000 (Urban)</t>
  </si>
  <si>
    <t>Urban &gt; 6,000</t>
  </si>
  <si>
    <t>Connectors providing significant movement of people through or between neighbourhoods and towns.</t>
  </si>
  <si>
    <t xml:space="preserve">M2. Significant </t>
  </si>
  <si>
    <t>Movement of people and/or goods on inter-regional routes or primary roads and streets linking main centres or significant destinations and travel hubs within a city/town or region.</t>
  </si>
  <si>
    <t>10,000 – 25,000 per day</t>
  </si>
  <si>
    <t>Rural &gt; 3,000</t>
  </si>
  <si>
    <t>2,000 – 8,500 (Rural)</t>
  </si>
  <si>
    <t>Rural &gt; 3,500</t>
  </si>
  <si>
    <t>3,000 – 14,000 (Urban)</t>
  </si>
  <si>
    <t xml:space="preserve">M3. Moderate </t>
  </si>
  <si>
    <t xml:space="preserve">Movement of people and/or goods around a city, town or region </t>
  </si>
  <si>
    <t>3,000 – 12,000 per day</t>
  </si>
  <si>
    <t>1,500 – 6,000 (Rural)</t>
  </si>
  <si>
    <t>GT5. Primary Collector</t>
  </si>
  <si>
    <t>Urban &gt; 3,000</t>
  </si>
  <si>
    <t>1,100 – 6,300 (Urban)</t>
  </si>
  <si>
    <t>Urban &gt; 3,500</t>
  </si>
  <si>
    <t xml:space="preserve">Major collectors that link neighbourhoods to townships/districts. </t>
  </si>
  <si>
    <t>Rural &gt; 1,000</t>
  </si>
  <si>
    <t>300 – 2,600 (Rural)</t>
  </si>
  <si>
    <t>Rural &gt; 1,200</t>
  </si>
  <si>
    <t>GT6. Secondary Collector</t>
  </si>
  <si>
    <t>Urban &gt; 1,000</t>
  </si>
  <si>
    <t>150 – 1,110</t>
  </si>
  <si>
    <t>Urban &gt; 1,200</t>
  </si>
  <si>
    <t xml:space="preserve">Minor collectors that link local areas to neighbourhoods. </t>
  </si>
  <si>
    <t xml:space="preserve">M4. Minor </t>
  </si>
  <si>
    <t xml:space="preserve">Local movement by people making short trips or connecting to connector roads </t>
  </si>
  <si>
    <t>300 – 4,000 per day</t>
  </si>
  <si>
    <t>Peri-urban roads</t>
  </si>
  <si>
    <t>GT7. Access Local Road</t>
  </si>
  <si>
    <t>Urban &lt; 1,000</t>
  </si>
  <si>
    <t>80 – 700 (Urban)</t>
  </si>
  <si>
    <t>Urban &lt; 1,200</t>
  </si>
  <si>
    <t>Movement within a local area or to access areas outside the local area.</t>
  </si>
  <si>
    <t xml:space="preserve">. </t>
  </si>
  <si>
    <t>Rural &lt; 200</t>
  </si>
  <si>
    <t>15 – 400 (Rural)</t>
  </si>
  <si>
    <t>Rural &lt; 250</t>
  </si>
  <si>
    <t>GT8. Low volume Local Road</t>
  </si>
  <si>
    <t>Urban &lt; 200</t>
  </si>
  <si>
    <t>Urban &lt; 250</t>
  </si>
  <si>
    <t xml:space="preserve">Low volume movement within a local area </t>
  </si>
  <si>
    <t xml:space="preserve">M5. Low </t>
  </si>
  <si>
    <t xml:space="preserve">Local movement by people going about their daily lives </t>
  </si>
  <si>
    <t>Typically &lt; 500 per day</t>
  </si>
  <si>
    <t>Rural &lt; 50</t>
  </si>
  <si>
    <t>Rural &lt; 60</t>
  </si>
  <si>
    <t>1. Interstate Freeway (Note 1)</t>
  </si>
  <si>
    <t>2. Other Freeway or Expressway (1)</t>
  </si>
  <si>
    <t>3. Other Principal Arterial (1)</t>
  </si>
  <si>
    <t>4. Minor Arterial</t>
  </si>
  <si>
    <t>5. Major Collector</t>
  </si>
  <si>
    <t>6. Minor Collector</t>
  </si>
  <si>
    <t>7. Local road</t>
  </si>
  <si>
    <t>Alignment of NZ ONF with previous NZ ONRC and US equivalent</t>
  </si>
  <si>
    <t>AADTperlane</t>
  </si>
  <si>
    <t>AADTperroad</t>
  </si>
  <si>
    <t>Civic Places</t>
  </si>
  <si>
    <t>Combining Nelson and Marlborough for All Roads</t>
  </si>
  <si>
    <t>4-7k</t>
  </si>
  <si>
    <t>&lt;1k</t>
  </si>
  <si>
    <t>Code</t>
  </si>
  <si>
    <t>Index</t>
  </si>
  <si>
    <t>NA</t>
  </si>
  <si>
    <t>NOT USED</t>
  </si>
  <si>
    <t>AADT/road</t>
  </si>
  <si>
    <t>7-12k</t>
  </si>
  <si>
    <t>&gt;12k</t>
  </si>
  <si>
    <t>1&lt;4k</t>
  </si>
  <si>
    <t>Immediately following rows map road types (left) to 5x2 groups, with the options available to the user (right) then determined by their Admin selection</t>
  </si>
  <si>
    <t>Viable Road Location list given region selected</t>
  </si>
  <si>
    <t>Viable Road Type list given Admin selected</t>
  </si>
  <si>
    <t>Immediately following rows map regions (left) to 3 within-city options, with the options available to the user (right) then determined by their Admin selection</t>
  </si>
  <si>
    <t>grouped with</t>
  </si>
  <si>
    <t>Road Location (within core city)</t>
  </si>
  <si>
    <t>AADT group (NB differs slightly to ONF Movement grouping)</t>
  </si>
  <si>
    <t>TLA group</t>
  </si>
  <si>
    <t>Average AADT (per lane) for road type</t>
  </si>
  <si>
    <t>Combined (green and blue) section used in lookup function (with ONF categories grouped) …</t>
  </si>
  <si>
    <t>Nelson Marlborough</t>
  </si>
  <si>
    <t>Includes Tasman as well</t>
  </si>
  <si>
    <t>Manawatu/Whanganui</t>
  </si>
  <si>
    <t>Posted speed limit of new (or improved) road (kph):</t>
  </si>
  <si>
    <t>Initial Road Attibutes (superceded)</t>
  </si>
  <si>
    <t>Waka Kotahi_Transit Corridors</t>
  </si>
  <si>
    <t>Waka Kotahi_Urban Connectors</t>
  </si>
  <si>
    <t>Waka Kotahi_Interregional Connectors</t>
  </si>
  <si>
    <t>Waka Kotahi_Rural Connectors</t>
  </si>
  <si>
    <t>Waka Kotahi_NA</t>
  </si>
  <si>
    <t>Local TLA_City Hubs</t>
  </si>
  <si>
    <t>Local TLA_Urban Connectors</t>
  </si>
  <si>
    <t>Local TLA_Activity Streets</t>
  </si>
  <si>
    <t>Local TLA_Interregional Connectors</t>
  </si>
  <si>
    <t>Local TLA_Rural Connectors</t>
  </si>
  <si>
    <t>Rural</t>
  </si>
  <si>
    <t>Urban Arterial</t>
  </si>
  <si>
    <t>MBCM Table 16 values</t>
  </si>
  <si>
    <t>Tbl 16 Equiv</t>
  </si>
  <si>
    <t>Road Type Ref mapping</t>
  </si>
  <si>
    <t>Short term NZ elasticity is minimum of long term NZ elasticity or short term local elasticity</t>
  </si>
  <si>
    <t>Proportion of traffic diverted from other routes</t>
  </si>
  <si>
    <t>Incl override if given</t>
  </si>
  <si>
    <t>Road data for selected region</t>
  </si>
  <si>
    <t>Local LTA</t>
  </si>
  <si>
    <t>Local LTA Roads</t>
  </si>
  <si>
    <t>Local LTA_Urban Connectors</t>
  </si>
  <si>
    <t>Local LTA_Activity Streets</t>
  </si>
  <si>
    <t>Local LTA_Rural Connectors</t>
  </si>
  <si>
    <t>Local LTA_Interregional Connectors</t>
  </si>
  <si>
    <t>Local LTA_City Hubs</t>
  </si>
  <si>
    <t>LTA Roads</t>
  </si>
  <si>
    <t>NOTES (including via links)</t>
  </si>
  <si>
    <t>Note on city location</t>
  </si>
  <si>
    <t>Note on tolls</t>
  </si>
  <si>
    <t>Note on distance</t>
  </si>
  <si>
    <t>Change in distance (km):</t>
  </si>
  <si>
    <t>Long term (before adjustment for PT and land use):</t>
  </si>
  <si>
    <t>Elasticity for road class and administrator</t>
  </si>
  <si>
    <t>Lane-km elasticity to apply following GC adjustment and potential override</t>
  </si>
  <si>
    <t>Adjusted for GC or Override</t>
  </si>
  <si>
    <t>Tolling on new (or widened) road ($):</t>
  </si>
  <si>
    <t>AADT of nearest alternate (if known)*:</t>
  </si>
  <si>
    <t>Length of nearest alternative route*:</t>
  </si>
  <si>
    <t>Posted speed limit nearest alternative roads (kph)*:</t>
  </si>
  <si>
    <t>Number of lanes on nearest alternative route*:</t>
  </si>
  <si>
    <t>Road Clasification of Alternative Road*:</t>
  </si>
  <si>
    <t>Road Classification of New Road*:</t>
  </si>
  <si>
    <t>AADT of existing roads (if known)*:</t>
  </si>
  <si>
    <t>Posted speed limit of existing roads (kph)*:</t>
  </si>
  <si>
    <t>Road Classification before*:</t>
  </si>
  <si>
    <t>Road Classification after*:</t>
  </si>
  <si>
    <t>Case 1</t>
  </si>
  <si>
    <t>Case 2</t>
  </si>
  <si>
    <t>(account for any other GTC components additional to Link TTC &amp; VOC)</t>
  </si>
  <si>
    <t>Case</t>
  </si>
  <si>
    <t>STEP 2 Ref</t>
  </si>
  <si>
    <t>Tolling on nearest alternative roads ($)*:</t>
  </si>
  <si>
    <t>Tolling on existing road ($)*:</t>
  </si>
  <si>
    <t>Value of Time ($/hr)</t>
  </si>
  <si>
    <t>Case 1 - Modify Existing Road</t>
  </si>
  <si>
    <t>Case 2 - Add a New Road</t>
  </si>
  <si>
    <t>CASE 1</t>
  </si>
  <si>
    <t>CASE 2</t>
  </si>
  <si>
    <t>More …</t>
  </si>
  <si>
    <t>In a nutshell …</t>
  </si>
  <si>
    <t>Method3</t>
  </si>
  <si>
    <t>Method2</t>
  </si>
  <si>
    <t>Method1</t>
  </si>
  <si>
    <t>Links referenced</t>
  </si>
  <si>
    <t>Initial lane-km elasticities</t>
  </si>
  <si>
    <t>MBCM Table A14</t>
  </si>
  <si>
    <t>Wiki on 4-step transport model</t>
  </si>
  <si>
    <t>Data issues ...</t>
  </si>
  <si>
    <t>Local Government New Zealand South Island map</t>
  </si>
  <si>
    <t>Local Government New Zealand North Island map</t>
  </si>
  <si>
    <t>Data available by ONF</t>
  </si>
  <si>
    <t>ONF mapping to US road classes and previous NZ ONRC classification</t>
  </si>
  <si>
    <t>Wiki on GC (for transport)</t>
  </si>
  <si>
    <t>Average trip distance for corridors in inner, middle and fringe parts of Auckland, Wellington and Christchurch</t>
  </si>
  <si>
    <t xml:space="preserve">Otherwise assume short-term = 60% of long-term </t>
  </si>
  <si>
    <t>Add</t>
  </si>
  <si>
    <t>Click on + to left to expand step</t>
  </si>
  <si>
    <t>Estimate VKT based on travel cost changes</t>
  </si>
  <si>
    <t>Adjust for diverted traffic</t>
  </si>
  <si>
    <t>Present results</t>
  </si>
  <si>
    <t>Step</t>
  </si>
  <si>
    <t>Task</t>
  </si>
  <si>
    <t>Description</t>
  </si>
  <si>
    <t>This tool combines two methods to indicate the induced VKT from a road project. It consists of 5 steps, as follows.</t>
  </si>
  <si>
    <t xml:space="preserve">Step 1. </t>
  </si>
  <si>
    <t xml:space="preserve">Step 2. </t>
  </si>
  <si>
    <t xml:space="preserve">Step 3. </t>
  </si>
  <si>
    <t xml:space="preserve">Step 4. </t>
  </si>
  <si>
    <t xml:space="preserve">Step 5. </t>
  </si>
  <si>
    <t>Diagram of NZ ONF ...</t>
  </si>
  <si>
    <t>A. Unadjusted estimate of long-term local extra VKT (km/day):</t>
  </si>
  <si>
    <t>This tool should be viewed as an indicative estimate, to be confirmed by transport modelling.</t>
  </si>
  <si>
    <t>Note. Elasticity override #1</t>
  </si>
  <si>
    <t>Note: Regions</t>
  </si>
  <si>
    <t>Note: Admin</t>
  </si>
  <si>
    <t>Note: ONF</t>
  </si>
  <si>
    <t>Note: Methods</t>
  </si>
  <si>
    <t>Note: Lanes</t>
  </si>
  <si>
    <t>Note: Existing PT</t>
  </si>
  <si>
    <t>Note: Land use</t>
  </si>
  <si>
    <t>Note: Elasticity override #2</t>
  </si>
  <si>
    <t>Leave blank to use defaults</t>
  </si>
  <si>
    <t>Note: Diverted traffic</t>
  </si>
  <si>
    <t>Combined lane-km elasticity and cost elasticity tool to indicate induced traffic</t>
  </si>
  <si>
    <r>
      <t>Implied average AADT for road class in region (</t>
    </r>
    <r>
      <rPr>
        <b/>
        <sz val="11"/>
        <color theme="1" tint="0.499984740745262"/>
        <rFont val="Calibri"/>
        <family val="2"/>
        <scheme val="minor"/>
      </rPr>
      <t>vehicles per road</t>
    </r>
    <r>
      <rPr>
        <sz val="11"/>
        <color theme="1" tint="0.499984740745262"/>
        <rFont val="Calibri"/>
        <family val="2"/>
        <scheme val="minor"/>
      </rPr>
      <t>):</t>
    </r>
  </si>
  <si>
    <t>Lane-kms 
(kms)</t>
  </si>
  <si>
    <t>Average AADT 
(per lane)</t>
  </si>
  <si>
    <t>Lane-km elasticity to carry forward:</t>
  </si>
  <si>
    <t>Local Streets
Civic Places
Stopping Places (LTA)</t>
  </si>
  <si>
    <t>Rural Connectors (LTA)</t>
  </si>
  <si>
    <t>LTA= LTA administered</t>
  </si>
  <si>
    <t>NZ Strategic significance (ONRC)</t>
  </si>
  <si>
    <t>Glossary of terms</t>
  </si>
  <si>
    <t>Link</t>
  </si>
  <si>
    <t>https://en.wikipedia.org/wiki/Generalised_cost</t>
  </si>
  <si>
    <t>Average Annual Daily Traffic volume (typically reported as 2-way traffic  across a "screenline" on a road but can also be reported per lane)</t>
  </si>
  <si>
    <t>https://en.wikipedia.org/wiki/Elasticity_(economics)</t>
  </si>
  <si>
    <t>Transport model</t>
  </si>
  <si>
    <t>Can be a wide variety of models but often referring to a 4-step travel model</t>
  </si>
  <si>
    <t>Notes on Method 3</t>
  </si>
  <si>
    <t>Lane-kms</t>
  </si>
  <si>
    <t>Notes on Lanes</t>
  </si>
  <si>
    <t>Dual and single carriageway</t>
  </si>
  <si>
    <t>https://en.wikipedia.org/wiki/Dual_carriageway</t>
  </si>
  <si>
    <t>Short-term and long-term</t>
  </si>
  <si>
    <t>Induced demand effects are typically measured over a short-term of 3-years or less and long-term is often around 10 years.</t>
  </si>
  <si>
    <t>Notes on Short-term</t>
  </si>
  <si>
    <t>MBCM</t>
  </si>
  <si>
    <t>Monetised Benefits and Costs Manual (of Waka Kotahi)</t>
  </si>
  <si>
    <t>https://www.nzta.govt.nz/resources/monetised-benefits-and-costs-manual/</t>
  </si>
  <si>
    <t>Note: Glossary</t>
  </si>
  <si>
    <t>Note: Short-term</t>
  </si>
  <si>
    <t>NZ regional road data for 2019/20 (pre-Covid)</t>
  </si>
  <si>
    <t>(overview and more detail on Methods)</t>
  </si>
  <si>
    <t>Project and tool run identifier:</t>
  </si>
  <si>
    <t>Territorial Local Authorities (TLA) administered roads</t>
  </si>
  <si>
    <t>Waka Kotahi or TLA administered roads:</t>
  </si>
  <si>
    <t>NZ Road Classification (ONF):</t>
  </si>
  <si>
    <t>NZ Region:</t>
  </si>
  <si>
    <t>=no. of lanes x road length</t>
  </si>
  <si>
    <t>=new lane-kms / existing class lane-kms</t>
  </si>
  <si>
    <r>
      <rPr>
        <sz val="11"/>
        <color rgb="FF7F7F7F"/>
        <rFont val="Calibri"/>
        <family val="2"/>
      </rPr>
      <t>≈</t>
    </r>
    <r>
      <rPr>
        <i/>
        <sz val="11"/>
        <color rgb="FF7F7F7F"/>
        <rFont val="Calibri"/>
        <family val="2"/>
        <scheme val="minor"/>
      </rPr>
      <t>elasticity x %</t>
    </r>
    <r>
      <rPr>
        <i/>
        <sz val="11"/>
        <color rgb="FF7F7F7F"/>
        <rFont val="Symbol"/>
        <family val="1"/>
        <charset val="2"/>
      </rPr>
      <t>D</t>
    </r>
    <r>
      <rPr>
        <i/>
        <sz val="11"/>
        <color rgb="FF7F7F7F"/>
        <rFont val="Calibri"/>
        <family val="2"/>
        <scheme val="minor"/>
      </rPr>
      <t>lane-kms x existing class VKT</t>
    </r>
  </si>
  <si>
    <t>More (see links above to more detail on each method) …</t>
  </si>
  <si>
    <t>GC composition</t>
  </si>
  <si>
    <t xml:space="preserve">Bucsky, P., &amp; Juhász, M. (2022). </t>
  </si>
  <si>
    <t>Garcia-Lopez, M.-A., Pasidis, I., &amp; Viladecans-Marsal, E. (2020)</t>
  </si>
  <si>
    <t>Adjusted for PT &amp; land use (or overridden)</t>
  </si>
  <si>
    <t>ONF groups as used in this tool (including diagrams and photos below in report "ONF One Detailed Design")</t>
  </si>
  <si>
    <t>Examples of NZ ONF road classes (use filter to go direct to class example) …</t>
  </si>
  <si>
    <t>not used here</t>
  </si>
  <si>
    <t>Diversion factor for long-term elasticity</t>
  </si>
  <si>
    <t xml:space="preserve"> Adjustments applied directly now</t>
  </si>
  <si>
    <t>Assumed default proportion due to traffic diversion</t>
  </si>
  <si>
    <t>After including trafiic diversion</t>
  </si>
  <si>
    <t xml:space="preserve"> (any extra land use effects assumed not due to diversion)</t>
  </si>
  <si>
    <t>Uses midpoint density elasticity only at present to form 2 tables above</t>
  </si>
  <si>
    <t xml:space="preserve"> (enters directly into GC calc now)</t>
  </si>
  <si>
    <t>Source: Litman and Steele (2023) for elasticities</t>
  </si>
  <si>
    <t>Induced VKT long-term within locality per day</t>
  </si>
  <si>
    <t>=Induced VKT long-term within NZ per day</t>
  </si>
  <si>
    <t>Diversion rate</t>
  </si>
  <si>
    <t>Examples (hypothetical to illustrate diversion rate calculation) …</t>
  </si>
  <si>
    <t>- VKT reduction on other roads (locally or nationally)</t>
  </si>
  <si>
    <t>Strong</t>
  </si>
  <si>
    <t>Not strong</t>
  </si>
  <si>
    <t>Strong-to-Not Strong design effect</t>
  </si>
  <si>
    <t>Effect of density with "strong" design</t>
  </si>
  <si>
    <t>Effect of density with "not strong" design</t>
  </si>
  <si>
    <t>----------- when other modes strong  -----------</t>
  </si>
  <si>
    <t>--------- with other modes not strong -------</t>
  </si>
  <si>
    <t>Adjusted for PT</t>
  </si>
  <si>
    <t>Adjusted for Land use</t>
  </si>
  <si>
    <t>(1) No land use effect</t>
  </si>
  <si>
    <t>(4) No land use effect</t>
  </si>
  <si>
    <t>(1)</t>
  </si>
  <si>
    <t>(2)</t>
  </si>
  <si>
    <t>(3)</t>
  </si>
  <si>
    <t>Extra VKT generated due to relatively more people taking longer trips (ie, relatively more people living in fringe area and less living closer to the CBD) - change in VKT due to land use change is not a diversion but a change in travel behaviour</t>
  </si>
  <si>
    <t>(4)-(6)</t>
  </si>
  <si>
    <t>(1)-(3) repeated but will lower initial VKT effect due to the presence of a strong PT service (NB land use effect calculated independent of PT effect - a simplification used for the tool)</t>
  </si>
  <si>
    <t>Explanation of examples:</t>
  </si>
  <si>
    <t>Default 50% of induced VKT within locality assumed to be due to reduced VKT in (a) other parts of the locality (from re-routing, destination changes) and/or (b) outside the locality (from migration)</t>
  </si>
  <si>
    <t>Extra VKT now reduced due to relatively more people taking shorter trips (ie, relatively more people living in central area and less living further from the CBD) - change in VKT due to land use change is not a diversion but a change in travel behaviour</t>
  </si>
  <si>
    <t>C. Earlier estimates adjusted for cost and other factors to give local VKT point estimate of:</t>
  </si>
  <si>
    <t>... VKT change due to relatively more (less) residential development in vicinity of project</t>
  </si>
  <si>
    <t>… VKT change due to other behavioural changes</t>
  </si>
  <si>
    <t>Notes on land use change</t>
  </si>
  <si>
    <t>(2) More fringe city development*</t>
  </si>
  <si>
    <t>(3) More central city development*</t>
  </si>
  <si>
    <t>(5) More fringe city development*</t>
  </si>
  <si>
    <t>(6) More central city development*</t>
  </si>
  <si>
    <t>* Relatively more/less development is in terms of future projections rather than current houses being relocated</t>
  </si>
  <si>
    <t>Notes on diversion</t>
  </si>
  <si>
    <t>Land use scaling rule applied within tool</t>
  </si>
  <si>
    <t>Land use scaling rule applied - VKT scaled by factors in two tables immediately below</t>
  </si>
  <si>
    <t>&lt;-- Main difference cf. Case 1 is not allowing a decrease in GCT relative to existing situation</t>
  </si>
  <si>
    <t xml:space="preserve">VKT change based on new road length. There should also be an additional reduction in VKT for some of the existing nearest route users (that switch to the new route) which we are not currently taking into account.  But the flow reduction on the alternative route will also induce traffic (a cascading effect)  ... </t>
  </si>
  <si>
    <t>Lee (2000)</t>
  </si>
  <si>
    <t>Change selections to update regional road data (shown to right)</t>
  </si>
  <si>
    <t>Regional VKT per day 
(kms)</t>
  </si>
  <si>
    <t>Click + to left to expand step</t>
  </si>
  <si>
    <t>The tool builds up an estimate (from A to D) of the long-term VKT effect for NZ in 5 steps (click + to left to expand each step).</t>
  </si>
  <si>
    <t>Enter 0 if unknown</t>
  </si>
  <si>
    <t>AADT (for road) used for calculation:</t>
  </si>
  <si>
    <t>General Parameters</t>
  </si>
  <si>
    <t>Input default % of VKT due to displacement</t>
  </si>
  <si>
    <t>of local area VKT effect</t>
  </si>
  <si>
    <t>Choose US road class equivalent:</t>
  </si>
  <si>
    <t>NZ road class</t>
  </si>
  <si>
    <t>US road class</t>
  </si>
  <si>
    <t>Vehicle Kilometres Travelled (sometimes reported per day or per year; and can be reported per lane, road, region or NZ)</t>
  </si>
  <si>
    <t>Duranton &amp; Turner (2011)</t>
  </si>
  <si>
    <t>More on economic background …</t>
  </si>
  <si>
    <t>More detail on the calculation used in the tool …</t>
  </si>
  <si>
    <t>Method 2</t>
  </si>
  <si>
    <t>Enter 0 if new road</t>
  </si>
  <si>
    <t>B. Alternative estimate of long-term local extra VKT (km/day):</t>
  </si>
  <si>
    <t>Step 1 elasticity scaled by B/A</t>
  </si>
  <si>
    <t>Implied change in distance (km):</t>
  </si>
  <si>
    <t>Ignore if Case 1</t>
  </si>
  <si>
    <t>Enter 0 if no current tolls</t>
  </si>
  <si>
    <t>% change in GTC</t>
  </si>
  <si>
    <t>Check as intended</t>
  </si>
  <si>
    <t>Extra lane-kms (km)</t>
  </si>
  <si>
    <t>Provide the adjusted VKT estimates and summary</t>
  </si>
  <si>
    <t>Elasticity overrides applied</t>
  </si>
  <si>
    <t>Land use effects applied</t>
  </si>
  <si>
    <t>Diversion overrides applied</t>
  </si>
  <si>
    <t>or blank if Step 2 not used or cannot derive an answer</t>
  </si>
  <si>
    <t>Note that this intial version may not (yet) include all Road Type Lane and Speed Combinations.</t>
  </si>
  <si>
    <t>Therefore choices have been restricted (via Cols P&amp;Q) to valid curves</t>
  </si>
  <si>
    <t>Note that this intial version may not (yet) include Speed Flow Curves for all Road Type Lane and Speed Combinations.</t>
  </si>
  <si>
    <t>Note for Step 2:</t>
  </si>
  <si>
    <t>Therefore choices have been restricted (via drop down menues) to availble curves for the road type and lane configurations</t>
  </si>
  <si>
    <t>Enable</t>
  </si>
  <si>
    <t>(If an error occurs, a likely reason is a Speed/Flow curve does not (yet) exist for the given combination of inputs)</t>
  </si>
  <si>
    <t>Filter 1 (AADT for road too low for large effect)</t>
  </si>
  <si>
    <t>(repeated here but treated as above)</t>
  </si>
  <si>
    <t>Millions VKT per year</t>
  </si>
  <si>
    <t>VKT per day</t>
  </si>
  <si>
    <t>Of which, the (less certain) land use effect is:</t>
  </si>
  <si>
    <t>including induced land use effect</t>
  </si>
  <si>
    <t>Note, typically around 50-60% of the VKT effect will occur within 1-3 years (ie, in the short-term)</t>
  </si>
  <si>
    <t>Results repeated to left as summary for printing (suggest collapse row groups first)</t>
  </si>
  <si>
    <t>Label</t>
  </si>
  <si>
    <t>Induced demand rating (tentative):</t>
  </si>
  <si>
    <t>(Likely to generally be "Low")</t>
  </si>
  <si>
    <t>% of NZ</t>
  </si>
  <si>
    <t>Threshold</t>
  </si>
  <si>
    <r>
      <t xml:space="preserve">The following is a </t>
    </r>
    <r>
      <rPr>
        <b/>
        <u/>
        <sz val="11"/>
        <color theme="1"/>
        <rFont val="Calibri"/>
        <family val="2"/>
        <scheme val="minor"/>
      </rPr>
      <t>relative</t>
    </r>
    <r>
      <rPr>
        <b/>
        <sz val="11"/>
        <color theme="1"/>
        <rFont val="Calibri"/>
        <family val="2"/>
        <scheme val="minor"/>
      </rPr>
      <t xml:space="preserve"> indicator of the induced demand</t>
    </r>
  </si>
  <si>
    <t>Induced demand</t>
  </si>
  <si>
    <t>Suppressed traffic demand</t>
  </si>
  <si>
    <t>Latent travel demand</t>
  </si>
  <si>
    <t>ONF</t>
  </si>
  <si>
    <t>The NZ road classification system One Network Framework</t>
  </si>
  <si>
    <t>Notes on ONF</t>
  </si>
  <si>
    <t>TLA</t>
  </si>
  <si>
    <t>Territorial local authority (ie, the district and city councils of NZ)</t>
  </si>
  <si>
    <t>Notes on Regions</t>
  </si>
  <si>
    <t>&lt;--- Note if new road length &gt; avg trip length for location, then full trip length set to new road length rather than average</t>
  </si>
  <si>
    <t>Average trip length (km):</t>
  </si>
  <si>
    <t>Existing Road V/C:</t>
  </si>
  <si>
    <t>New Road V/C:</t>
  </si>
  <si>
    <t>Additional AADT (#vehicles):</t>
  </si>
  <si>
    <t>Additional AADT (%):</t>
  </si>
  <si>
    <t>VEPM Input</t>
  </si>
  <si>
    <r>
      <t>CO</t>
    </r>
    <r>
      <rPr>
        <b/>
        <vertAlign val="subscript"/>
        <sz val="12"/>
        <rFont val="Calibri"/>
        <family val="2"/>
        <scheme val="minor"/>
      </rPr>
      <t>2</t>
    </r>
    <r>
      <rPr>
        <b/>
        <sz val="12"/>
        <rFont val="Calibri"/>
        <family val="2"/>
        <scheme val="minor"/>
      </rPr>
      <t>-e (g/km)</t>
    </r>
  </si>
  <si>
    <t>S/C</t>
  </si>
  <si>
    <t>Hourly Flow (peak direction)</t>
  </si>
  <si>
    <t xml:space="preserve"> </t>
  </si>
  <si>
    <t>Superseded:</t>
  </si>
  <si>
    <t>Filter Current Selectable Speed Lists for Stage 2</t>
  </si>
  <si>
    <t>Note that if Step 2 is enabled, then choices will be limited based on available Speed Flow curves for selected road type (see further note below)</t>
  </si>
  <si>
    <t>Lane index</t>
  </si>
  <si>
    <t>Local LTA_NA</t>
  </si>
  <si>
    <t>NA Backup</t>
  </si>
  <si>
    <t>Simplified GCT Calcs - Direct estimate of VKT increase based on GCT (just using travel time as a proxy for GCT)</t>
  </si>
  <si>
    <t>Much of the complexity associated with Step 2 of the Tool is related to the volume delay curves and iterations to balance flow chages with GTC.</t>
  </si>
  <si>
    <t>Cell Colour Coding:</t>
  </si>
  <si>
    <t>User Input</t>
  </si>
  <si>
    <t>Value calculated from other user inputs (e.g. lookup tables)</t>
  </si>
  <si>
    <t>Copied from a previous step</t>
  </si>
  <si>
    <t>1) Base Full Length Avg Trip Data</t>
  </si>
  <si>
    <t>Existing Avg Full Trip Length (associated users of link to be improved)</t>
  </si>
  <si>
    <t>km</t>
  </si>
  <si>
    <t>Table 1</t>
  </si>
  <si>
    <t>Existing Avg Speed of Full Trip Length</t>
  </si>
  <si>
    <t>kph</t>
  </si>
  <si>
    <t>Exiting GCT of Full Trip Distance</t>
  </si>
  <si>
    <t>mins</t>
  </si>
  <si>
    <t>Existing AADT (on Link or Corridor)</t>
  </si>
  <si>
    <t>veh per day</t>
  </si>
  <si>
    <t>(User Specified, or from Lane-km Step 1 section)</t>
  </si>
  <si>
    <t>2) Calculate Change to Sub Area GTC due to Road Configuration Changes</t>
  </si>
  <si>
    <t>Sub Area Length of Change</t>
  </si>
  <si>
    <t>Existing Avg Speed of Sub Areal Trip Length</t>
  </si>
  <si>
    <t>Existing GCT of Sub Area Trip Distance</t>
  </si>
  <si>
    <t>Proposed Avg Speed of Sub Areal Trip Length</t>
  </si>
  <si>
    <t>Proposed GCT of Sub Area Trip Distance</t>
  </si>
  <si>
    <t>Sub Area GTC Change</t>
  </si>
  <si>
    <t>2) Calculate Change to Full Trip GTC due to Road Configuration Changes</t>
  </si>
  <si>
    <t>Existing GCT of Full Trip</t>
  </si>
  <si>
    <t>Proposed GCT of Full Trip</t>
  </si>
  <si>
    <t xml:space="preserve">GCT Change % </t>
  </si>
  <si>
    <t>4) Calculate Change in demand and VKT</t>
  </si>
  <si>
    <t>GTC elasticity</t>
  </si>
  <si>
    <t xml:space="preserve">Table A14 MCBM </t>
  </si>
  <si>
    <t>% Demand Change</t>
  </si>
  <si>
    <t xml:space="preserve">VKT Change </t>
  </si>
  <si>
    <t>km per day</t>
  </si>
  <si>
    <t xml:space="preserve">The calculations below provide a simplified 'bare bone' sequence of calcs to illustrate how the GTC model (Step 2 in the Tool) works in an easy to follow manner.  </t>
  </si>
  <si>
    <t>In this case, Travel time has been used as a proxy for full GTC.  In the actual Tool, Vehicle Operating Costs and Other user specified values (e.g. tolls) are also included.</t>
  </si>
  <si>
    <t>(Established by looking up Road Location in Table 1)</t>
  </si>
  <si>
    <t>(Simplified GTC using only TTC for illustrative purposes)</t>
  </si>
  <si>
    <t>(User Specified in Step 1 of the tool)</t>
  </si>
  <si>
    <t>(Based on volume delay curves for roadtype/lanes/speed)</t>
  </si>
  <si>
    <t>t=d/s (Simplified GTC using only TTC for illustrative purposes)</t>
  </si>
  <si>
    <t>E101 - E99 (-ve is improvement in GTC)</t>
  </si>
  <si>
    <t>(copied from row 92)</t>
  </si>
  <si>
    <t>(copied from row 102)</t>
  </si>
  <si>
    <t>E105 + E106</t>
  </si>
  <si>
    <t>E106/E105</t>
  </si>
  <si>
    <t>(Arc Elasticity - Tool uses Point elasticity with iterations)</t>
  </si>
  <si>
    <t>E112*E93</t>
  </si>
  <si>
    <t>E113*E90</t>
  </si>
  <si>
    <t>Road data for Canterbury (selected class in red)</t>
  </si>
  <si>
    <t>Not Congested</t>
  </si>
  <si>
    <t>*Collector, max =100, 2 ln</t>
  </si>
  <si>
    <t>*Collector, max =90, 2 ln</t>
  </si>
  <si>
    <t>*Collector, max =80, 2 ln</t>
  </si>
  <si>
    <t>*Collector, max =70, 2 ln</t>
  </si>
  <si>
    <t>*Collector, max =60, 2 ln</t>
  </si>
  <si>
    <t>*Collector, max =30, 2 ln</t>
  </si>
  <si>
    <t>*Collector, max =20, 2 ln</t>
  </si>
  <si>
    <t>Case 2 Lane addition</t>
  </si>
  <si>
    <t>Generally will be "Not strong"</t>
  </si>
  <si>
    <t>Length of new or widened road (km):</t>
  </si>
  <si>
    <t>Method 2. 
Cost (GTC) elasticity</t>
  </si>
  <si>
    <t>Estimate VKT change based on (minimal) lane-km information</t>
  </si>
  <si>
    <t>#3 Lane-km elasticity provided by the tool (to right)</t>
  </si>
  <si>
    <t>Implied by international research as suited for road type</t>
  </si>
  <si>
    <t>(c) any mitigation to be undertaken (see Steps 2 and 3)</t>
  </si>
  <si>
    <t>(d) the extent that traffic have been diverted from elsewhere (Step 4)</t>
  </si>
  <si>
    <t>It is recommended that time is taken to cosnider each step.</t>
  </si>
  <si>
    <t>from current regional data</t>
  </si>
  <si>
    <t>Number of existing lanes (the BEFORE):</t>
  </si>
  <si>
    <t>Lane number after adding new lanes (the AFTER):</t>
  </si>
  <si>
    <t>=AFTER #lanes - BEFORE #lanes</t>
  </si>
  <si>
    <t>(b) the project AADT may differ from the existing class average AADT (see Step 2)</t>
  </si>
  <si>
    <t>Is set to 0 if Step 2 skipped or error</t>
  </si>
  <si>
    <t>END of step 1 inputs</t>
  </si>
  <si>
    <t>Approx Base Flow/Lane (vph):</t>
  </si>
  <si>
    <t>Estimated Congested Speed AFTER (kph)</t>
  </si>
  <si>
    <t>Estimated Congested Speed BEFORE (kph)</t>
  </si>
  <si>
    <t>Case follows from existing lanes given above</t>
  </si>
  <si>
    <t>Implied % GTC change (after tolls):</t>
  </si>
  <si>
    <t>#1 Selecet existing roads to be used as base for comparison:</t>
  </si>
  <si>
    <t>END of step 2 inputs</t>
  </si>
  <si>
    <t>Choose between A and B (or other), then adjust for other known factors</t>
  </si>
  <si>
    <t>#9 If required, choose to override default elasticity (otherwise default (green tick) used)</t>
  </si>
  <si>
    <t>Step 1 Lane-km elasticity estimate A</t>
  </si>
  <si>
    <t>Step 2 Lane-km elasticity implied by B</t>
  </si>
  <si>
    <t>#2 Input project data to determine length of new road lanes:</t>
  </si>
  <si>
    <t>#4 Select if to enable step 2 (or disable)</t>
  </si>
  <si>
    <t>#6Speed flow curves provided by the tool (to right)</t>
  </si>
  <si>
    <t>#7 Input tolls to be applied (and existing if applicable)</t>
  </si>
  <si>
    <t>#8 MBCM-reported cost elasticity applied (implict in formula to right)</t>
  </si>
  <si>
    <t>#10 If required, input PT mode share rating and land use information</t>
  </si>
  <si>
    <t>#11 If required, choose to override default adjusted elasticity (otherwise shown to right)</t>
  </si>
  <si>
    <t>END of step 3 inputs</t>
  </si>
  <si>
    <t>Input alternative long-term elasticity, if required:</t>
  </si>
  <si>
    <t>#12 If required, choose to override default % diverted from other roads (otherwise shown to right)</t>
  </si>
  <si>
    <t>Default 50% adjusted by land use factors or override</t>
  </si>
  <si>
    <t>Input alternative % traffic diverted, if required:</t>
  </si>
  <si>
    <t>Top of range eg, adding 40km to Auckland motorways</t>
  </si>
  <si>
    <t>Top of range. VKT above 250k</t>
  </si>
  <si>
    <t>Mid range. VKT 50-250k</t>
  </si>
  <si>
    <t>Bottom of range. VKT less than 50k</t>
  </si>
  <si>
    <t>Mid range eg, adding 40km to Christchurch motorways</t>
  </si>
  <si>
    <t>Bottom of range - many NZ roads</t>
  </si>
  <si>
    <r>
      <t>CO</t>
    </r>
    <r>
      <rPr>
        <b/>
        <vertAlign val="subscript"/>
        <sz val="9"/>
        <rFont val="Calibri"/>
        <family val="2"/>
        <scheme val="minor"/>
      </rPr>
      <t>2</t>
    </r>
    <r>
      <rPr>
        <b/>
        <sz val="9"/>
        <rFont val="Calibri"/>
        <family val="2"/>
        <scheme val="minor"/>
      </rPr>
      <t>-e (2035) Tonnes/day</t>
    </r>
  </si>
  <si>
    <t>VKT has been rounded</t>
  </si>
  <si>
    <t>Suggested rating scale and range setting. Measures VKT effect relative to range of NZ transport projects.</t>
  </si>
  <si>
    <t xml:space="preserve">Takes road statistics for user-selected region and road class (#1), plus user-provided project data (#2), plus tool-provided lane-km elasticities (#3), to give initial unadjusted estimate of change in VKT (A) using international research on lane-km elasticities </t>
  </si>
  <si>
    <t>Uses a lane-km elasticity, either from A or implied by B or a user-provided override (#9), then adjusts for user-selected PT and land use factors (#10), and then allows provides another opportunity for a user-provided override (#11) (NB this step can be skipped)</t>
  </si>
  <si>
    <t>Applies a simple conversion factor, with the user ability to override (#12), to isolate extra national VKT</t>
  </si>
  <si>
    <t>Step 1. Estimate VKT change based on (minimal) lane-km information</t>
  </si>
  <si>
    <t/>
  </si>
  <si>
    <t>Step 2. Estimate VKT based on travel cost changes</t>
  </si>
  <si>
    <t>Step 2 possible as non Rural Road type selected</t>
  </si>
  <si>
    <t>#5 Input further project context for 'Case 2 - Add a New Road'</t>
  </si>
  <si>
    <t>AADT implies lane capacity is available</t>
  </si>
  <si>
    <t>AADT of nearest alternate road (if known)*:</t>
  </si>
  <si>
    <t>Low speed cut-off invoked</t>
  </si>
  <si>
    <t>Congested speed</t>
  </si>
  <si>
    <t>Step 2 has been calculated</t>
  </si>
  <si>
    <t>Step 3. Choose between A and B (or other), then adjust for other known factors</t>
  </si>
  <si>
    <t>Step 4. Adjust for diverted traffic</t>
  </si>
  <si>
    <t>Step 5. Present results</t>
  </si>
  <si>
    <t>You applied Step 2</t>
  </si>
  <si>
    <t>You chose default elasticities</t>
  </si>
  <si>
    <t>You applied land use effects</t>
  </si>
  <si>
    <t>You chose default diversion</t>
  </si>
  <si>
    <t>Tables of inputs used within Dashboard dropboxes in Steps 1,3-5</t>
  </si>
  <si>
    <t>Judgements made by research team</t>
  </si>
  <si>
    <t>Calculations undertaken in Steps 1,3-5 (given user provided and selected inputs)</t>
  </si>
  <si>
    <t>Convergence calculations undertaken in Steps 2 for case study 1 (Modify existing road)</t>
  </si>
  <si>
    <t>Convergence calculations undertaken in Steps 2 for case study 2 (Add new road)</t>
  </si>
  <si>
    <t>Mapping of US lane-km elasticities to NZ default lane-km elasticities</t>
  </si>
  <si>
    <t>Inputs from MBCM used in Step 2</t>
  </si>
  <si>
    <t>SATURN Vol/Delay Curves used in Step 2</t>
  </si>
  <si>
    <t>Volume Delay calculations undertaken in Steps 2</t>
  </si>
  <si>
    <t>See also</t>
  </si>
  <si>
    <t>Cost elasticity approach used in Step 2 (Method 2)</t>
  </si>
  <si>
    <t>nMethod2</t>
  </si>
  <si>
    <t>cConvergenceC1</t>
  </si>
  <si>
    <t>cConvergenceC2</t>
  </si>
  <si>
    <t>cVolDelay</t>
  </si>
  <si>
    <t>aMBCMtables</t>
  </si>
  <si>
    <t>aCASTCI</t>
  </si>
  <si>
    <t>Dashboard</t>
  </si>
  <si>
    <t>aLanekmElas</t>
  </si>
  <si>
    <t>pLanekmVKT</t>
  </si>
  <si>
    <t>User input</t>
  </si>
  <si>
    <t>nMethod1</t>
  </si>
  <si>
    <t>To be updated as more recent data becomes available</t>
  </si>
  <si>
    <t>Elasticity synthesis and matching to NZ road classes done by judgement of research project team</t>
  </si>
  <si>
    <t>The increase in demand for a good or service that results from an increase in the supply (in this case demand for road trips and supply of road capacity).</t>
  </si>
  <si>
    <t>The amount of traffic demand that is suppressed by the high travel costs, including additional costs created by congestion.</t>
  </si>
  <si>
    <t>Demand for travel that cannot be met because the supply (road or PT service) does not exist or the purchaser lacks knowledge of the service.</t>
  </si>
  <si>
    <t>Price elasticity of demand</t>
  </si>
  <si>
    <t>The percentage change in quantity demanded given a percentage change in price (which potentially can vary for different price changes).</t>
  </si>
  <si>
    <t>The kilometres of lane, typically measured within a road class and a region.</t>
  </si>
  <si>
    <t>Dual carriageways are separated lanes, typically referred to as motorways in NZ. A single carriageway does not a centre separator.</t>
  </si>
  <si>
    <t>The sum of the monetary and non-monetary costs of a journey.</t>
  </si>
  <si>
    <t>Generalised travel cost (GTC), or GC if generic costs</t>
  </si>
  <si>
    <t>Transport models (Method 3 not applied in this tool but recommended as next step)</t>
  </si>
  <si>
    <t>Add selection of NZTA reports here if preferred</t>
  </si>
  <si>
    <t>US paper showing relationship between lane-km and cost elasticity methods</t>
  </si>
  <si>
    <t>Overview of methods available for estimating VKT effects (including the 2 methods applied in this tool)</t>
  </si>
  <si>
    <t>Lane-km elasticity approach used in Step 1 (Method 1)</t>
  </si>
  <si>
    <t>Core US paper on induced demand</t>
  </si>
  <si>
    <t>Existing NZ road statistics (2019/20)</t>
  </si>
  <si>
    <t>Cost elasticity calculations undertaken in Steps 2 (given user provided and selected inputs)</t>
  </si>
  <si>
    <t>The source road data used for this tool</t>
  </si>
  <si>
    <t>Transport Insights database</t>
  </si>
  <si>
    <t>Alternative source of road data</t>
  </si>
  <si>
    <t>NZ road administration and road data</t>
  </si>
  <si>
    <t>NZ road classification system (ONF), including example diagrams</t>
  </si>
  <si>
    <t>Overview of GTC</t>
  </si>
  <si>
    <t>General description</t>
  </si>
  <si>
    <t>Overview of number of lanes</t>
  </si>
  <si>
    <t>Average distances assumed for trips originated from different parts of 3 large NZ cities</t>
  </si>
  <si>
    <t>Feature only available for Auckland, Wellington and Christchurch</t>
  </si>
  <si>
    <t>Source for NZ South Island (Te Waipounamu) map below</t>
  </si>
  <si>
    <t>Source for NZ North Island (Te Ika-a-Māui) map below</t>
  </si>
  <si>
    <t>Overview of NZ regions used within tool</t>
  </si>
  <si>
    <t>Waka Kotahi One Network Framework (ONF) webpage and notes</t>
  </si>
  <si>
    <t>Waka Kotahi database (including map)</t>
  </si>
  <si>
    <t>Beca (2014) discussion of tolling for Penlink business case</t>
  </si>
  <si>
    <t>Tool treatment of tolls (within Step 2)</t>
  </si>
  <si>
    <t>Overview of treatment of changes to trip distance (within Step 2)</t>
  </si>
  <si>
    <t>Tool treatment of PT available</t>
  </si>
  <si>
    <t>European evidence on PT effect on induced demand</t>
  </si>
  <si>
    <t>Tool treatment of land use</t>
  </si>
  <si>
    <t>Overview of short-run versus long-run induced demand effects</t>
  </si>
  <si>
    <t>Overview of override features within the tool</t>
  </si>
  <si>
    <t>Overview of the traffic diversion component of induced demand</t>
  </si>
  <si>
    <t>Instructions:</t>
  </si>
  <si>
    <t>May 2023</t>
  </si>
  <si>
    <t>Induced VKT Tool</t>
  </si>
  <si>
    <t>Prepared by ECPC Limited, QTP Limited and Peak Economics Limited</t>
  </si>
  <si>
    <r>
      <t xml:space="preserve">WARNING: the point estimates provided for a single project sit within wide probable ranges, say as wide as </t>
    </r>
    <r>
      <rPr>
        <sz val="11"/>
        <color rgb="FFFF0000"/>
        <rFont val="Calibri"/>
        <family val="2"/>
      </rPr>
      <t xml:space="preserve">± </t>
    </r>
    <r>
      <rPr>
        <i/>
        <sz val="9.25"/>
        <color rgb="FFFF0000"/>
        <rFont val="Calibri"/>
        <family val="2"/>
      </rPr>
      <t>80%</t>
    </r>
  </si>
  <si>
    <t>Tick confirms valid entries in boxes below</t>
  </si>
  <si>
    <t>Long term - without land use effects</t>
  </si>
  <si>
    <t>Long term - land use effects only</t>
  </si>
  <si>
    <t>Long term - including land use effects</t>
  </si>
  <si>
    <t>Land use effect calculated to be additive so that running tool with or without land use gives same ex-land use effect</t>
  </si>
  <si>
    <t>NB. Applying col G elasticity gives different result to col F, due to fixed land use effect being assumed</t>
  </si>
  <si>
    <t>Short-term not calculated</t>
  </si>
  <si>
    <t>Approximated above using %chg adjusted by elasticity (a common short-hand method)</t>
  </si>
  <si>
    <t>(Removed in final)</t>
  </si>
  <si>
    <t>&lt;-- AADT change cannot drop below DoMin for a new road</t>
  </si>
  <si>
    <t>1.	The logic of the lane-km section of the model rests heavily on the additional lanes being like the existing roads with the same classification. There is the risk that the roads within a regional class can vary from the new lanes of interest and hence the estimated VKT effect will be biased, either upward or downward. This risk is compounded with any changes over time to road classifications.</t>
  </si>
  <si>
    <t>2.	Likewise, the tool relies on AADT estimates and these estimates may be inaccurate, being either outdated or based on judgements rather than actual counts.</t>
  </si>
  <si>
    <t xml:space="preserve">3.	Within the GTC elasticity steps, there is the risk that the generic speed-flow curves may not be appropriate for the new lanes under consideration.  Also, it is possible to use combinations of inputs that are unrealistic (eg, an AADT that grossly exceeds the capacity of the road).  In these cases, we have provided warnings where possible. </t>
  </si>
  <si>
    <t>5.	The GTC model also focuses on the corridor of interest and therefore does not fully account for potential secondary ‘knock on’ VKT effects over the wider network.  Adjusting for this in a simple tool is difficult due to such a wide range of context specific factors.</t>
  </si>
  <si>
    <t>6.	Both estimation methods – lane-km and cost – use elasticities inferred from international research and a few local studies. Further research may reveal these elasticities to be inaccurate and, even if correct, the elasticities apply to a large set of projects. The results for any one project can differ widely. From this perspective, the tool is more suited to programme appraisal rather than project appraisal.</t>
  </si>
  <si>
    <t>7.	The scale of combined transport and land use effect is indicative only.</t>
  </si>
  <si>
    <t>(a) the magnitude of any change in travel cost - a cost reduction is likely required to induce demand(see Step 2)</t>
  </si>
  <si>
    <t>WARNING: Estimate B (to right) may not be calculated or may be inaccurate under these situations (below):</t>
  </si>
  <si>
    <t>WARNING: Estimate A (to right) does not consider other factors (below), which can be considered in the next steps:</t>
  </si>
  <si>
    <t>4.	The GTC model functionality for a new road (eg, bypass), rather than a widening of an existing road, is simplistic as it assumes that the new road costs are comparable with an alternative ‘generic’ route of similar function and distance, and which has its capacity constrained by the (alternative route) user specified speed and lane configuration.  Methods that calculate the cost of the new and nearest alternative roads and then distribute existing and induced traffic over both routes precisely were considered but found to be too complex for the current spreadsheet-based tool.</t>
  </si>
  <si>
    <t>2. It is suggested that you save each run as a unique filename and restart the next run from the initial workbook (as there is no reset feature)</t>
  </si>
  <si>
    <t>Key risks with application of this tool</t>
  </si>
  <si>
    <t>The tool builds up an estimate (from A to D) of the long-term VKT effect for NZ in 5 steps (click +/- to left to expand/collapse each step).</t>
  </si>
  <si>
    <t>It is recommended that time is taken to consider each step.</t>
  </si>
  <si>
    <t xml:space="preserve">Takes road statistics for user-selected region and road class (see #1), plus user-provided project data (#2), plus tool-provided lane-km elasticities (#3), to give initial unadjusted estimate of change in VKT (labelled A) using international research on lane-km elasticities </t>
  </si>
  <si>
    <t>#1 Select existing roads to be used as base for comparison:</t>
  </si>
  <si>
    <t>Change selections to update regional road data (which will show to right)</t>
  </si>
  <si>
    <t>#4 Select to enable or disable Step 2</t>
  </si>
  <si>
    <t>(a) the magnitude of any change in travel cost - a cost reduction is likely required to induce demand (see Step 2)</t>
  </si>
  <si>
    <t>(d) the extent that traffic have been diverted from elsewhere (see Step 4)</t>
  </si>
  <si>
    <t>#6 Speed flow curves provided by the tool (to right)</t>
  </si>
  <si>
    <r>
      <t xml:space="preserve">WARNING: the point estimates which are provided for a single project sit within wide probable ranges, say as wide as </t>
    </r>
    <r>
      <rPr>
        <sz val="11"/>
        <color rgb="FFFF0000"/>
        <rFont val="Calibri"/>
        <family val="2"/>
      </rPr>
      <t xml:space="preserve">± </t>
    </r>
    <r>
      <rPr>
        <i/>
        <sz val="9.25"/>
        <color rgb="FFFF0000"/>
        <rFont val="Calibri"/>
        <family val="2"/>
      </rPr>
      <t>80%</t>
    </r>
  </si>
  <si>
    <t>Fits with D41 (Location within City)</t>
  </si>
  <si>
    <t>Vehicles per road. Enter 0 if unknown</t>
  </si>
  <si>
    <t>Matched to location within city</t>
  </si>
  <si>
    <t>Proceed with caution. Further transport modelling is recommended where induced demand is considered important</t>
  </si>
  <si>
    <t>If Step 2 is enabled (see #4), then  a second estimate of change in VKT (labelled B) is made from user-provided project data (#5), plus tool-provided speed-flow curves (#6), plus user-provided tolls (#7), plus MBCM-reported cost elasticities (#8). IMPORTANT: results are sensitive to current AADT and implied congestion levels.</t>
  </si>
  <si>
    <t>Tool will ignore Step 2 if set to 'Disable"</t>
  </si>
  <si>
    <t>Uses I32 value if D40 is 0</t>
  </si>
  <si>
    <t>Tool uses this value as default UNLESS …</t>
  </si>
  <si>
    <t xml:space="preserve">… Step 2 disabled or user overrides </t>
  </si>
  <si>
    <t>(eg, user override allows choosing step 1 over step 2, or another value)</t>
  </si>
  <si>
    <t>Click in orange shaded cells (Col D). Select from dropdown menus or provide input. See Notes to right of dropbox for more information.</t>
  </si>
  <si>
    <t>Say, project ABC</t>
  </si>
  <si>
    <t>Enter length of extra lanes</t>
  </si>
  <si>
    <t>Inputs from CAST model used in Step 2</t>
  </si>
  <si>
    <t>1. Follow Steps 1 to 5 in Dashboard. All user inputs and outputs are within the Dashboard (including links to notes). See WorkedExample for further explanation.</t>
  </si>
  <si>
    <t>Existing Road vehicles-to-capacity ratio (V/C):</t>
  </si>
  <si>
    <t>NOTE: the V/C in the Dashboard can be adjusted by changing this value (E54, default=9), if a user wishes to recalibrate.</t>
  </si>
  <si>
    <t>WARNING: results sensitive to V/C (J46). Adjust current AADT (D40) if V/C too high (or sophisticated users see cConvergenceC1!E54)</t>
  </si>
  <si>
    <t xml:space="preserve"> (a) Step 2 is not applicable to Rural Roads (no estimate)</t>
  </si>
  <si>
    <t xml:space="preserve"> (b) A speed-flow curve may not exist in the tool for the combination of inputs (no estimate)</t>
  </si>
  <si>
    <t xml:space="preserve"> (c) Step 2 may produce an equivalent lane-km elasticity (to right) significantly above 1 or below 0, in which case check whether road class is correct</t>
  </si>
  <si>
    <t>V/C calculated using default parameter of 9</t>
  </si>
  <si>
    <t>CSM2 - Add 40 lane-km to Christchurch Southern Motorway (that connects to fast-growing Rolleston)</t>
  </si>
  <si>
    <t>NZTA or TLA administered roads:</t>
  </si>
  <si>
    <t>NZTA</t>
  </si>
  <si>
    <t>NZTA group</t>
  </si>
  <si>
    <t>NZTA administered roads</t>
  </si>
  <si>
    <t>NZTA Roads brought to same All Roads record</t>
  </si>
  <si>
    <t>NZTA Roads</t>
  </si>
  <si>
    <t>Default elasticities for NZTA roads</t>
  </si>
  <si>
    <t>=Urban Transit NZTA-administered</t>
  </si>
  <si>
    <t xml:space="preserve"> Local LTA</t>
  </si>
  <si>
    <t xml:space="preserve"> NZTA</t>
  </si>
  <si>
    <t>NZTA_Transit Corridors</t>
  </si>
  <si>
    <t>NZTA_Urban Connectors</t>
  </si>
  <si>
    <t>NZTA_Interregional Connectors</t>
  </si>
  <si>
    <t>NZTA_Rural Connectors</t>
  </si>
  <si>
    <t>NZTA_NA</t>
  </si>
  <si>
    <t>The tool is an output of NZ Transport Agency Research Report 717: Assessing induced traffic demand in New Zealand</t>
  </si>
  <si>
    <t>The tool is an output of NZTA Research Report 717: Assessing induced traffic demand in New Zealand</t>
  </si>
  <si>
    <t>Data from NZTA (with NZTA regions changed to same name as All Roads eg, AUCKLAND to Auckland Region; DOC changed to All Roads in Region=DOC (to check National totals); sorted to give All Roads at top; NZTA roads added to right)</t>
  </si>
  <si>
    <t>Initial data block, including All Roads, with NZTA Roads below</t>
  </si>
  <si>
    <t>NZTA= NZTA administered</t>
  </si>
  <si>
    <t>Transit Corridors (NZTA)
City Hubs</t>
  </si>
  <si>
    <t>Urban Connectors
Main Streets
Activity Streets (NZTA)
Transit Corridors (LTA)</t>
  </si>
  <si>
    <t>Activity Streets (LTA)
Peri-Urban roads (NZTA)</t>
  </si>
  <si>
    <t>Interregional Connectors
Stopping Places (NZTA)</t>
  </si>
  <si>
    <t>Rural Connectors (NZTA)
Rural Roads
Interregional Connectors (LTA)</t>
  </si>
  <si>
    <t>www.nzta.govt.nz/resources/research/reports/717</t>
  </si>
  <si>
    <t xml:space="preserve">Byett, A., Laird, J., Falconer, J. and Roberts, P. (2023) Assessing induced road traffic demand in New Zealand. (NZ Transport Agency Research Report 717) </t>
  </si>
  <si>
    <t>Disable</t>
  </si>
  <si>
    <t>Assessing induced road traffic demand in New Zealand</t>
  </si>
  <si>
    <t>Induced traffic prototype tool</t>
  </si>
  <si>
    <t>April 2024</t>
  </si>
  <si>
    <t>NZ Transport Agency research report 717</t>
  </si>
  <si>
    <t>Contracted research organisation – ECPC Ltd</t>
  </si>
  <si>
    <t>Research report 717 is available here:</t>
  </si>
  <si>
    <t xml:space="preserve">www.nzta.govt.nz/resources/research/reports/717 </t>
  </si>
  <si>
    <t>Research Report 717: Assessing induced traffic demand in New Zealand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</si>
</sst>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4" formatCode="_-&quot;$&quot;* #,##0.00_-;\-&quot;$&quot;* #,##0.00_-;_-&quot;$&quot;* &quot;-&quot;??_-;_-@_-"/>
    <numFmt numFmtId="43" formatCode="_-* #,##0.00_-;\-* #,##0.00_-;_-* &quot;-&quot;??_-;_-@_-"/>
    <numFmt numFmtId="164" formatCode="_-* #,##0_-;\-* #,##0_-;_-* &quot;-&quot;??_-;_-@_-"/>
    <numFmt numFmtId="165" formatCode="0.0"/>
    <numFmt numFmtId="166" formatCode="0.0%"/>
    <numFmt numFmtId="167" formatCode="0.0000"/>
    <numFmt numFmtId="168" formatCode="0.000"/>
    <numFmt numFmtId="169" formatCode="[$-10409]#,##0;\-#,##0;&quot;&quot;"/>
    <numFmt numFmtId="170" formatCode="#,##0_ ;\-#,##0\ "/>
  </numFmts>
  <fonts count="10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0"/>
      <name val="Arial"/>
      <family val="2"/>
    </font>
    <font>
      <sz val="10"/>
      <name val="Arial"/>
      <family val="2"/>
    </font>
    <font>
      <sz val="11"/>
      <color theme="0" tint="-0.249977111117893"/>
      <name val="Calibri"/>
      <family val="2"/>
      <scheme val="minor"/>
    </font>
    <font>
      <sz val="11"/>
      <color rgb="FF3117F1"/>
      <name val="Calibri"/>
      <family val="2"/>
      <scheme val="minor"/>
    </font>
    <font>
      <sz val="11"/>
      <color rgb="FF00B050"/>
      <name val="Calibri"/>
      <family val="2"/>
      <scheme val="minor"/>
    </font>
    <font>
      <sz val="11"/>
      <color theme="1"/>
      <name val="Calibri"/>
      <family val="2"/>
    </font>
    <font>
      <sz val="9"/>
      <color indexed="81"/>
      <name val="Tahoma"/>
      <family val="2"/>
    </font>
    <font>
      <b/>
      <sz val="9"/>
      <color indexed="81"/>
      <name val="Tahoma"/>
      <family val="2"/>
    </font>
    <font>
      <sz val="11"/>
      <color rgb="FFFF33CC"/>
      <name val="Calibri"/>
      <family val="2"/>
      <scheme val="minor"/>
    </font>
    <font>
      <sz val="11"/>
      <color rgb="FFFF0000"/>
      <name val="Calibri"/>
      <family val="2"/>
      <scheme val="minor"/>
    </font>
    <font>
      <b/>
      <sz val="11"/>
      <color rgb="FFFF0000"/>
      <name val="Calibri"/>
      <family val="2"/>
      <scheme val="minor"/>
    </font>
    <font>
      <b/>
      <i/>
      <sz val="11"/>
      <color theme="1"/>
      <name val="Calibri"/>
      <family val="2"/>
      <scheme val="minor"/>
    </font>
    <font>
      <b/>
      <sz val="16"/>
      <color theme="1"/>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1"/>
      <color theme="10"/>
      <name val="Calibri"/>
      <family val="2"/>
      <scheme val="minor"/>
    </font>
    <font>
      <u/>
      <sz val="11"/>
      <color theme="1"/>
      <name val="Calibri"/>
      <family val="2"/>
      <scheme val="minor"/>
    </font>
    <font>
      <sz val="11"/>
      <color rgb="FF0070C0"/>
      <name val="Calibri"/>
      <family val="2"/>
      <scheme val="minor"/>
    </font>
    <font>
      <b/>
      <sz val="14"/>
      <color theme="1"/>
      <name val="Calibri"/>
      <family val="2"/>
      <scheme val="minor"/>
    </font>
    <font>
      <b/>
      <sz val="14"/>
      <color rgb="FF0070C0"/>
      <name val="Calibri"/>
      <family val="2"/>
      <scheme val="minor"/>
    </font>
    <font>
      <b/>
      <sz val="11"/>
      <name val="Calibri"/>
      <family val="2"/>
      <scheme val="minor"/>
    </font>
    <font>
      <sz val="11"/>
      <color rgb="FF000000"/>
      <name val="Calibri"/>
      <family val="2"/>
      <scheme val="minor"/>
    </font>
    <font>
      <sz val="11"/>
      <name val="Calibri"/>
      <family val="2"/>
    </font>
    <font>
      <sz val="8"/>
      <color theme="1"/>
      <name val="Calibri"/>
      <family val="2"/>
      <scheme val="minor"/>
    </font>
    <font>
      <sz val="8"/>
      <name val="Calibri"/>
      <family val="2"/>
    </font>
    <font>
      <sz val="10"/>
      <color rgb="FF000000"/>
      <name val="Arial"/>
      <family val="2"/>
    </font>
    <font>
      <sz val="10"/>
      <color rgb="FF404040"/>
      <name val="Arial"/>
      <family val="2"/>
    </font>
    <font>
      <b/>
      <i/>
      <sz val="11"/>
      <color rgb="FF7F7F7F"/>
      <name val="Calibri"/>
      <family val="2"/>
      <scheme val="minor"/>
    </font>
    <font>
      <b/>
      <sz val="11"/>
      <color rgb="FF3F3F3F"/>
      <name val="Calibri"/>
      <family val="2"/>
      <scheme val="minor"/>
    </font>
    <font>
      <b/>
      <sz val="9"/>
      <color theme="1"/>
      <name val="Calibri"/>
      <family val="2"/>
      <scheme val="minor"/>
    </font>
    <font>
      <sz val="11"/>
      <color theme="1" tint="0.499984740745262"/>
      <name val="Calibri"/>
      <family val="2"/>
      <scheme val="minor"/>
    </font>
    <font>
      <b/>
      <sz val="11"/>
      <name val="Calibri"/>
      <family val="2"/>
    </font>
    <font>
      <b/>
      <sz val="8"/>
      <color theme="1"/>
      <name val="Calibri"/>
      <family val="2"/>
      <scheme val="minor"/>
    </font>
    <font>
      <b/>
      <sz val="8"/>
      <color rgb="FF0070C0"/>
      <name val="Calibri"/>
      <family val="2"/>
    </font>
    <font>
      <b/>
      <sz val="8"/>
      <name val="Calibri"/>
      <family val="2"/>
      <scheme val="minor"/>
    </font>
    <font>
      <sz val="8"/>
      <color rgb="FF0070C0"/>
      <name val="Calibri"/>
      <family val="2"/>
    </font>
    <font>
      <b/>
      <sz val="10"/>
      <color rgb="FF000000"/>
      <name val="Arial"/>
      <family val="2"/>
    </font>
    <font>
      <sz val="8"/>
      <color rgb="FF0070C0"/>
      <name val="Calibri"/>
      <family val="2"/>
      <scheme val="minor"/>
    </font>
    <font>
      <b/>
      <sz val="8"/>
      <color rgb="FF0070C0"/>
      <name val="Calibri"/>
      <family val="2"/>
      <scheme val="minor"/>
    </font>
    <font>
      <sz val="11"/>
      <color rgb="FF0070C0"/>
      <name val="Calibri"/>
      <family val="2"/>
    </font>
    <font>
      <sz val="8"/>
      <color rgb="FFFFFFFF"/>
      <name val="Arial"/>
      <family val="2"/>
    </font>
    <font>
      <sz val="8"/>
      <color theme="0"/>
      <name val="Arial"/>
      <family val="2"/>
    </font>
    <font>
      <sz val="8"/>
      <color rgb="FF404040"/>
      <name val="Arial"/>
      <family val="2"/>
    </font>
    <font>
      <sz val="8"/>
      <color rgb="FFFF0000"/>
      <name val="Calibri"/>
      <family val="2"/>
      <scheme val="minor"/>
    </font>
    <font>
      <b/>
      <sz val="11"/>
      <color rgb="FF0070C0"/>
      <name val="Calibri"/>
      <family val="2"/>
      <scheme val="minor"/>
    </font>
    <font>
      <sz val="11"/>
      <color rgb="FFFF0000"/>
      <name val="Calibri"/>
      <family val="2"/>
    </font>
    <font>
      <b/>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1" tint="0.499984740745262"/>
      <name val="Calibri"/>
      <family val="2"/>
      <scheme val="minor"/>
    </font>
    <font>
      <b/>
      <sz val="11"/>
      <color theme="3"/>
      <name val="Calibri"/>
      <family val="2"/>
      <scheme val="minor"/>
    </font>
    <font>
      <sz val="10"/>
      <color rgb="FFFF0000"/>
      <name val="CIDFont+F2"/>
    </font>
    <font>
      <sz val="10"/>
      <color rgb="FF000000"/>
      <name val="CIDFont+F2"/>
    </font>
    <font>
      <i/>
      <sz val="11"/>
      <color theme="1"/>
      <name val="Calibri"/>
      <family val="2"/>
      <scheme val="minor"/>
    </font>
    <font>
      <sz val="8"/>
      <name val="Calibri"/>
      <family val="2"/>
      <scheme val="minor"/>
    </font>
    <font>
      <sz val="8"/>
      <color theme="1"/>
      <name val="Arial"/>
      <family val="2"/>
    </font>
    <font>
      <i/>
      <sz val="11"/>
      <color rgb="FF7F7F7F"/>
      <name val="Symbol"/>
      <family val="1"/>
      <charset val="2"/>
    </font>
    <font>
      <sz val="11"/>
      <color rgb="FF7F7F7F"/>
      <name val="Calibri"/>
      <family val="2"/>
    </font>
    <font>
      <b/>
      <strike/>
      <sz val="11"/>
      <color theme="1"/>
      <name val="Calibri"/>
      <family val="2"/>
      <scheme val="minor"/>
    </font>
    <font>
      <strike/>
      <sz val="11"/>
      <color theme="1"/>
      <name val="Calibri"/>
      <family val="2"/>
      <scheme val="minor"/>
    </font>
    <font>
      <strike/>
      <sz val="10"/>
      <color rgb="FF404040"/>
      <name val="Arial"/>
      <family val="2"/>
    </font>
    <font>
      <i/>
      <sz val="11"/>
      <color rgb="FFFF0000"/>
      <name val="Calibri"/>
      <family val="2"/>
      <scheme val="minor"/>
    </font>
    <font>
      <b/>
      <strike/>
      <sz val="11"/>
      <color rgb="FFFA7D00"/>
      <name val="Calibri"/>
      <family val="2"/>
      <scheme val="minor"/>
    </font>
    <font>
      <b/>
      <u/>
      <sz val="18"/>
      <color theme="1"/>
      <name val="Calibri"/>
      <family val="2"/>
      <scheme val="minor"/>
    </font>
    <font>
      <sz val="18"/>
      <color theme="1"/>
      <name val="Calibri"/>
      <family val="2"/>
      <scheme val="minor"/>
    </font>
    <font>
      <i/>
      <sz val="11"/>
      <color rgb="FF0070C0"/>
      <name val="Calibri"/>
      <family val="2"/>
      <scheme val="minor"/>
    </font>
    <font>
      <i/>
      <sz val="9.25"/>
      <color rgb="FFFF0000"/>
      <name val="Calibri"/>
      <family val="2"/>
    </font>
    <font>
      <b/>
      <u/>
      <sz val="11"/>
      <color theme="1"/>
      <name val="Calibri"/>
      <family val="2"/>
      <scheme val="minor"/>
    </font>
    <font>
      <b/>
      <i/>
      <sz val="11"/>
      <color rgb="FFFF0000"/>
      <name val="Calibri"/>
      <family val="2"/>
      <scheme val="minor"/>
    </font>
    <font>
      <sz val="11"/>
      <color theme="0"/>
      <name val="Calibri"/>
      <family val="2"/>
      <scheme val="minor"/>
    </font>
    <font>
      <i/>
      <sz val="11"/>
      <color theme="0" tint="-0.499984740745262"/>
      <name val="Calibri"/>
      <family val="2"/>
      <scheme val="minor"/>
    </font>
    <font>
      <b/>
      <sz val="12"/>
      <name val="Calibri"/>
      <family val="2"/>
      <scheme val="minor"/>
    </font>
    <font>
      <b/>
      <vertAlign val="subscript"/>
      <sz val="12"/>
      <name val="Calibri"/>
      <family val="2"/>
      <scheme val="minor"/>
    </font>
    <font>
      <sz val="8"/>
      <color theme="0" tint="-0.249977111117893"/>
      <name val="Calibri"/>
      <family val="2"/>
      <scheme val="minor"/>
    </font>
    <font>
      <sz val="10"/>
      <color theme="0" tint="-0.34998626667073579"/>
      <name val="Arial"/>
      <family val="2"/>
    </font>
    <font>
      <sz val="11"/>
      <color theme="4"/>
      <name val="Calibri"/>
      <family val="2"/>
      <scheme val="minor"/>
    </font>
    <font>
      <i/>
      <sz val="11"/>
      <name val="Calibri"/>
      <family val="2"/>
      <scheme val="minor"/>
    </font>
    <font>
      <b/>
      <sz val="9"/>
      <name val="Calibri"/>
      <family val="2"/>
      <scheme val="minor"/>
    </font>
    <font>
      <b/>
      <vertAlign val="subscript"/>
      <sz val="9"/>
      <name val="Calibri"/>
      <family val="2"/>
      <scheme val="minor"/>
    </font>
    <font>
      <sz val="11"/>
      <name val="Arial"/>
      <family val="2"/>
    </font>
    <font>
      <i/>
      <sz val="12"/>
      <name val="Arial"/>
      <family val="2"/>
    </font>
    <font>
      <b/>
      <sz val="9"/>
      <name val="Arial"/>
      <family val="2"/>
    </font>
    <font>
      <b/>
      <sz val="20"/>
      <name val="Arial"/>
      <family val="2"/>
    </font>
    <font>
      <sz val="12"/>
      <name val="Arial"/>
      <family val="2"/>
    </font>
    <font>
      <b/>
      <sz val="16"/>
      <name val="Arial"/>
      <family val="2"/>
    </font>
    <font>
      <b/>
      <u/>
      <sz val="11"/>
      <name val="Calibri"/>
      <family val="2"/>
      <scheme val="minor"/>
    </font>
    <font>
      <u/>
      <sz val="11"/>
      <color rgb="FFFF0000"/>
      <name val="Calibri"/>
      <family val="2"/>
      <scheme val="minor"/>
    </font>
    <font>
      <i/>
      <sz val="11"/>
      <color theme="9"/>
      <name val="Calibri"/>
      <family val="2"/>
      <scheme val="minor"/>
    </font>
    <font>
      <sz val="10"/>
      <color theme="1"/>
      <name val="Lucida Sans"/>
      <family val="2"/>
    </font>
    <font>
      <b/>
      <sz val="22"/>
      <color rgb="FF19456B"/>
      <name val="Arial"/>
      <family val="2"/>
    </font>
    <font>
      <sz val="12"/>
      <color theme="1"/>
      <name val="Arial"/>
      <family val="2"/>
    </font>
    <font>
      <b/>
      <sz val="18"/>
      <color rgb="FF006FB8"/>
      <name val="Arial"/>
      <family val="2"/>
    </font>
    <font>
      <sz val="16"/>
      <color rgb="FF006FB8"/>
      <name val="Arial"/>
      <family val="2"/>
    </font>
    <font>
      <b/>
      <sz val="12"/>
      <color rgb="FF19456B"/>
      <name val="Arial"/>
      <family val="2"/>
    </font>
    <font>
      <sz val="10"/>
      <color rgb="FF19456B"/>
      <name val="Arial"/>
      <family val="2"/>
    </font>
  </fonts>
  <fills count="18">
    <fill>
      <patternFill patternType="none"/>
    </fill>
    <fill>
      <patternFill patternType="gray125"/>
    </fill>
    <fill>
      <patternFill patternType="solid">
        <fgColor theme="6" tint="0.59999389629810485"/>
        <bgColor indexed="64"/>
      </patternFill>
    </fill>
    <fill>
      <patternFill patternType="solid">
        <fgColor rgb="FFFFCC99"/>
      </patternFill>
    </fill>
    <fill>
      <patternFill patternType="solid">
        <fgColor rgb="FFF2F2F2"/>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19456B"/>
        <bgColor indexed="64"/>
      </patternFill>
    </fill>
    <fill>
      <patternFill patternType="solid">
        <fgColor rgb="FFDBE5F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4" tint="0.79998168889431442"/>
        <bgColor indexed="64"/>
      </patternFill>
    </fill>
  </fills>
  <borders count="4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rgb="FFFFFFFF"/>
      </top>
      <bottom/>
      <diagonal/>
    </border>
    <border>
      <left/>
      <right style="thin">
        <color rgb="FFFFFFFF"/>
      </right>
      <top style="thin">
        <color rgb="FFFFFFFF"/>
      </top>
      <bottom/>
      <diagonal/>
    </border>
    <border>
      <left style="thin">
        <color rgb="FFD3D3D3"/>
      </left>
      <right style="thin">
        <color rgb="FFD3D3D3"/>
      </right>
      <top style="thin">
        <color rgb="FFD3D3D3"/>
      </top>
      <bottom style="thin">
        <color rgb="FFD3D3D3"/>
      </bottom>
      <diagonal/>
    </border>
    <border>
      <left style="thin">
        <color rgb="FF000000"/>
      </left>
      <right style="thin">
        <color rgb="FFD3D3D3"/>
      </right>
      <top style="thin">
        <color rgb="FFD3D3D3"/>
      </top>
      <bottom style="thin">
        <color rgb="FFD3D3D3"/>
      </bottom>
      <diagonal/>
    </border>
    <border>
      <left style="thin">
        <color rgb="FF3F3F3F"/>
      </left>
      <right style="thin">
        <color rgb="FF3F3F3F"/>
      </right>
      <top style="thin">
        <color rgb="FF3F3F3F"/>
      </top>
      <bottom style="thin">
        <color rgb="FF3F3F3F"/>
      </bottom>
      <diagonal/>
    </border>
    <border>
      <left style="thin">
        <color rgb="FFD3D3D3"/>
      </left>
      <right style="thin">
        <color rgb="FFD3D3D3"/>
      </right>
      <top/>
      <bottom style="thin">
        <color rgb="FFD3D3D3"/>
      </bottom>
      <diagonal/>
    </border>
    <border>
      <left style="thin">
        <color rgb="FF000000"/>
      </left>
      <right style="thin">
        <color rgb="FFD3D3D3"/>
      </right>
      <top/>
      <bottom style="thin">
        <color rgb="FFD3D3D3"/>
      </bottom>
      <diagonal/>
    </border>
    <border>
      <left style="thin">
        <color rgb="FFD3D3D3"/>
      </left>
      <right style="thin">
        <color rgb="FFD3D3D3"/>
      </right>
      <top style="thin">
        <color rgb="FFD3D3D3"/>
      </top>
      <bottom style="thin">
        <color indexed="64"/>
      </bottom>
      <diagonal/>
    </border>
    <border>
      <left/>
      <right style="dotted">
        <color rgb="FF19456B"/>
      </right>
      <top style="dotted">
        <color rgb="FF19456B"/>
      </top>
      <bottom style="dotted">
        <color rgb="FF19456B"/>
      </bottom>
      <diagonal/>
    </border>
    <border>
      <left style="dotted">
        <color rgb="FF19456B"/>
      </left>
      <right style="dotted">
        <color rgb="FF19456B"/>
      </right>
      <top style="dotted">
        <color rgb="FF19456B"/>
      </top>
      <bottom style="dotted">
        <color rgb="FF19456B"/>
      </bottom>
      <diagonal/>
    </border>
    <border>
      <left style="dotted">
        <color rgb="FF19456B"/>
      </left>
      <right style="dotted">
        <color rgb="FF19456B"/>
      </right>
      <top style="dotted">
        <color rgb="FF19456B"/>
      </top>
      <bottom/>
      <diagonal/>
    </border>
    <border>
      <left/>
      <right style="dotted">
        <color rgb="FF19456B"/>
      </right>
      <top/>
      <bottom/>
      <diagonal/>
    </border>
    <border>
      <left style="dotted">
        <color rgb="FF19456B"/>
      </left>
      <right style="dotted">
        <color rgb="FF19456B"/>
      </right>
      <top/>
      <bottom style="dotted">
        <color rgb="FF19456B"/>
      </bottom>
      <diagonal/>
    </border>
    <border>
      <left/>
      <right style="dotted">
        <color rgb="FF19456B"/>
      </right>
      <top/>
      <bottom style="dotted">
        <color rgb="FF19456B"/>
      </bottom>
      <diagonal/>
    </border>
    <border>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theme="0"/>
      </top>
      <bottom/>
      <diagonal/>
    </border>
    <border>
      <left style="thin">
        <color indexed="64"/>
      </left>
      <right/>
      <top style="thin">
        <color theme="0"/>
      </top>
      <bottom/>
      <diagonal/>
    </border>
    <border>
      <left/>
      <right style="thin">
        <color indexed="64"/>
      </right>
      <top style="thin">
        <color theme="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44" fontId="1" fillId="0" borderId="0" applyFont="0" applyFill="0" applyBorder="0" applyAlignment="0" applyProtection="0"/>
    <xf numFmtId="0" fontId="17" fillId="3" borderId="9" applyNumberFormat="0" applyAlignment="0" applyProtection="0"/>
    <xf numFmtId="0" fontId="18" fillId="4" borderId="9" applyNumberFormat="0" applyAlignment="0" applyProtection="0"/>
    <xf numFmtId="0" fontId="19" fillId="0" borderId="10"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7" fillId="0" borderId="0"/>
    <xf numFmtId="0" fontId="34" fillId="4" borderId="21" applyNumberFormat="0" applyAlignment="0" applyProtection="0"/>
    <xf numFmtId="0" fontId="13" fillId="0" borderId="0" applyNumberFormat="0" applyFill="0" applyBorder="0" applyAlignment="0" applyProtection="0"/>
    <xf numFmtId="0" fontId="56"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94" fillId="0" borderId="0"/>
  </cellStyleXfs>
  <cellXfs count="537">
    <xf numFmtId="0" fontId="0" fillId="0" borderId="0" xfId="0"/>
    <xf numFmtId="164" fontId="0" fillId="0" borderId="0" xfId="0" applyNumberFormat="1"/>
    <xf numFmtId="2" fontId="0" fillId="0" borderId="0" xfId="0" applyNumberFormat="1"/>
    <xf numFmtId="165" fontId="0" fillId="0" borderId="0" xfId="0" applyNumberFormat="1"/>
    <xf numFmtId="0" fontId="2" fillId="0" borderId="0" xfId="0" applyFont="1"/>
    <xf numFmtId="9" fontId="0" fillId="0" borderId="0" xfId="2" applyFont="1"/>
    <xf numFmtId="166" fontId="0" fillId="0" borderId="0" xfId="2" applyNumberFormat="1" applyFont="1"/>
    <xf numFmtId="0" fontId="0" fillId="0" borderId="0" xfId="0" quotePrefix="1"/>
    <xf numFmtId="0" fontId="2" fillId="0" borderId="0" xfId="0" applyFont="1" applyAlignment="1">
      <alignment horizontal="right"/>
    </xf>
    <xf numFmtId="0" fontId="7" fillId="0" borderId="0" xfId="0" applyFont="1"/>
    <xf numFmtId="0" fontId="8" fillId="0" borderId="0" xfId="0" applyFont="1"/>
    <xf numFmtId="44" fontId="0" fillId="0" borderId="0" xfId="4" applyFont="1"/>
    <xf numFmtId="2" fontId="7" fillId="0" borderId="0" xfId="0" applyNumberFormat="1" applyFont="1"/>
    <xf numFmtId="2" fontId="3" fillId="0" borderId="0" xfId="0" applyNumberFormat="1" applyFont="1"/>
    <xf numFmtId="165" fontId="3" fillId="0" borderId="0" xfId="0" applyNumberFormat="1" applyFon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2" fillId="0" borderId="7" xfId="0" applyFont="1" applyBorder="1"/>
    <xf numFmtId="0" fontId="0" fillId="0" borderId="7" xfId="0" applyBorder="1"/>
    <xf numFmtId="0" fontId="0" fillId="0" borderId="8" xfId="0" applyBorder="1"/>
    <xf numFmtId="164" fontId="7" fillId="0" borderId="0" xfId="1" applyNumberFormat="1" applyFont="1" applyBorder="1"/>
    <xf numFmtId="0" fontId="7" fillId="0" borderId="7" xfId="0" applyFont="1" applyBorder="1"/>
    <xf numFmtId="0" fontId="3" fillId="0" borderId="0" xfId="0" applyFont="1"/>
    <xf numFmtId="0" fontId="4" fillId="0" borderId="0" xfId="0" applyFont="1"/>
    <xf numFmtId="0" fontId="5" fillId="0" borderId="0" xfId="3"/>
    <xf numFmtId="0" fontId="4" fillId="0" borderId="0" xfId="3" applyFont="1"/>
    <xf numFmtId="165" fontId="5" fillId="0" borderId="0" xfId="3" applyNumberFormat="1"/>
    <xf numFmtId="0" fontId="0" fillId="2" borderId="0" xfId="0" applyFill="1"/>
    <xf numFmtId="0" fontId="7" fillId="2" borderId="0" xfId="0" applyFont="1" applyFill="1"/>
    <xf numFmtId="164" fontId="4" fillId="0" borderId="0" xfId="1" applyNumberFormat="1" applyFont="1" applyFill="1"/>
    <xf numFmtId="2" fontId="6" fillId="0" borderId="0" xfId="0" applyNumberFormat="1" applyFont="1"/>
    <xf numFmtId="44" fontId="6" fillId="0" borderId="0" xfId="4" applyFont="1"/>
    <xf numFmtId="2" fontId="6" fillId="0" borderId="0" xfId="0" quotePrefix="1" applyNumberFormat="1" applyFont="1"/>
    <xf numFmtId="2" fontId="12" fillId="0" borderId="0" xfId="0" applyNumberFormat="1" applyFont="1" applyAlignment="1">
      <alignment horizontal="right" indent="1"/>
    </xf>
    <xf numFmtId="2" fontId="5" fillId="0" borderId="0" xfId="3" applyNumberFormat="1"/>
    <xf numFmtId="0" fontId="0" fillId="0" borderId="0" xfId="0" applyAlignment="1">
      <alignment horizontal="center"/>
    </xf>
    <xf numFmtId="9" fontId="0" fillId="0" borderId="0" xfId="2" applyFont="1" applyBorder="1"/>
    <xf numFmtId="0" fontId="14" fillId="0" borderId="0" xfId="0" applyFont="1"/>
    <xf numFmtId="0" fontId="15" fillId="0" borderId="0" xfId="0" applyFont="1" applyAlignment="1">
      <alignment wrapText="1"/>
    </xf>
    <xf numFmtId="0" fontId="15" fillId="0" borderId="0" xfId="0" applyFont="1" applyAlignment="1">
      <alignment horizontal="center" wrapText="1"/>
    </xf>
    <xf numFmtId="0" fontId="15" fillId="0" borderId="0" xfId="0" applyFont="1"/>
    <xf numFmtId="0" fontId="15" fillId="0" borderId="0" xfId="0" applyFont="1" applyAlignment="1">
      <alignment horizontal="left" indent="1"/>
    </xf>
    <xf numFmtId="0" fontId="2" fillId="0" borderId="1" xfId="0" applyFont="1" applyBorder="1"/>
    <xf numFmtId="0" fontId="2" fillId="0" borderId="0" xfId="0" applyFont="1" applyAlignment="1">
      <alignment horizontal="center"/>
    </xf>
    <xf numFmtId="0" fontId="2" fillId="0" borderId="5" xfId="0" applyFont="1" applyBorder="1" applyAlignment="1">
      <alignment horizontal="right"/>
    </xf>
    <xf numFmtId="164" fontId="0" fillId="0" borderId="5" xfId="0" applyNumberFormat="1" applyBorder="1"/>
    <xf numFmtId="2" fontId="12" fillId="0" borderId="0" xfId="0" applyNumberFormat="1" applyFont="1"/>
    <xf numFmtId="2" fontId="12" fillId="0" borderId="5" xfId="0" applyNumberFormat="1" applyFont="1" applyBorder="1" applyAlignment="1">
      <alignment horizontal="right" indent="1"/>
    </xf>
    <xf numFmtId="0" fontId="8" fillId="0" borderId="5" xfId="0" applyFont="1" applyBorder="1"/>
    <xf numFmtId="0" fontId="0" fillId="0" borderId="5" xfId="0" quotePrefix="1" applyBorder="1"/>
    <xf numFmtId="2" fontId="0" fillId="0" borderId="5" xfId="0" applyNumberFormat="1" applyBorder="1"/>
    <xf numFmtId="44" fontId="0" fillId="0" borderId="0" xfId="4" applyFont="1" applyBorder="1"/>
    <xf numFmtId="44" fontId="0" fillId="0" borderId="5" xfId="4" applyFont="1" applyBorder="1"/>
    <xf numFmtId="2" fontId="7" fillId="0" borderId="5" xfId="0" applyNumberFormat="1" applyFont="1" applyBorder="1"/>
    <xf numFmtId="0" fontId="6" fillId="0" borderId="0" xfId="0" applyFont="1"/>
    <xf numFmtId="2" fontId="6" fillId="0" borderId="5" xfId="0" applyNumberFormat="1" applyFont="1" applyBorder="1"/>
    <xf numFmtId="44" fontId="6" fillId="0" borderId="0" xfId="4" applyFont="1" applyBorder="1"/>
    <xf numFmtId="44" fontId="6" fillId="0" borderId="5" xfId="4" applyFont="1" applyBorder="1"/>
    <xf numFmtId="2" fontId="6" fillId="0" borderId="5" xfId="0" quotePrefix="1" applyNumberFormat="1" applyFont="1" applyBorder="1"/>
    <xf numFmtId="2" fontId="3" fillId="0" borderId="5" xfId="0" applyNumberFormat="1" applyFont="1" applyBorder="1"/>
    <xf numFmtId="165" fontId="3" fillId="0" borderId="5" xfId="0" applyNumberFormat="1" applyFont="1" applyBorder="1"/>
    <xf numFmtId="2" fontId="0" fillId="0" borderId="4" xfId="0" applyNumberFormat="1" applyBorder="1"/>
    <xf numFmtId="0" fontId="9" fillId="0" borderId="0" xfId="0" applyFont="1"/>
    <xf numFmtId="9" fontId="0" fillId="0" borderId="5" xfId="2" applyFont="1" applyBorder="1"/>
    <xf numFmtId="166" fontId="0" fillId="0" borderId="0" xfId="2" applyNumberFormat="1" applyFont="1" applyBorder="1"/>
    <xf numFmtId="166" fontId="0" fillId="0" borderId="5" xfId="2" applyNumberFormat="1" applyFont="1" applyBorder="1"/>
    <xf numFmtId="0" fontId="2" fillId="0" borderId="4" xfId="0" applyFont="1" applyBorder="1"/>
    <xf numFmtId="8" fontId="8" fillId="0" borderId="0" xfId="0" applyNumberFormat="1" applyFont="1"/>
    <xf numFmtId="0" fontId="0" fillId="0" borderId="0" xfId="0" applyAlignment="1">
      <alignment horizontal="center" vertical="center"/>
    </xf>
    <xf numFmtId="43" fontId="4" fillId="0" borderId="0" xfId="3" applyNumberFormat="1" applyFont="1"/>
    <xf numFmtId="164" fontId="2" fillId="0" borderId="0" xfId="0" applyNumberFormat="1" applyFont="1"/>
    <xf numFmtId="9" fontId="2" fillId="0" borderId="0" xfId="0" applyNumberFormat="1" applyFont="1"/>
    <xf numFmtId="0" fontId="0" fillId="0" borderId="0" xfId="0" applyAlignment="1">
      <alignment horizontal="right" indent="1"/>
    </xf>
    <xf numFmtId="9" fontId="0" fillId="0" borderId="0" xfId="0" applyNumberFormat="1"/>
    <xf numFmtId="0" fontId="0" fillId="0" borderId="0" xfId="0" applyAlignment="1">
      <alignment horizontal="right"/>
    </xf>
    <xf numFmtId="164" fontId="0" fillId="0" borderId="0" xfId="1" applyNumberFormat="1" applyFont="1" applyBorder="1"/>
    <xf numFmtId="43" fontId="0" fillId="0" borderId="0" xfId="0" applyNumberFormat="1"/>
    <xf numFmtId="0" fontId="13" fillId="0" borderId="0" xfId="0" applyFont="1" applyAlignment="1">
      <alignment horizontal="right" indent="1"/>
    </xf>
    <xf numFmtId="0" fontId="13" fillId="0" borderId="0" xfId="0" applyFont="1" applyAlignment="1">
      <alignment horizontal="left" indent="1"/>
    </xf>
    <xf numFmtId="0" fontId="16" fillId="0" borderId="0" xfId="0" applyFont="1"/>
    <xf numFmtId="0" fontId="21" fillId="0" borderId="0" xfId="9"/>
    <xf numFmtId="0" fontId="20" fillId="0" borderId="0" xfId="8" applyBorder="1"/>
    <xf numFmtId="0" fontId="13" fillId="0" borderId="0" xfId="0" applyFont="1"/>
    <xf numFmtId="0" fontId="2" fillId="5" borderId="0" xfId="0" applyFont="1" applyFill="1" applyAlignment="1">
      <alignment horizontal="center"/>
    </xf>
    <xf numFmtId="0" fontId="2" fillId="5" borderId="7" xfId="0" applyFont="1" applyFill="1" applyBorder="1" applyAlignment="1">
      <alignment horizontal="center"/>
    </xf>
    <xf numFmtId="0" fontId="2" fillId="0" borderId="12" xfId="0" applyFont="1" applyBorder="1" applyAlignment="1">
      <alignment horizontal="center"/>
    </xf>
    <xf numFmtId="0" fontId="2" fillId="5" borderId="11" xfId="0" applyFont="1" applyFill="1" applyBorder="1" applyAlignment="1">
      <alignment horizontal="right"/>
    </xf>
    <xf numFmtId="0" fontId="0" fillId="0" borderId="0" xfId="0" applyAlignment="1">
      <alignment wrapText="1"/>
    </xf>
    <xf numFmtId="0" fontId="23" fillId="0" borderId="0" xfId="0" applyFont="1"/>
    <xf numFmtId="0" fontId="20" fillId="0" borderId="0" xfId="8"/>
    <xf numFmtId="0" fontId="25" fillId="0" borderId="0" xfId="0" applyFont="1"/>
    <xf numFmtId="0" fontId="26" fillId="0" borderId="11" xfId="0" applyFont="1" applyBorder="1" applyAlignment="1">
      <alignment horizontal="left"/>
    </xf>
    <xf numFmtId="0" fontId="0" fillId="0" borderId="11" xfId="0" applyBorder="1" applyAlignment="1">
      <alignment horizontal="left"/>
    </xf>
    <xf numFmtId="0" fontId="17" fillId="3" borderId="9" xfId="5" applyAlignment="1">
      <alignment horizontal="left"/>
    </xf>
    <xf numFmtId="165" fontId="0" fillId="0" borderId="0" xfId="0" quotePrefix="1" applyNumberFormat="1"/>
    <xf numFmtId="165" fontId="20" fillId="0" borderId="0" xfId="8" quotePrefix="1" applyNumberFormat="1"/>
    <xf numFmtId="0" fontId="2" fillId="5" borderId="0" xfId="0" applyFont="1" applyFill="1" applyAlignment="1">
      <alignment horizontal="left"/>
    </xf>
    <xf numFmtId="0" fontId="2" fillId="5" borderId="11" xfId="0" applyFont="1" applyFill="1" applyBorder="1" applyAlignment="1">
      <alignment wrapText="1"/>
    </xf>
    <xf numFmtId="2" fontId="0" fillId="0" borderId="0" xfId="0" quotePrefix="1" applyNumberFormat="1"/>
    <xf numFmtId="0" fontId="0" fillId="6" borderId="11" xfId="0" applyFill="1" applyBorder="1"/>
    <xf numFmtId="0" fontId="2" fillId="5" borderId="13" xfId="0" applyFont="1" applyFill="1" applyBorder="1" applyAlignment="1">
      <alignment horizontal="right"/>
    </xf>
    <xf numFmtId="9" fontId="17" fillId="3" borderId="9" xfId="5" applyNumberFormat="1"/>
    <xf numFmtId="0" fontId="0" fillId="0" borderId="14" xfId="0" applyBorder="1"/>
    <xf numFmtId="0" fontId="0" fillId="0" borderId="12" xfId="0" applyBorder="1"/>
    <xf numFmtId="0" fontId="20" fillId="7" borderId="0" xfId="8" applyFill="1" applyAlignment="1">
      <alignment horizontal="right"/>
    </xf>
    <xf numFmtId="1" fontId="18" fillId="4" borderId="9" xfId="6" applyNumberFormat="1"/>
    <xf numFmtId="0" fontId="0" fillId="7" borderId="0" xfId="0" applyFill="1" applyAlignment="1">
      <alignment horizontal="right"/>
    </xf>
    <xf numFmtId="3" fontId="0" fillId="7" borderId="0" xfId="0" applyNumberFormat="1" applyFill="1"/>
    <xf numFmtId="1" fontId="0" fillId="0" borderId="0" xfId="0" applyNumberFormat="1"/>
    <xf numFmtId="166" fontId="0" fillId="7" borderId="0" xfId="2" applyNumberFormat="1" applyFont="1" applyFill="1"/>
    <xf numFmtId="1" fontId="2" fillId="5" borderId="11" xfId="0" applyNumberFormat="1" applyFont="1" applyFill="1" applyBorder="1" applyAlignment="1">
      <alignment horizontal="right"/>
    </xf>
    <xf numFmtId="0" fontId="2" fillId="5" borderId="11" xfId="0" applyFont="1" applyFill="1" applyBorder="1" applyAlignment="1">
      <alignment horizontal="right" wrapText="1"/>
    </xf>
    <xf numFmtId="0" fontId="2" fillId="0" borderId="0" xfId="0" applyFont="1" applyAlignment="1">
      <alignment wrapText="1"/>
    </xf>
    <xf numFmtId="0" fontId="0" fillId="0" borderId="11" xfId="0" applyBorder="1"/>
    <xf numFmtId="0" fontId="17" fillId="3" borderId="9" xfId="5"/>
    <xf numFmtId="1" fontId="23" fillId="0" borderId="0" xfId="0" applyNumberFormat="1" applyFont="1"/>
    <xf numFmtId="9" fontId="18" fillId="4" borderId="9" xfId="6" applyNumberFormat="1"/>
    <xf numFmtId="0" fontId="13" fillId="0" borderId="11" xfId="0" applyFont="1" applyBorder="1"/>
    <xf numFmtId="0" fontId="2" fillId="5" borderId="0" xfId="0" applyFont="1" applyFill="1"/>
    <xf numFmtId="0" fontId="0" fillId="5" borderId="0" xfId="0" applyFill="1"/>
    <xf numFmtId="0" fontId="2" fillId="8" borderId="11" xfId="0" applyFont="1" applyFill="1" applyBorder="1" applyAlignment="1">
      <alignment vertical="top" wrapText="1"/>
    </xf>
    <xf numFmtId="0" fontId="0" fillId="6" borderId="15" xfId="0" applyFill="1" applyBorder="1"/>
    <xf numFmtId="2" fontId="18" fillId="4" borderId="9" xfId="6" applyNumberFormat="1"/>
    <xf numFmtId="165" fontId="23" fillId="0" borderId="0" xfId="0" applyNumberFormat="1" applyFont="1"/>
    <xf numFmtId="3" fontId="18" fillId="4" borderId="9" xfId="6" applyNumberFormat="1"/>
    <xf numFmtId="0" fontId="23" fillId="0" borderId="0" xfId="0" applyFont="1" applyAlignment="1">
      <alignment wrapText="1"/>
    </xf>
    <xf numFmtId="0" fontId="28" fillId="0" borderId="17" xfId="10" applyFont="1" applyBorder="1" applyAlignment="1">
      <alignment vertical="top"/>
    </xf>
    <xf numFmtId="0" fontId="21" fillId="0" borderId="17" xfId="9" applyBorder="1" applyAlignment="1">
      <alignment vertical="top"/>
    </xf>
    <xf numFmtId="0" fontId="28" fillId="0" borderId="17" xfId="10" applyFont="1" applyBorder="1" applyAlignment="1">
      <alignment vertical="top" wrapText="1"/>
    </xf>
    <xf numFmtId="0" fontId="28" fillId="0" borderId="18" xfId="10" applyFont="1" applyBorder="1" applyAlignment="1">
      <alignment vertical="top" wrapText="1"/>
    </xf>
    <xf numFmtId="0" fontId="28" fillId="0" borderId="0" xfId="10" applyFont="1"/>
    <xf numFmtId="0" fontId="28" fillId="0" borderId="0" xfId="10" applyFont="1" applyAlignment="1">
      <alignment horizontal="left"/>
    </xf>
    <xf numFmtId="0" fontId="30" fillId="0" borderId="0" xfId="10" applyFont="1"/>
    <xf numFmtId="0" fontId="28" fillId="9" borderId="0" xfId="10" applyFont="1" applyFill="1"/>
    <xf numFmtId="0" fontId="20" fillId="0" borderId="0" xfId="8" applyAlignment="1">
      <alignment horizontal="left"/>
    </xf>
    <xf numFmtId="0" fontId="2" fillId="0" borderId="11" xfId="0" applyFont="1" applyBorder="1"/>
    <xf numFmtId="0" fontId="0" fillId="0" borderId="11" xfId="0" applyBorder="1" applyAlignment="1">
      <alignment horizontal="right"/>
    </xf>
    <xf numFmtId="2" fontId="0" fillId="0" borderId="11" xfId="0" applyNumberFormat="1" applyBorder="1"/>
    <xf numFmtId="0" fontId="0" fillId="0" borderId="0" xfId="0" applyAlignment="1">
      <alignment vertical="top" wrapText="1"/>
    </xf>
    <xf numFmtId="0" fontId="0" fillId="0" borderId="11" xfId="0" applyBorder="1" applyAlignment="1">
      <alignment vertical="top" wrapText="1"/>
    </xf>
    <xf numFmtId="168" fontId="17" fillId="3" borderId="9" xfId="5" applyNumberFormat="1"/>
    <xf numFmtId="0" fontId="0" fillId="0" borderId="12" xfId="0" applyBorder="1" applyAlignment="1">
      <alignment horizontal="center"/>
    </xf>
    <xf numFmtId="166" fontId="0" fillId="0" borderId="11" xfId="2" applyNumberFormat="1" applyFont="1" applyBorder="1"/>
    <xf numFmtId="168" fontId="0" fillId="0" borderId="11" xfId="2" applyNumberFormat="1" applyFont="1" applyBorder="1"/>
    <xf numFmtId="1" fontId="0" fillId="0" borderId="11" xfId="0" applyNumberFormat="1" applyBorder="1"/>
    <xf numFmtId="168" fontId="0" fillId="0" borderId="11" xfId="0" applyNumberFormat="1" applyBorder="1"/>
    <xf numFmtId="0" fontId="21" fillId="0" borderId="0" xfId="9" applyBorder="1"/>
    <xf numFmtId="3" fontId="17" fillId="3" borderId="9" xfId="5" applyNumberFormat="1" applyAlignment="1">
      <alignment horizontal="left"/>
    </xf>
    <xf numFmtId="0" fontId="2" fillId="0" borderId="14" xfId="0" applyFont="1" applyBorder="1" applyAlignment="1">
      <alignment horizontal="center"/>
    </xf>
    <xf numFmtId="0" fontId="2" fillId="5" borderId="12" xfId="0" applyFont="1" applyFill="1" applyBorder="1" applyAlignment="1">
      <alignment horizontal="right" vertical="top" wrapText="1"/>
    </xf>
    <xf numFmtId="9" fontId="18" fillId="4" borderId="9" xfId="2" applyFont="1" applyFill="1" applyBorder="1"/>
    <xf numFmtId="0" fontId="23" fillId="0" borderId="0" xfId="0" applyFont="1" applyAlignment="1">
      <alignment horizontal="right"/>
    </xf>
    <xf numFmtId="2" fontId="23" fillId="0" borderId="0" xfId="0" applyNumberFormat="1" applyFont="1"/>
    <xf numFmtId="9" fontId="19" fillId="3" borderId="10" xfId="7" applyNumberFormat="1" applyFill="1"/>
    <xf numFmtId="0" fontId="2" fillId="0" borderId="0" xfId="0" applyFont="1" applyAlignment="1">
      <alignment horizontal="right" wrapText="1"/>
    </xf>
    <xf numFmtId="168" fontId="18" fillId="4" borderId="9" xfId="6" applyNumberFormat="1" applyAlignment="1">
      <alignment horizontal="center"/>
    </xf>
    <xf numFmtId="0" fontId="2" fillId="5" borderId="6" xfId="0" applyFont="1" applyFill="1" applyBorder="1" applyAlignment="1">
      <alignment horizontal="left"/>
    </xf>
    <xf numFmtId="0" fontId="2" fillId="5" borderId="7" xfId="0" applyFont="1" applyFill="1" applyBorder="1"/>
    <xf numFmtId="3" fontId="18" fillId="4" borderId="9" xfId="6" applyNumberFormat="1" applyAlignment="1">
      <alignment horizontal="center"/>
    </xf>
    <xf numFmtId="166" fontId="18" fillId="4" borderId="9" xfId="6" applyNumberFormat="1"/>
    <xf numFmtId="0" fontId="20" fillId="7" borderId="0" xfId="8" applyFill="1" applyAlignment="1"/>
    <xf numFmtId="2" fontId="34" fillId="4" borderId="21" xfId="11" applyNumberFormat="1"/>
    <xf numFmtId="0" fontId="34" fillId="4" borderId="21" xfId="11"/>
    <xf numFmtId="3" fontId="34" fillId="6" borderId="21" xfId="11" applyNumberFormat="1" applyFill="1"/>
    <xf numFmtId="4" fontId="34" fillId="4" borderId="21" xfId="11" applyNumberFormat="1" applyAlignment="1">
      <alignment horizontal="right"/>
    </xf>
    <xf numFmtId="0" fontId="2" fillId="5" borderId="12" xfId="0" applyFont="1" applyFill="1" applyBorder="1" applyAlignment="1">
      <alignment horizontal="right" vertical="top"/>
    </xf>
    <xf numFmtId="0" fontId="2" fillId="5" borderId="11" xfId="0" applyFont="1" applyFill="1" applyBorder="1" applyAlignment="1">
      <alignment horizontal="right" vertical="top" wrapText="1"/>
    </xf>
    <xf numFmtId="0" fontId="0" fillId="5" borderId="11" xfId="0" applyFill="1" applyBorder="1" applyAlignment="1">
      <alignment horizontal="right"/>
    </xf>
    <xf numFmtId="2" fontId="34" fillId="4" borderId="21" xfId="11" applyNumberFormat="1" applyAlignment="1">
      <alignment horizontal="center"/>
    </xf>
    <xf numFmtId="0" fontId="0" fillId="5" borderId="11" xfId="0" applyFill="1" applyBorder="1" applyAlignment="1">
      <alignment horizontal="right" vertical="top" wrapText="1"/>
    </xf>
    <xf numFmtId="3" fontId="0" fillId="6" borderId="11" xfId="0" applyNumberFormat="1" applyFill="1" applyBorder="1" applyAlignment="1">
      <alignment horizontal="center"/>
    </xf>
    <xf numFmtId="3" fontId="34" fillId="4" borderId="21" xfId="11" applyNumberFormat="1" applyAlignment="1">
      <alignment horizontal="center"/>
    </xf>
    <xf numFmtId="0" fontId="36" fillId="0" borderId="0" xfId="0" applyFont="1" applyAlignment="1">
      <alignment horizontal="right"/>
    </xf>
    <xf numFmtId="0" fontId="36" fillId="0" borderId="12" xfId="0" applyFont="1" applyBorder="1" applyAlignment="1">
      <alignment horizontal="center"/>
    </xf>
    <xf numFmtId="0" fontId="0" fillId="5" borderId="13" xfId="0" applyFill="1" applyBorder="1" applyAlignment="1">
      <alignment horizontal="right" vertical="top" wrapText="1"/>
    </xf>
    <xf numFmtId="0" fontId="13" fillId="0" borderId="0" xfId="0" applyFont="1" applyAlignment="1">
      <alignment horizontal="right"/>
    </xf>
    <xf numFmtId="0" fontId="0" fillId="0" borderId="0" xfId="0" applyAlignment="1">
      <alignment horizontal="left"/>
    </xf>
    <xf numFmtId="3" fontId="0" fillId="0" borderId="0" xfId="0" applyNumberFormat="1"/>
    <xf numFmtId="3" fontId="0" fillId="0" borderId="0" xfId="0" applyNumberFormat="1" applyAlignment="1">
      <alignment horizontal="right"/>
    </xf>
    <xf numFmtId="0" fontId="28" fillId="7" borderId="0" xfId="10" applyFont="1" applyFill="1"/>
    <xf numFmtId="0" fontId="28" fillId="11" borderId="0" xfId="10" applyFont="1" applyFill="1"/>
    <xf numFmtId="0" fontId="29" fillId="11" borderId="0" xfId="0" applyFont="1" applyFill="1"/>
    <xf numFmtId="0" fontId="41" fillId="0" borderId="0" xfId="10" applyFont="1"/>
    <xf numFmtId="0" fontId="30" fillId="7" borderId="0" xfId="10" applyFont="1" applyFill="1"/>
    <xf numFmtId="0" fontId="30" fillId="9" borderId="0" xfId="10" applyFont="1" applyFill="1"/>
    <xf numFmtId="0" fontId="30" fillId="11" borderId="0" xfId="10" applyFont="1" applyFill="1"/>
    <xf numFmtId="0" fontId="37" fillId="9" borderId="0" xfId="10" applyFont="1" applyFill="1"/>
    <xf numFmtId="0" fontId="37" fillId="7" borderId="0" xfId="10" applyFont="1" applyFill="1"/>
    <xf numFmtId="0" fontId="37" fillId="11" borderId="0" xfId="10" applyFont="1" applyFill="1"/>
    <xf numFmtId="0" fontId="31" fillId="9" borderId="19" xfId="10" applyFont="1" applyFill="1" applyBorder="1" applyAlignment="1">
      <alignment horizontal="right" vertical="top" wrapText="1" readingOrder="1"/>
    </xf>
    <xf numFmtId="169" fontId="31" fillId="9" borderId="20" xfId="10" applyNumberFormat="1" applyFont="1" applyFill="1" applyBorder="1" applyAlignment="1">
      <alignment vertical="top" wrapText="1" readingOrder="1"/>
    </xf>
    <xf numFmtId="0" fontId="31" fillId="7" borderId="19" xfId="10" applyFont="1" applyFill="1" applyBorder="1" applyAlignment="1">
      <alignment horizontal="left" vertical="top" wrapText="1" readingOrder="1"/>
    </xf>
    <xf numFmtId="0" fontId="31" fillId="7" borderId="19" xfId="10" applyFont="1" applyFill="1" applyBorder="1" applyAlignment="1">
      <alignment horizontal="right" vertical="top" wrapText="1" readingOrder="1"/>
    </xf>
    <xf numFmtId="169" fontId="31" fillId="7" borderId="20" xfId="10" applyNumberFormat="1" applyFont="1" applyFill="1" applyBorder="1" applyAlignment="1">
      <alignment vertical="top" wrapText="1" readingOrder="1"/>
    </xf>
    <xf numFmtId="0" fontId="13" fillId="0" borderId="0" xfId="12" applyFill="1" applyAlignment="1">
      <alignment horizontal="left"/>
    </xf>
    <xf numFmtId="0" fontId="13" fillId="0" borderId="0" xfId="12" applyFill="1" applyAlignment="1">
      <alignment horizontal="left" wrapText="1"/>
    </xf>
    <xf numFmtId="0" fontId="28" fillId="0" borderId="0" xfId="10" applyFont="1" applyAlignment="1">
      <alignment horizontal="right"/>
    </xf>
    <xf numFmtId="0" fontId="28" fillId="12" borderId="0" xfId="10" applyFont="1" applyFill="1"/>
    <xf numFmtId="0" fontId="28" fillId="12" borderId="0" xfId="10" applyFont="1" applyFill="1" applyAlignment="1">
      <alignment horizontal="left"/>
    </xf>
    <xf numFmtId="0" fontId="28" fillId="10" borderId="0" xfId="10" applyFont="1" applyFill="1"/>
    <xf numFmtId="0" fontId="28" fillId="10" borderId="17" xfId="10" applyFont="1" applyFill="1" applyBorder="1" applyAlignment="1">
      <alignment horizontal="right" vertical="top"/>
    </xf>
    <xf numFmtId="0" fontId="29" fillId="10" borderId="0" xfId="0" applyFont="1" applyFill="1" applyAlignment="1">
      <alignment horizontal="right"/>
    </xf>
    <xf numFmtId="0" fontId="17" fillId="10" borderId="9" xfId="5" applyFill="1"/>
    <xf numFmtId="0" fontId="37" fillId="12" borderId="0" xfId="10" applyFont="1" applyFill="1" applyAlignment="1">
      <alignment horizontal="left" vertical="top"/>
    </xf>
    <xf numFmtId="0" fontId="37" fillId="0" borderId="0" xfId="10" applyFont="1" applyAlignment="1">
      <alignment vertical="top"/>
    </xf>
    <xf numFmtId="0" fontId="0" fillId="7" borderId="0" xfId="0" applyFill="1"/>
    <xf numFmtId="0" fontId="31" fillId="9" borderId="22" xfId="10" applyFont="1" applyFill="1" applyBorder="1" applyAlignment="1">
      <alignment horizontal="left" vertical="top" wrapText="1" readingOrder="1"/>
    </xf>
    <xf numFmtId="0" fontId="31" fillId="9" borderId="22" xfId="10" applyFont="1" applyFill="1" applyBorder="1" applyAlignment="1">
      <alignment horizontal="right" vertical="top" wrapText="1" readingOrder="1"/>
    </xf>
    <xf numFmtId="169" fontId="31" fillId="9" borderId="23" xfId="10" applyNumberFormat="1" applyFont="1" applyFill="1" applyBorder="1" applyAlignment="1">
      <alignment vertical="top" wrapText="1" readingOrder="1"/>
    </xf>
    <xf numFmtId="0" fontId="42" fillId="12" borderId="24" xfId="10" applyFont="1" applyFill="1" applyBorder="1" applyAlignment="1">
      <alignment horizontal="left" vertical="top" wrapText="1" readingOrder="1"/>
    </xf>
    <xf numFmtId="0" fontId="37" fillId="12" borderId="7" xfId="10" applyFont="1" applyFill="1" applyBorder="1" applyAlignment="1">
      <alignment horizontal="right" vertical="top"/>
    </xf>
    <xf numFmtId="0" fontId="37" fillId="12" borderId="7" xfId="10" applyFont="1" applyFill="1" applyBorder="1" applyAlignment="1">
      <alignment horizontal="left" vertical="top"/>
    </xf>
    <xf numFmtId="0" fontId="37" fillId="0" borderId="7" xfId="10" applyFont="1" applyBorder="1" applyAlignment="1">
      <alignment vertical="top"/>
    </xf>
    <xf numFmtId="0" fontId="38" fillId="11" borderId="7" xfId="0" applyFont="1" applyFill="1" applyBorder="1" applyAlignment="1">
      <alignment vertical="top"/>
    </xf>
    <xf numFmtId="0" fontId="39" fillId="0" borderId="7" xfId="10" applyFont="1" applyBorder="1" applyAlignment="1">
      <alignment vertical="top"/>
    </xf>
    <xf numFmtId="0" fontId="38" fillId="7" borderId="7" xfId="0" applyFont="1" applyFill="1" applyBorder="1" applyAlignment="1">
      <alignment vertical="top"/>
    </xf>
    <xf numFmtId="0" fontId="40" fillId="9" borderId="7" xfId="0" applyFont="1" applyFill="1" applyBorder="1" applyAlignment="1">
      <alignment vertical="top"/>
    </xf>
    <xf numFmtId="1" fontId="41" fillId="7" borderId="0" xfId="10" applyNumberFormat="1" applyFont="1" applyFill="1"/>
    <xf numFmtId="0" fontId="44" fillId="7" borderId="7" xfId="0" applyFont="1" applyFill="1" applyBorder="1" applyAlignment="1">
      <alignment vertical="top"/>
    </xf>
    <xf numFmtId="0" fontId="45" fillId="0" borderId="0" xfId="10" applyFont="1"/>
    <xf numFmtId="0" fontId="45" fillId="9" borderId="0" xfId="10" applyFont="1" applyFill="1"/>
    <xf numFmtId="0" fontId="44" fillId="9" borderId="7" xfId="0" applyFont="1" applyFill="1" applyBorder="1" applyAlignment="1">
      <alignment vertical="top"/>
    </xf>
    <xf numFmtId="1" fontId="41" fillId="9" borderId="0" xfId="10" applyNumberFormat="1" applyFont="1" applyFill="1"/>
    <xf numFmtId="0" fontId="29" fillId="0" borderId="0" xfId="0" applyFont="1"/>
    <xf numFmtId="0" fontId="46" fillId="13" borderId="25" xfId="0" applyFont="1" applyFill="1" applyBorder="1" applyAlignment="1">
      <alignment vertical="center" wrapText="1"/>
    </xf>
    <xf numFmtId="0" fontId="46" fillId="13" borderId="26" xfId="0" applyFont="1" applyFill="1" applyBorder="1" applyAlignment="1">
      <alignment vertical="center" wrapText="1"/>
    </xf>
    <xf numFmtId="0" fontId="47" fillId="13" borderId="25" xfId="0" applyFont="1" applyFill="1" applyBorder="1" applyAlignment="1">
      <alignment vertical="center" wrapText="1"/>
    </xf>
    <xf numFmtId="0" fontId="48" fillId="14" borderId="27" xfId="0" applyFont="1" applyFill="1" applyBorder="1" applyAlignment="1">
      <alignment vertical="center" wrapText="1"/>
    </xf>
    <xf numFmtId="0" fontId="48" fillId="14" borderId="28" xfId="0" applyFont="1" applyFill="1" applyBorder="1" applyAlignment="1">
      <alignment vertical="center" wrapText="1"/>
    </xf>
    <xf numFmtId="0" fontId="48" fillId="14" borderId="29" xfId="0" applyFont="1" applyFill="1" applyBorder="1" applyAlignment="1">
      <alignment vertical="center" wrapText="1"/>
    </xf>
    <xf numFmtId="0" fontId="48" fillId="14" borderId="30" xfId="0" applyFont="1" applyFill="1" applyBorder="1" applyAlignment="1">
      <alignment vertical="center" wrapText="1"/>
    </xf>
    <xf numFmtId="0" fontId="48" fillId="0" borderId="28" xfId="0" applyFont="1" applyBorder="1" applyAlignment="1">
      <alignment vertical="center" wrapText="1"/>
    </xf>
    <xf numFmtId="0" fontId="48" fillId="0" borderId="30" xfId="0" applyFont="1" applyBorder="1" applyAlignment="1">
      <alignment vertical="center" wrapText="1"/>
    </xf>
    <xf numFmtId="1" fontId="43" fillId="7" borderId="0" xfId="0" applyNumberFormat="1" applyFont="1" applyFill="1"/>
    <xf numFmtId="1" fontId="43" fillId="9" borderId="0" xfId="0" applyNumberFormat="1" applyFont="1" applyFill="1"/>
    <xf numFmtId="0" fontId="29" fillId="11" borderId="2" xfId="0" applyFont="1" applyFill="1" applyBorder="1"/>
    <xf numFmtId="0" fontId="49" fillId="11" borderId="0" xfId="0" applyFont="1" applyFill="1"/>
    <xf numFmtId="0" fontId="2" fillId="7" borderId="0" xfId="0" applyFont="1" applyFill="1"/>
    <xf numFmtId="165" fontId="20" fillId="0" borderId="0" xfId="8" applyNumberFormat="1"/>
    <xf numFmtId="0" fontId="0" fillId="9" borderId="11" xfId="0" applyFill="1" applyBorder="1"/>
    <xf numFmtId="0" fontId="13" fillId="0" borderId="11" xfId="0" applyFont="1" applyBorder="1" applyAlignment="1">
      <alignment horizontal="left"/>
    </xf>
    <xf numFmtId="0" fontId="0" fillId="7" borderId="4" xfId="0" applyFill="1" applyBorder="1"/>
    <xf numFmtId="0" fontId="2" fillId="7" borderId="6" xfId="0" applyFont="1" applyFill="1" applyBorder="1" applyAlignment="1">
      <alignment horizontal="right" vertical="top"/>
    </xf>
    <xf numFmtId="0" fontId="2" fillId="7" borderId="6" xfId="0" applyFont="1" applyFill="1" applyBorder="1" applyAlignment="1">
      <alignment vertical="top"/>
    </xf>
    <xf numFmtId="0" fontId="2" fillId="7" borderId="7" xfId="0" applyFont="1" applyFill="1" applyBorder="1" applyAlignment="1">
      <alignment horizontal="right" vertical="top"/>
    </xf>
    <xf numFmtId="0" fontId="2" fillId="7" borderId="7" xfId="0" applyFont="1" applyFill="1" applyBorder="1" applyAlignment="1">
      <alignment vertical="top"/>
    </xf>
    <xf numFmtId="0" fontId="2" fillId="7" borderId="7" xfId="0" applyFont="1" applyFill="1" applyBorder="1" applyAlignment="1">
      <alignment horizontal="left" vertical="top" wrapText="1"/>
    </xf>
    <xf numFmtId="0" fontId="50" fillId="0" borderId="0" xfId="0" applyFont="1"/>
    <xf numFmtId="0" fontId="41" fillId="7" borderId="0" xfId="10" applyFont="1" applyFill="1" applyAlignment="1">
      <alignment horizontal="right"/>
    </xf>
    <xf numFmtId="0" fontId="41" fillId="9" borderId="0" xfId="10" applyFont="1" applyFill="1" applyAlignment="1">
      <alignment horizontal="right"/>
    </xf>
    <xf numFmtId="0" fontId="23" fillId="0" borderId="0" xfId="0" applyFont="1" applyAlignment="1">
      <alignment horizontal="left"/>
    </xf>
    <xf numFmtId="0" fontId="52" fillId="0" borderId="0" xfId="0" applyFont="1"/>
    <xf numFmtId="0" fontId="53" fillId="0" borderId="0" xfId="0" applyFont="1"/>
    <xf numFmtId="0" fontId="54" fillId="0" borderId="0" xfId="0" applyFont="1"/>
    <xf numFmtId="0" fontId="15" fillId="0" borderId="13" xfId="0" applyFont="1" applyBorder="1"/>
    <xf numFmtId="0" fontId="15" fillId="0" borderId="12" xfId="0" applyFont="1" applyBorder="1"/>
    <xf numFmtId="0" fontId="15" fillId="0" borderId="13" xfId="0" applyFont="1" applyBorder="1" applyAlignment="1">
      <alignment vertical="center"/>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4" xfId="0" applyFont="1" applyBorder="1"/>
    <xf numFmtId="0" fontId="17" fillId="3" borderId="31" xfId="5" applyBorder="1"/>
    <xf numFmtId="0" fontId="0" fillId="0" borderId="15" xfId="0" applyBorder="1"/>
    <xf numFmtId="0" fontId="0" fillId="0" borderId="32" xfId="0" applyBorder="1"/>
    <xf numFmtId="0" fontId="3" fillId="0" borderId="32" xfId="0" applyFont="1" applyBorder="1"/>
    <xf numFmtId="0" fontId="0" fillId="0" borderId="16" xfId="0" applyBorder="1"/>
    <xf numFmtId="0" fontId="18" fillId="4" borderId="9" xfId="6"/>
    <xf numFmtId="164" fontId="19" fillId="0" borderId="10" xfId="7" applyNumberFormat="1" applyFill="1"/>
    <xf numFmtId="0" fontId="19" fillId="0" borderId="10" xfId="7" applyFill="1"/>
    <xf numFmtId="9" fontId="17" fillId="3" borderId="9" xfId="2" applyFont="1" applyFill="1" applyBorder="1"/>
    <xf numFmtId="0" fontId="36" fillId="0" borderId="0" xfId="0" applyFont="1" applyAlignment="1">
      <alignment horizontal="center"/>
    </xf>
    <xf numFmtId="0" fontId="0" fillId="0" borderId="0" xfId="0" applyAlignment="1">
      <alignment horizontal="right" wrapText="1"/>
    </xf>
    <xf numFmtId="9" fontId="18" fillId="4" borderId="0" xfId="2" applyFont="1" applyFill="1" applyBorder="1"/>
    <xf numFmtId="9" fontId="34" fillId="4" borderId="21" xfId="11" applyNumberFormat="1" applyAlignment="1">
      <alignment horizontal="center" wrapText="1"/>
    </xf>
    <xf numFmtId="2" fontId="17" fillId="3" borderId="9" xfId="5" applyNumberFormat="1" applyAlignment="1">
      <alignment horizontal="left"/>
    </xf>
    <xf numFmtId="0" fontId="21" fillId="0" borderId="0" xfId="9" applyBorder="1" applyAlignment="1"/>
    <xf numFmtId="0" fontId="22" fillId="0" borderId="0" xfId="0" applyFont="1" applyAlignment="1">
      <alignment horizontal="right"/>
    </xf>
    <xf numFmtId="0" fontId="20" fillId="0" borderId="0" xfId="8" applyAlignment="1">
      <alignment horizontal="right"/>
    </xf>
    <xf numFmtId="0" fontId="33" fillId="0" borderId="0" xfId="8" applyFont="1" applyBorder="1" applyAlignment="1">
      <alignment horizontal="right"/>
    </xf>
    <xf numFmtId="0" fontId="2" fillId="7" borderId="0" xfId="0" applyFont="1" applyFill="1" applyAlignment="1">
      <alignment horizontal="right" wrapText="1"/>
    </xf>
    <xf numFmtId="0" fontId="22" fillId="7" borderId="0" xfId="0" applyFont="1" applyFill="1"/>
    <xf numFmtId="0" fontId="20" fillId="7" borderId="0" xfId="8" applyFill="1" applyBorder="1"/>
    <xf numFmtId="0" fontId="2" fillId="5" borderId="5" xfId="0" applyFont="1" applyFill="1" applyBorder="1" applyAlignment="1">
      <alignment horizontal="right" wrapText="1"/>
    </xf>
    <xf numFmtId="1" fontId="0" fillId="7" borderId="0" xfId="0" applyNumberFormat="1" applyFill="1"/>
    <xf numFmtId="1" fontId="22" fillId="7" borderId="0" xfId="0" applyNumberFormat="1" applyFont="1" applyFill="1"/>
    <xf numFmtId="3" fontId="22" fillId="7" borderId="0" xfId="0" applyNumberFormat="1" applyFont="1" applyFill="1"/>
    <xf numFmtId="4" fontId="0" fillId="0" borderId="0" xfId="0" applyNumberFormat="1"/>
    <xf numFmtId="0" fontId="2" fillId="0" borderId="2" xfId="0" applyFont="1" applyBorder="1"/>
    <xf numFmtId="0" fontId="2" fillId="0" borderId="13" xfId="0" applyFont="1" applyBorder="1" applyAlignment="1">
      <alignment wrapText="1"/>
    </xf>
    <xf numFmtId="0" fontId="2" fillId="0" borderId="14" xfId="0" applyFont="1" applyBorder="1" applyAlignment="1">
      <alignment wrapText="1"/>
    </xf>
    <xf numFmtId="0" fontId="2" fillId="0" borderId="12" xfId="0" applyFont="1" applyBorder="1" applyAlignment="1">
      <alignment wrapText="1"/>
    </xf>
    <xf numFmtId="0" fontId="57" fillId="0" borderId="0" xfId="0" applyFont="1"/>
    <xf numFmtId="0" fontId="56" fillId="0" borderId="0" xfId="13"/>
    <xf numFmtId="0" fontId="58" fillId="0" borderId="0" xfId="0" applyFont="1"/>
    <xf numFmtId="0" fontId="22" fillId="0" borderId="0" xfId="0" applyFont="1"/>
    <xf numFmtId="0" fontId="59" fillId="0" borderId="0" xfId="0" applyFont="1"/>
    <xf numFmtId="0" fontId="21" fillId="0" borderId="0" xfId="9" applyBorder="1" applyAlignment="1">
      <alignment horizontal="right"/>
    </xf>
    <xf numFmtId="0" fontId="35" fillId="5" borderId="7" xfId="0" applyFont="1" applyFill="1" applyBorder="1" applyAlignment="1">
      <alignment horizontal="center"/>
    </xf>
    <xf numFmtId="0" fontId="0" fillId="9" borderId="0" xfId="0" applyFill="1"/>
    <xf numFmtId="0" fontId="20" fillId="9" borderId="0" xfId="8" applyFill="1" applyBorder="1" applyAlignment="1">
      <alignment horizontal="right"/>
    </xf>
    <xf numFmtId="0" fontId="20" fillId="9" borderId="0" xfId="8" applyFill="1" applyBorder="1"/>
    <xf numFmtId="0" fontId="2" fillId="9" borderId="0" xfId="0" applyFont="1" applyFill="1"/>
    <xf numFmtId="0" fontId="0" fillId="9" borderId="0" xfId="0" applyFill="1" applyAlignment="1">
      <alignment horizontal="right"/>
    </xf>
    <xf numFmtId="0" fontId="61" fillId="0" borderId="0" xfId="0" applyFont="1"/>
    <xf numFmtId="0" fontId="21" fillId="0" borderId="0" xfId="9" applyAlignment="1">
      <alignment vertical="top"/>
    </xf>
    <xf numFmtId="0" fontId="0" fillId="0" borderId="0" xfId="0" applyAlignment="1">
      <alignment vertical="top"/>
    </xf>
    <xf numFmtId="0" fontId="0" fillId="6" borderId="15" xfId="0" applyFill="1" applyBorder="1" applyAlignment="1">
      <alignment horizontal="center"/>
    </xf>
    <xf numFmtId="0" fontId="0" fillId="9" borderId="5" xfId="0" applyFill="1" applyBorder="1"/>
    <xf numFmtId="0" fontId="20" fillId="0" borderId="0" xfId="8" applyAlignment="1">
      <alignment horizontal="right" vertical="top"/>
    </xf>
    <xf numFmtId="0" fontId="17" fillId="3" borderId="9" xfId="5" applyAlignment="1">
      <alignment horizontal="left" vertical="top" wrapText="1"/>
    </xf>
    <xf numFmtId="0" fontId="0" fillId="9" borderId="0" xfId="0" applyFill="1" applyAlignment="1">
      <alignment vertical="top"/>
    </xf>
    <xf numFmtId="0" fontId="0" fillId="9" borderId="5" xfId="0" applyFill="1" applyBorder="1" applyAlignment="1">
      <alignment vertical="top"/>
    </xf>
    <xf numFmtId="0" fontId="20" fillId="0" borderId="0" xfId="8" quotePrefix="1" applyAlignment="1">
      <alignment horizontal="right"/>
    </xf>
    <xf numFmtId="0" fontId="56" fillId="0" borderId="0" xfId="13" applyAlignment="1">
      <alignment vertical="top"/>
    </xf>
    <xf numFmtId="0" fontId="64" fillId="0" borderId="11" xfId="0" applyFont="1" applyBorder="1"/>
    <xf numFmtId="0" fontId="65" fillId="0" borderId="11" xfId="0" applyFont="1" applyBorder="1"/>
    <xf numFmtId="0" fontId="65" fillId="0" borderId="4" xfId="0" applyFont="1" applyBorder="1"/>
    <xf numFmtId="0" fontId="65" fillId="0" borderId="0" xfId="0" applyFont="1"/>
    <xf numFmtId="2" fontId="65" fillId="0" borderId="11" xfId="0" applyNumberFormat="1" applyFont="1" applyBorder="1"/>
    <xf numFmtId="0" fontId="66" fillId="0" borderId="4" xfId="0" applyFont="1" applyBorder="1"/>
    <xf numFmtId="166" fontId="18" fillId="4" borderId="9" xfId="2" applyNumberFormat="1" applyFont="1" applyFill="1" applyBorder="1" applyAlignment="1">
      <alignment horizontal="center"/>
    </xf>
    <xf numFmtId="0" fontId="64" fillId="5" borderId="11" xfId="0" applyFont="1" applyFill="1" applyBorder="1" applyAlignment="1">
      <alignment horizontal="right"/>
    </xf>
    <xf numFmtId="167" fontId="68" fillId="4" borderId="9" xfId="6" applyNumberFormat="1" applyFont="1"/>
    <xf numFmtId="0" fontId="67" fillId="0" borderId="0" xfId="0" applyFont="1"/>
    <xf numFmtId="0" fontId="20" fillId="0" borderId="0" xfId="8" applyFill="1" applyAlignment="1">
      <alignment vertical="top"/>
    </xf>
    <xf numFmtId="0" fontId="20" fillId="0" borderId="0" xfId="8" applyFill="1"/>
    <xf numFmtId="0" fontId="20" fillId="0" borderId="4" xfId="8" applyBorder="1"/>
    <xf numFmtId="0" fontId="2" fillId="7" borderId="11" xfId="0" applyFont="1" applyFill="1" applyBorder="1" applyAlignment="1">
      <alignment vertical="top" wrapText="1"/>
    </xf>
    <xf numFmtId="0" fontId="0" fillId="7" borderId="0" xfId="0" applyFill="1" applyAlignment="1">
      <alignment vertical="top" wrapText="1"/>
    </xf>
    <xf numFmtId="0" fontId="0" fillId="7" borderId="11" xfId="0" applyFill="1" applyBorder="1" applyAlignment="1">
      <alignment vertical="top" wrapText="1"/>
    </xf>
    <xf numFmtId="1" fontId="0" fillId="7" borderId="0" xfId="0" applyNumberFormat="1" applyFill="1" applyAlignment="1">
      <alignment vertical="top" wrapText="1"/>
    </xf>
    <xf numFmtId="168" fontId="0" fillId="7" borderId="0" xfId="0" applyNumberFormat="1" applyFill="1" applyAlignment="1">
      <alignment vertical="top" wrapText="1"/>
    </xf>
    <xf numFmtId="0" fontId="2" fillId="7" borderId="11" xfId="0" applyFont="1" applyFill="1" applyBorder="1"/>
    <xf numFmtId="0" fontId="0" fillId="7" borderId="11" xfId="0" applyFill="1" applyBorder="1"/>
    <xf numFmtId="0" fontId="24" fillId="7" borderId="0" xfId="0" applyFont="1" applyFill="1"/>
    <xf numFmtId="0" fontId="0" fillId="7" borderId="0" xfId="0" applyFill="1" applyAlignment="1">
      <alignment horizontal="left" vertical="top" wrapText="1"/>
    </xf>
    <xf numFmtId="2" fontId="0" fillId="7" borderId="11" xfId="0" applyNumberFormat="1" applyFill="1" applyBorder="1"/>
    <xf numFmtId="0" fontId="69" fillId="0" borderId="0" xfId="0" applyFont="1"/>
    <xf numFmtId="0" fontId="70" fillId="0" borderId="0" xfId="0" applyFont="1"/>
    <xf numFmtId="0" fontId="70" fillId="0" borderId="0" xfId="0" applyFont="1" applyAlignment="1">
      <alignment horizontal="right"/>
    </xf>
    <xf numFmtId="0" fontId="2" fillId="0" borderId="2" xfId="0" quotePrefix="1" applyFont="1" applyBorder="1"/>
    <xf numFmtId="3" fontId="2" fillId="0" borderId="2" xfId="0" applyNumberFormat="1" applyFont="1" applyBorder="1"/>
    <xf numFmtId="3" fontId="2" fillId="0" borderId="0" xfId="0" applyNumberFormat="1" applyFont="1"/>
    <xf numFmtId="9" fontId="2" fillId="0" borderId="2" xfId="2" applyFont="1" applyBorder="1"/>
    <xf numFmtId="9" fontId="2" fillId="0" borderId="0" xfId="2" applyFont="1" applyBorder="1"/>
    <xf numFmtId="0" fontId="59" fillId="0" borderId="0" xfId="0" quotePrefix="1" applyFont="1"/>
    <xf numFmtId="9" fontId="15" fillId="0" borderId="0" xfId="2" applyFont="1" applyBorder="1"/>
    <xf numFmtId="3" fontId="0" fillId="6" borderId="0" xfId="0" applyNumberFormat="1" applyFill="1" applyAlignment="1">
      <alignment horizontal="right"/>
    </xf>
    <xf numFmtId="3" fontId="2" fillId="0" borderId="0" xfId="0" applyNumberFormat="1" applyFont="1" applyAlignment="1">
      <alignment horizontal="right"/>
    </xf>
    <xf numFmtId="0" fontId="20" fillId="7" borderId="0" xfId="8" applyFill="1"/>
    <xf numFmtId="0" fontId="21" fillId="0" borderId="0" xfId="9" applyAlignment="1"/>
    <xf numFmtId="0" fontId="71" fillId="0" borderId="0" xfId="8" applyFont="1" applyAlignment="1"/>
    <xf numFmtId="0" fontId="50" fillId="0" borderId="11" xfId="0" applyFont="1" applyBorder="1" applyAlignment="1">
      <alignment horizontal="left"/>
    </xf>
    <xf numFmtId="0" fontId="59" fillId="0" borderId="0" xfId="0" applyFont="1" applyAlignment="1">
      <alignment horizontal="right"/>
    </xf>
    <xf numFmtId="9" fontId="34" fillId="4" borderId="21" xfId="11" applyNumberFormat="1"/>
    <xf numFmtId="9" fontId="34" fillId="4" borderId="21" xfId="11" applyNumberFormat="1" applyAlignment="1">
      <alignment horizontal="right"/>
    </xf>
    <xf numFmtId="3" fontId="18" fillId="4" borderId="9" xfId="6" applyNumberFormat="1" applyAlignment="1">
      <alignment horizontal="right"/>
    </xf>
    <xf numFmtId="3" fontId="34" fillId="6" borderId="21" xfId="11" applyNumberFormat="1" applyFill="1" applyAlignment="1">
      <alignment horizontal="right"/>
    </xf>
    <xf numFmtId="9" fontId="18" fillId="4" borderId="9" xfId="2" applyFont="1" applyFill="1" applyBorder="1" applyAlignment="1">
      <alignment horizontal="right"/>
    </xf>
    <xf numFmtId="0" fontId="67" fillId="0" borderId="0" xfId="8" applyFont="1" applyAlignment="1">
      <alignment horizontal="right"/>
    </xf>
    <xf numFmtId="0" fontId="45" fillId="15" borderId="17" xfId="10" applyFont="1" applyFill="1" applyBorder="1" applyAlignment="1">
      <alignment vertical="top"/>
    </xf>
    <xf numFmtId="0" fontId="45" fillId="15" borderId="17" xfId="10" applyFont="1" applyFill="1" applyBorder="1" applyAlignment="1">
      <alignment vertical="top" wrapText="1"/>
    </xf>
    <xf numFmtId="3" fontId="45" fillId="15" borderId="17" xfId="10" applyNumberFormat="1" applyFont="1" applyFill="1" applyBorder="1" applyAlignment="1">
      <alignment vertical="top" wrapText="1"/>
    </xf>
    <xf numFmtId="0" fontId="28" fillId="15" borderId="17" xfId="10" applyFont="1" applyFill="1" applyBorder="1" applyAlignment="1">
      <alignment vertical="top" wrapText="1"/>
    </xf>
    <xf numFmtId="0" fontId="45" fillId="15" borderId="0" xfId="10" applyFont="1" applyFill="1" applyAlignment="1">
      <alignment horizontal="left"/>
    </xf>
    <xf numFmtId="0" fontId="28" fillId="15" borderId="0" xfId="10" applyFont="1" applyFill="1"/>
    <xf numFmtId="3" fontId="45" fillId="15" borderId="0" xfId="10" applyNumberFormat="1" applyFont="1" applyFill="1" applyAlignment="1">
      <alignment vertical="top" wrapText="1"/>
    </xf>
    <xf numFmtId="0" fontId="45" fillId="15" borderId="0" xfId="10" applyFont="1" applyFill="1" applyAlignment="1">
      <alignment vertical="top"/>
    </xf>
    <xf numFmtId="0" fontId="74" fillId="0" borderId="0" xfId="8" applyFont="1" applyAlignment="1">
      <alignment horizontal="right"/>
    </xf>
    <xf numFmtId="0" fontId="32" fillId="0" borderId="0" xfId="0" applyFont="1"/>
    <xf numFmtId="0" fontId="31" fillId="6" borderId="19" xfId="10" applyFont="1" applyFill="1" applyBorder="1" applyAlignment="1">
      <alignment horizontal="right" vertical="top" wrapText="1" readingOrder="1"/>
    </xf>
    <xf numFmtId="0" fontId="75" fillId="0" borderId="0" xfId="0" applyFont="1" applyAlignment="1">
      <alignment horizontal="right"/>
    </xf>
    <xf numFmtId="0" fontId="0" fillId="6" borderId="0" xfId="0" applyFill="1"/>
    <xf numFmtId="9" fontId="19" fillId="0" borderId="10" xfId="7" applyNumberFormat="1" applyFill="1"/>
    <xf numFmtId="0" fontId="77" fillId="5" borderId="0" xfId="0" applyFont="1" applyFill="1" applyAlignment="1">
      <alignment vertical="center"/>
    </xf>
    <xf numFmtId="0" fontId="77" fillId="0" borderId="0" xfId="0" applyFont="1" applyAlignment="1">
      <alignment vertical="center"/>
    </xf>
    <xf numFmtId="43" fontId="75" fillId="0" borderId="0" xfId="0" applyNumberFormat="1" applyFont="1" applyAlignment="1">
      <alignment horizontal="right"/>
    </xf>
    <xf numFmtId="164" fontId="0" fillId="0" borderId="0" xfId="1" applyNumberFormat="1" applyFont="1"/>
    <xf numFmtId="0" fontId="0" fillId="0" borderId="3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9" fillId="0" borderId="5" xfId="0" applyFont="1" applyBorder="1" applyAlignment="1">
      <alignment horizontal="center" vertical="center"/>
    </xf>
    <xf numFmtId="0" fontId="0" fillId="16" borderId="0" xfId="0" applyFill="1"/>
    <xf numFmtId="0" fontId="0" fillId="0" borderId="34" xfId="0" applyBorder="1"/>
    <xf numFmtId="0" fontId="0" fillId="0" borderId="35" xfId="0" applyBorder="1" applyAlignment="1">
      <alignment horizontal="center" vertical="center"/>
    </xf>
    <xf numFmtId="9" fontId="29" fillId="0" borderId="0" xfId="0" applyNumberFormat="1" applyFont="1" applyAlignment="1">
      <alignment horizontal="center" vertical="center"/>
    </xf>
    <xf numFmtId="9" fontId="29" fillId="0" borderId="5" xfId="0" applyNumberFormat="1" applyFont="1" applyBorder="1" applyAlignment="1">
      <alignment horizontal="center" vertical="center"/>
    </xf>
    <xf numFmtId="0" fontId="79" fillId="0" borderId="0" xfId="0" applyFont="1" applyAlignment="1">
      <alignment horizontal="left" vertical="center"/>
    </xf>
    <xf numFmtId="0" fontId="79" fillId="0" borderId="0" xfId="0" applyFont="1"/>
    <xf numFmtId="0" fontId="29" fillId="0" borderId="4" xfId="0" applyFont="1" applyBorder="1" applyAlignment="1">
      <alignment horizontal="center" vertical="center"/>
    </xf>
    <xf numFmtId="0" fontId="29" fillId="0" borderId="0" xfId="0" applyFont="1" applyAlignment="1">
      <alignment horizontal="center" vertical="center"/>
    </xf>
    <xf numFmtId="165" fontId="80" fillId="0" borderId="0" xfId="3" applyNumberFormat="1" applyFont="1"/>
    <xf numFmtId="165" fontId="0" fillId="9" borderId="0" xfId="0" applyNumberFormat="1" applyFill="1"/>
    <xf numFmtId="0" fontId="5" fillId="0" borderId="0" xfId="0" applyFont="1" applyAlignment="1">
      <alignment vertical="center"/>
    </xf>
    <xf numFmtId="0" fontId="0" fillId="17" borderId="0" xfId="0" applyFill="1"/>
    <xf numFmtId="164" fontId="0" fillId="16" borderId="0" xfId="1" applyNumberFormat="1" applyFont="1" applyFill="1" applyBorder="1"/>
    <xf numFmtId="1" fontId="0" fillId="17" borderId="0" xfId="0" applyNumberFormat="1" applyFill="1"/>
    <xf numFmtId="166" fontId="0" fillId="0" borderId="0" xfId="0" applyNumberFormat="1"/>
    <xf numFmtId="164" fontId="0" fillId="6" borderId="0" xfId="0" applyNumberFormat="1" applyFill="1"/>
    <xf numFmtId="0" fontId="81" fillId="0" borderId="0" xfId="0" applyFont="1"/>
    <xf numFmtId="2" fontId="0" fillId="17" borderId="0" xfId="0" applyNumberFormat="1" applyFill="1"/>
    <xf numFmtId="0" fontId="13" fillId="0" borderId="0" xfId="8" applyFont="1" applyAlignment="1">
      <alignment horizontal="left"/>
    </xf>
    <xf numFmtId="0" fontId="13" fillId="0" borderId="0" xfId="12" applyAlignment="1">
      <alignment horizontal="left"/>
    </xf>
    <xf numFmtId="0" fontId="23" fillId="0" borderId="0" xfId="0" applyFont="1" applyAlignment="1">
      <alignment horizontal="left" vertical="top" wrapText="1"/>
    </xf>
    <xf numFmtId="0" fontId="0" fillId="6" borderId="0" xfId="0" applyFill="1" applyAlignment="1">
      <alignment horizontal="right"/>
    </xf>
    <xf numFmtId="0" fontId="20" fillId="0" borderId="0" xfId="8" applyFill="1" applyBorder="1" applyAlignment="1">
      <alignment horizontal="left" vertical="top" wrapText="1"/>
    </xf>
    <xf numFmtId="9" fontId="0" fillId="0" borderId="0" xfId="0" applyNumberFormat="1" applyAlignment="1">
      <alignment horizontal="right"/>
    </xf>
    <xf numFmtId="0" fontId="76" fillId="0" borderId="0" xfId="0" applyFont="1"/>
    <xf numFmtId="43" fontId="0" fillId="0" borderId="0" xfId="0" applyNumberFormat="1" applyAlignment="1">
      <alignment horizontal="right"/>
    </xf>
    <xf numFmtId="1" fontId="0" fillId="0" borderId="0" xfId="0" applyNumberFormat="1" applyAlignment="1">
      <alignment horizontal="right"/>
    </xf>
    <xf numFmtId="170" fontId="0" fillId="0" borderId="0" xfId="1" applyNumberFormat="1" applyFont="1" applyFill="1"/>
    <xf numFmtId="164" fontId="0" fillId="0" borderId="0" xfId="1" applyNumberFormat="1" applyFont="1" applyFill="1"/>
    <xf numFmtId="9" fontId="0" fillId="0" borderId="0" xfId="2" applyFont="1" applyFill="1"/>
    <xf numFmtId="0" fontId="21" fillId="0" borderId="0" xfId="9" applyFill="1" applyBorder="1" applyAlignment="1">
      <alignment horizontal="right"/>
    </xf>
    <xf numFmtId="0" fontId="17" fillId="3" borderId="9" xfId="5" applyAlignment="1">
      <alignment vertical="top"/>
    </xf>
    <xf numFmtId="2" fontId="34" fillId="0" borderId="0" xfId="11" applyNumberFormat="1" applyFill="1" applyBorder="1"/>
    <xf numFmtId="3" fontId="34" fillId="0" borderId="0" xfId="11" applyNumberFormat="1" applyFill="1" applyBorder="1"/>
    <xf numFmtId="0" fontId="34" fillId="0" borderId="0" xfId="11" applyFill="1" applyBorder="1"/>
    <xf numFmtId="166" fontId="34" fillId="0" borderId="0" xfId="11" applyNumberFormat="1" applyFill="1" applyBorder="1"/>
    <xf numFmtId="0" fontId="67" fillId="0" borderId="0" xfId="8" applyFont="1" applyAlignment="1">
      <alignment horizontal="right" wrapText="1"/>
    </xf>
    <xf numFmtId="164" fontId="67" fillId="0" borderId="0" xfId="8" applyNumberFormat="1" applyFont="1" applyAlignment="1">
      <alignment horizontal="right"/>
    </xf>
    <xf numFmtId="0" fontId="67" fillId="0" borderId="0" xfId="8" applyFont="1" applyFill="1" applyAlignment="1">
      <alignment horizontal="right"/>
    </xf>
    <xf numFmtId="0" fontId="59" fillId="9" borderId="0" xfId="0" applyFont="1" applyFill="1" applyAlignment="1">
      <alignment vertical="top"/>
    </xf>
    <xf numFmtId="0" fontId="59" fillId="9" borderId="0" xfId="0" applyFont="1" applyFill="1" applyAlignment="1">
      <alignment horizontal="right"/>
    </xf>
    <xf numFmtId="0" fontId="67" fillId="0" borderId="0" xfId="8" applyFont="1" applyFill="1" applyAlignment="1">
      <alignment horizontal="left"/>
    </xf>
    <xf numFmtId="0" fontId="83" fillId="5" borderId="0" xfId="0" applyFont="1" applyFill="1" applyAlignment="1">
      <alignment vertical="center"/>
    </xf>
    <xf numFmtId="165" fontId="34" fillId="4" borderId="21" xfId="11" applyNumberFormat="1"/>
    <xf numFmtId="0" fontId="56" fillId="0" borderId="0" xfId="13" applyAlignment="1">
      <alignment horizontal="left"/>
    </xf>
    <xf numFmtId="0" fontId="13" fillId="0" borderId="0" xfId="12"/>
    <xf numFmtId="0" fontId="89" fillId="0" borderId="0" xfId="0" applyFont="1"/>
    <xf numFmtId="0" fontId="5" fillId="9" borderId="36" xfId="0" applyFont="1" applyFill="1" applyBorder="1"/>
    <xf numFmtId="0" fontId="5" fillId="9" borderId="37" xfId="0" applyFont="1" applyFill="1" applyBorder="1"/>
    <xf numFmtId="0" fontId="85" fillId="9" borderId="37" xfId="0" applyFont="1" applyFill="1" applyBorder="1"/>
    <xf numFmtId="0" fontId="5" fillId="9" borderId="38" xfId="0" applyFont="1" applyFill="1" applyBorder="1"/>
    <xf numFmtId="0" fontId="86" fillId="9" borderId="39" xfId="0" applyFont="1" applyFill="1" applyBorder="1" applyAlignment="1">
      <alignment horizontal="center"/>
    </xf>
    <xf numFmtId="0" fontId="86" fillId="9" borderId="0" xfId="0" applyFont="1" applyFill="1" applyAlignment="1">
      <alignment horizontal="center"/>
    </xf>
    <xf numFmtId="0" fontId="86" fillId="9" borderId="40" xfId="0" applyFont="1" applyFill="1" applyBorder="1" applyAlignment="1">
      <alignment horizontal="center"/>
    </xf>
    <xf numFmtId="0" fontId="86" fillId="9" borderId="39" xfId="0" applyFont="1" applyFill="1" applyBorder="1" applyAlignment="1">
      <alignment horizontal="center" wrapText="1"/>
    </xf>
    <xf numFmtId="0" fontId="86" fillId="9" borderId="0" xfId="0" applyFont="1" applyFill="1" applyAlignment="1">
      <alignment horizontal="center" wrapText="1"/>
    </xf>
    <xf numFmtId="0" fontId="87" fillId="9" borderId="0" xfId="0" applyFont="1" applyFill="1" applyAlignment="1">
      <alignment horizontal="left"/>
    </xf>
    <xf numFmtId="0" fontId="86" fillId="9" borderId="40" xfId="0" applyFont="1" applyFill="1" applyBorder="1" applyAlignment="1">
      <alignment horizontal="center" wrapText="1"/>
    </xf>
    <xf numFmtId="0" fontId="5" fillId="9" borderId="39" xfId="0" applyFont="1" applyFill="1" applyBorder="1"/>
    <xf numFmtId="0" fontId="5" fillId="9" borderId="0" xfId="0" applyFont="1" applyFill="1"/>
    <xf numFmtId="0" fontId="5" fillId="9" borderId="40" xfId="0" applyFont="1" applyFill="1" applyBorder="1"/>
    <xf numFmtId="0" fontId="88" fillId="9" borderId="40" xfId="0" applyFont="1" applyFill="1" applyBorder="1" applyAlignment="1">
      <alignment horizontal="center" wrapText="1"/>
    </xf>
    <xf numFmtId="0" fontId="88" fillId="9" borderId="39" xfId="0" applyFont="1" applyFill="1" applyBorder="1" applyAlignment="1">
      <alignment horizontal="center" wrapText="1"/>
    </xf>
    <xf numFmtId="0" fontId="89" fillId="9" borderId="0" xfId="0" applyFont="1" applyFill="1"/>
    <xf numFmtId="0" fontId="90" fillId="9" borderId="0" xfId="0" applyFont="1" applyFill="1"/>
    <xf numFmtId="49" fontId="86" fillId="9" borderId="0" xfId="0" quotePrefix="1" applyNumberFormat="1" applyFont="1" applyFill="1" applyAlignment="1">
      <alignment horizontal="center"/>
    </xf>
    <xf numFmtId="0" fontId="0" fillId="9" borderId="41" xfId="0" applyFill="1" applyBorder="1"/>
    <xf numFmtId="0" fontId="0" fillId="9" borderId="42" xfId="0" applyFill="1" applyBorder="1"/>
    <xf numFmtId="0" fontId="0" fillId="9" borderId="43" xfId="0" applyFill="1" applyBorder="1"/>
    <xf numFmtId="0" fontId="91" fillId="0" borderId="0" xfId="0" applyFont="1"/>
    <xf numFmtId="0" fontId="92" fillId="0" borderId="0" xfId="0" applyFont="1"/>
    <xf numFmtId="2" fontId="2" fillId="5" borderId="11" xfId="0" applyNumberFormat="1" applyFont="1" applyFill="1" applyBorder="1" applyAlignment="1">
      <alignment horizontal="right" wrapText="1"/>
    </xf>
    <xf numFmtId="2" fontId="17" fillId="3" borderId="9" xfId="5" applyNumberFormat="1" applyAlignment="1">
      <alignment horizontal="center"/>
    </xf>
    <xf numFmtId="0" fontId="2" fillId="10" borderId="0" xfId="0" applyFont="1" applyFill="1"/>
    <xf numFmtId="0" fontId="2" fillId="10" borderId="0" xfId="0" applyFont="1" applyFill="1" applyAlignment="1">
      <alignment horizontal="right"/>
    </xf>
    <xf numFmtId="0" fontId="2" fillId="10" borderId="0" xfId="0" applyFont="1" applyFill="1" applyAlignment="1">
      <alignment horizontal="center"/>
    </xf>
    <xf numFmtId="0" fontId="0" fillId="10" borderId="0" xfId="0" applyFill="1"/>
    <xf numFmtId="3" fontId="0" fillId="10" borderId="0" xfId="0" applyNumberFormat="1" applyFill="1"/>
    <xf numFmtId="10" fontId="0" fillId="10" borderId="0" xfId="2" applyNumberFormat="1" applyFont="1" applyFill="1" applyAlignment="1">
      <alignment horizontal="center"/>
    </xf>
    <xf numFmtId="168" fontId="18" fillId="4" borderId="9" xfId="2" applyNumberFormat="1" applyFont="1" applyFill="1" applyBorder="1"/>
    <xf numFmtId="168" fontId="0" fillId="0" borderId="0" xfId="0" applyNumberFormat="1"/>
    <xf numFmtId="168" fontId="18" fillId="6" borderId="9" xfId="6" applyNumberFormat="1" applyFill="1" applyAlignment="1">
      <alignment horizontal="center"/>
    </xf>
    <xf numFmtId="0" fontId="6" fillId="0" borderId="10" xfId="7" applyFont="1" applyFill="1"/>
    <xf numFmtId="3" fontId="19" fillId="0" borderId="10" xfId="7" applyNumberFormat="1" applyFill="1"/>
    <xf numFmtId="0" fontId="3" fillId="7" borderId="0" xfId="0" applyFont="1" applyFill="1"/>
    <xf numFmtId="1" fontId="3" fillId="7" borderId="0" xfId="0" applyNumberFormat="1" applyFont="1" applyFill="1"/>
    <xf numFmtId="3" fontId="3" fillId="7" borderId="0" xfId="0" applyNumberFormat="1" applyFont="1" applyFill="1"/>
    <xf numFmtId="0" fontId="13" fillId="7" borderId="0" xfId="0" applyFont="1" applyFill="1"/>
    <xf numFmtId="1" fontId="13" fillId="7" borderId="0" xfId="0" applyNumberFormat="1" applyFont="1" applyFill="1"/>
    <xf numFmtId="3" fontId="13" fillId="7" borderId="0" xfId="0" applyNumberFormat="1" applyFont="1" applyFill="1"/>
    <xf numFmtId="0" fontId="2" fillId="9" borderId="2" xfId="0" applyFont="1" applyFill="1" applyBorder="1"/>
    <xf numFmtId="0" fontId="0" fillId="9" borderId="2" xfId="0" applyFill="1" applyBorder="1"/>
    <xf numFmtId="0" fontId="0" fillId="9" borderId="2" xfId="0" applyFill="1" applyBorder="1" applyAlignment="1">
      <alignment horizontal="right"/>
    </xf>
    <xf numFmtId="0" fontId="0" fillId="9" borderId="3" xfId="0" applyFill="1" applyBorder="1"/>
    <xf numFmtId="0" fontId="21" fillId="9" borderId="2" xfId="9" applyFill="1" applyBorder="1" applyAlignment="1">
      <alignment horizontal="right"/>
    </xf>
    <xf numFmtId="0" fontId="13" fillId="0" borderId="0" xfId="12" applyAlignment="1">
      <alignment horizontal="left" indent="1"/>
    </xf>
    <xf numFmtId="0" fontId="93" fillId="0" borderId="0" xfId="8" applyFont="1" applyAlignment="1">
      <alignment horizontal="right"/>
    </xf>
    <xf numFmtId="0" fontId="20" fillId="0" borderId="0" xfId="8" applyFont="1" applyAlignment="1">
      <alignment horizontal="right"/>
    </xf>
    <xf numFmtId="0" fontId="20" fillId="0" borderId="0" xfId="8" applyFont="1" applyFill="1" applyAlignment="1">
      <alignment horizontal="right"/>
    </xf>
    <xf numFmtId="0" fontId="20" fillId="0" borderId="0" xfId="8" applyFont="1" applyAlignment="1">
      <alignment horizontal="right" wrapText="1"/>
    </xf>
    <xf numFmtId="0" fontId="7" fillId="6" borderId="0" xfId="0" applyFont="1" applyFill="1"/>
    <xf numFmtId="0" fontId="21" fillId="9" borderId="0" xfId="9" applyFill="1" applyAlignment="1">
      <alignment horizontal="center"/>
    </xf>
    <xf numFmtId="0" fontId="95" fillId="0" borderId="0" xfId="10" applyFont="1" applyAlignment="1">
      <alignment wrapText="1"/>
    </xf>
    <xf numFmtId="0" fontId="96" fillId="0" borderId="0" xfId="10" applyFont="1"/>
    <xf numFmtId="0" fontId="97" fillId="0" borderId="0" xfId="10" applyFont="1"/>
    <xf numFmtId="17" fontId="98" fillId="0" borderId="0" xfId="10" quotePrefix="1" applyNumberFormat="1" applyFont="1"/>
    <xf numFmtId="0" fontId="99" fillId="0" borderId="0" xfId="10" applyFont="1"/>
    <xf numFmtId="0" fontId="100" fillId="0" borderId="0" xfId="10" applyFont="1"/>
    <xf numFmtId="0" fontId="88" fillId="9" borderId="0" xfId="0" applyFont="1" applyFill="1" applyAlignment="1">
      <alignment horizontal="center" vertical="center" wrapText="1"/>
    </xf>
    <xf numFmtId="0" fontId="3" fillId="0" borderId="0" xfId="0" applyFont="1" applyAlignment="1">
      <alignment horizontal="left" wrapText="1"/>
    </xf>
    <xf numFmtId="0" fontId="13" fillId="0" borderId="0" xfId="0" applyFont="1" applyAlignment="1">
      <alignment horizontal="left" vertical="top" wrapText="1"/>
    </xf>
    <xf numFmtId="0" fontId="3" fillId="9" borderId="0" xfId="0" applyFont="1" applyFill="1" applyAlignment="1">
      <alignment horizontal="left" vertical="top" wrapText="1"/>
    </xf>
    <xf numFmtId="0" fontId="2" fillId="0" borderId="14" xfId="0" applyFont="1" applyBorder="1" applyAlignment="1">
      <alignment horizontal="center"/>
    </xf>
    <xf numFmtId="0" fontId="2" fillId="0" borderId="12" xfId="0" applyFont="1" applyBorder="1" applyAlignment="1">
      <alignment horizontal="center"/>
    </xf>
    <xf numFmtId="0" fontId="35" fillId="5" borderId="7" xfId="0" applyFont="1" applyFill="1" applyBorder="1" applyAlignment="1">
      <alignment horizontal="center"/>
    </xf>
    <xf numFmtId="0" fontId="2" fillId="5" borderId="13" xfId="0" applyFont="1" applyFill="1" applyBorder="1" applyAlignment="1">
      <alignment horizontal="left" vertical="top"/>
    </xf>
    <xf numFmtId="0" fontId="2" fillId="5" borderId="12" xfId="0" applyFont="1" applyFill="1" applyBorder="1" applyAlignment="1">
      <alignment horizontal="left" vertical="top"/>
    </xf>
    <xf numFmtId="0" fontId="82" fillId="9" borderId="0" xfId="0" applyFont="1" applyFill="1" applyAlignment="1">
      <alignment horizontal="left" vertical="top"/>
    </xf>
    <xf numFmtId="0" fontId="0" fillId="0" borderId="13" xfId="0" applyBorder="1" applyAlignment="1">
      <alignment horizontal="left"/>
    </xf>
    <xf numFmtId="0" fontId="0" fillId="0" borderId="12" xfId="0" applyBorder="1" applyAlignment="1">
      <alignment horizontal="left"/>
    </xf>
    <xf numFmtId="0" fontId="0" fillId="0" borderId="13" xfId="0" applyBorder="1" applyAlignment="1">
      <alignment horizontal="center" wrapText="1"/>
    </xf>
    <xf numFmtId="0" fontId="0" fillId="0" borderId="14"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xf>
    <xf numFmtId="0" fontId="0" fillId="0" borderId="14" xfId="0" applyBorder="1" applyAlignment="1">
      <alignment horizontal="center"/>
    </xf>
    <xf numFmtId="0" fontId="0" fillId="0" borderId="12" xfId="0" applyBorder="1" applyAlignment="1">
      <alignment horizontal="center"/>
    </xf>
    <xf numFmtId="0" fontId="21" fillId="0" borderId="0" xfId="9" applyAlignment="1">
      <alignment horizontal="left"/>
    </xf>
    <xf numFmtId="0" fontId="0" fillId="0" borderId="11" xfId="0" applyBorder="1" applyAlignment="1">
      <alignment horizontal="center"/>
    </xf>
    <xf numFmtId="0" fontId="48" fillId="14" borderId="27" xfId="0" applyFont="1" applyFill="1" applyBorder="1" applyAlignment="1">
      <alignment vertical="center" wrapText="1"/>
    </xf>
    <xf numFmtId="0" fontId="48" fillId="14" borderId="29" xfId="0" applyFont="1" applyFill="1" applyBorder="1" applyAlignment="1">
      <alignment vertical="center" wrapText="1"/>
    </xf>
    <xf numFmtId="0" fontId="48" fillId="0" borderId="27" xfId="0" applyFont="1" applyBorder="1" applyAlignment="1">
      <alignment vertical="center" wrapText="1"/>
    </xf>
    <xf numFmtId="0" fontId="48" fillId="0" borderId="29" xfId="0" applyFont="1" applyBorder="1" applyAlignment="1">
      <alignment vertical="center" wrapText="1"/>
    </xf>
    <xf numFmtId="0" fontId="48" fillId="0" borderId="27" xfId="0" applyFont="1" applyBorder="1" applyAlignment="1">
      <alignment horizontal="left" vertical="center" wrapText="1"/>
    </xf>
    <xf numFmtId="0" fontId="48" fillId="0" borderId="29" xfId="0" applyFont="1" applyBorder="1" applyAlignment="1">
      <alignment horizontal="left" vertical="center" wrapText="1"/>
    </xf>
    <xf numFmtId="0" fontId="48" fillId="14" borderId="27" xfId="0" applyFont="1" applyFill="1" applyBorder="1" applyAlignment="1">
      <alignment horizontal="left" vertical="center" wrapText="1"/>
    </xf>
    <xf numFmtId="0" fontId="48" fillId="14" borderId="29" xfId="0" applyFont="1" applyFill="1" applyBorder="1" applyAlignment="1">
      <alignment horizontal="left" vertical="center" wrapText="1"/>
    </xf>
    <xf numFmtId="0" fontId="2" fillId="8" borderId="15" xfId="0" applyFont="1" applyFill="1" applyBorder="1" applyAlignment="1">
      <alignment horizontal="center" vertical="top" wrapText="1"/>
    </xf>
    <xf numFmtId="0" fontId="2" fillId="8" borderId="16" xfId="0" applyFont="1" applyFill="1" applyBorder="1" applyAlignment="1">
      <alignment horizontal="center" vertical="top" wrapText="1"/>
    </xf>
    <xf numFmtId="0" fontId="2" fillId="8" borderId="13" xfId="0" applyFont="1" applyFill="1" applyBorder="1" applyAlignment="1">
      <alignment horizontal="center" vertical="top"/>
    </xf>
    <xf numFmtId="0" fontId="2" fillId="8" borderId="14" xfId="0" applyFont="1" applyFill="1" applyBorder="1" applyAlignment="1">
      <alignment horizontal="center" vertical="top"/>
    </xf>
    <xf numFmtId="0" fontId="2" fillId="8" borderId="12" xfId="0" applyFont="1" applyFill="1" applyBorder="1" applyAlignment="1">
      <alignment horizontal="center" vertical="top"/>
    </xf>
    <xf numFmtId="0" fontId="2" fillId="0" borderId="0" xfId="0" applyFont="1" applyAlignment="1">
      <alignment horizontal="center"/>
    </xf>
    <xf numFmtId="2" fontId="2" fillId="5" borderId="13" xfId="0" applyNumberFormat="1" applyFont="1" applyFill="1" applyBorder="1" applyAlignment="1">
      <alignment horizontal="center"/>
    </xf>
    <xf numFmtId="2" fontId="2" fillId="5" borderId="12" xfId="0" applyNumberFormat="1" applyFont="1" applyFill="1" applyBorder="1" applyAlignment="1">
      <alignment horizontal="center"/>
    </xf>
    <xf numFmtId="165" fontId="26" fillId="0" borderId="11" xfId="0" quotePrefix="1" applyNumberFormat="1" applyFont="1" applyBorder="1"/>
    <xf numFmtId="165" fontId="0" fillId="0" borderId="11" xfId="0" quotePrefix="1" applyNumberFormat="1" applyBorder="1"/>
    <xf numFmtId="0" fontId="2" fillId="5" borderId="13" xfId="0" applyFont="1" applyFill="1" applyBorder="1" applyAlignment="1">
      <alignment horizontal="center"/>
    </xf>
    <xf numFmtId="0" fontId="2" fillId="5" borderId="12" xfId="0" applyFont="1" applyFill="1" applyBorder="1" applyAlignment="1">
      <alignment horizontal="center"/>
    </xf>
  </cellXfs>
  <cellStyles count="17">
    <cellStyle name="Calculation" xfId="6" builtinId="22"/>
    <cellStyle name="Comma" xfId="1" builtinId="3"/>
    <cellStyle name="Comma 2" xfId="14" xr:uid="{41A4B7A8-A66D-484A-A063-053955DE17AA}"/>
    <cellStyle name="Currency" xfId="4" builtinId="4"/>
    <cellStyle name="Currency 2" xfId="15" xr:uid="{7C1FA7E3-1E22-40DB-A462-6AC33F746B1F}"/>
    <cellStyle name="Explanatory Text" xfId="8" builtinId="53"/>
    <cellStyle name="Heading 4" xfId="13" builtinId="19"/>
    <cellStyle name="Hyperlink" xfId="9" builtinId="8"/>
    <cellStyle name="Input" xfId="5" builtinId="20"/>
    <cellStyle name="Linked Cell" xfId="7" builtinId="24"/>
    <cellStyle name="Normal" xfId="0" builtinId="0"/>
    <cellStyle name="Normal 2" xfId="10" xr:uid="{307D76CF-D514-4977-9551-2B9A0652F41B}"/>
    <cellStyle name="Normal 3" xfId="16" xr:uid="{F053E15F-778D-4FF6-B4C2-90C885A0A6DE}"/>
    <cellStyle name="Normal 8" xfId="3" xr:uid="{DB2603BD-D0C3-4CCB-B967-94B125F2A019}"/>
    <cellStyle name="Output" xfId="11" builtinId="21"/>
    <cellStyle name="Percent" xfId="2" builtinId="5"/>
    <cellStyle name="Warning Text" xfId="12" builtinId="11"/>
  </cellStyles>
  <dxfs count="10">
    <dxf>
      <alignment horizontal="general" vertical="top" textRotation="0"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color auto="1"/>
      </font>
    </dxf>
    <dxf>
      <font>
        <color theme="5" tint="0.39994506668294322"/>
      </font>
    </dxf>
    <dxf>
      <font>
        <color rgb="FFFF0000"/>
      </font>
    </dxf>
    <dxf>
      <font>
        <color rgb="FFFF0000"/>
      </font>
    </dxf>
    <dxf>
      <font>
        <color auto="1"/>
      </font>
    </dxf>
  </dxfs>
  <tableStyles count="0" defaultTableStyle="TableStyleMedium2" defaultPivotStyle="PivotStyleLight16"/>
  <colors>
    <mruColors>
      <color rgb="FF7F7F7F"/>
      <color rgb="FFFF33CC"/>
      <color rgb="FF3117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AADT vs Lane-km,</a:t>
            </a:r>
            <a:r>
              <a:rPr lang="en-NZ" baseline="0"/>
              <a:t> by region and by ONF</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9715223097112864E-2"/>
          <c:y val="0.17139556377079482"/>
          <c:w val="0.87806255468066496"/>
          <c:h val="0.75524437102478637"/>
        </c:manualLayout>
      </c:layout>
      <c:scatterChart>
        <c:scatterStyle val="lineMarker"/>
        <c:varyColors val="0"/>
        <c:ser>
          <c:idx val="0"/>
          <c:order val="0"/>
          <c:tx>
            <c:v>WK</c:v>
          </c:tx>
          <c:spPr>
            <a:ln w="25400" cap="rnd">
              <a:noFill/>
              <a:round/>
            </a:ln>
            <a:effectLst/>
          </c:spPr>
          <c:marker>
            <c:symbol val="circle"/>
            <c:size val="5"/>
            <c:spPr>
              <a:solidFill>
                <a:schemeClr val="accent1"/>
              </a:solidFill>
              <a:ln w="9525">
                <a:solidFill>
                  <a:schemeClr val="accent1"/>
                </a:solidFill>
              </a:ln>
              <a:effectLst/>
            </c:spPr>
          </c:marker>
          <c:xVal>
            <c:numRef>
              <c:f>pLanekmVKT!$AZ$16:$AZ$197</c:f>
              <c:numCache>
                <c:formatCode>General</c:formatCode>
                <c:ptCount val="182"/>
                <c:pt idx="0">
                  <c:v>94.45</c:v>
                </c:pt>
                <c:pt idx="1">
                  <c:v>239.03</c:v>
                </c:pt>
                <c:pt idx="2">
                  <c:v>18.47</c:v>
                </c:pt>
                <c:pt idx="3">
                  <c:v>122.21</c:v>
                </c:pt>
                <c:pt idx="4">
                  <c:v>0</c:v>
                </c:pt>
                <c:pt idx="5">
                  <c:v>0</c:v>
                </c:pt>
                <c:pt idx="6">
                  <c:v>6.18</c:v>
                </c:pt>
                <c:pt idx="7">
                  <c:v>0</c:v>
                </c:pt>
                <c:pt idx="8">
                  <c:v>0</c:v>
                </c:pt>
                <c:pt idx="9">
                  <c:v>0</c:v>
                </c:pt>
                <c:pt idx="10">
                  <c:v>1.36</c:v>
                </c:pt>
                <c:pt idx="11">
                  <c:v>746.21</c:v>
                </c:pt>
                <c:pt idx="12">
                  <c:v>46.49</c:v>
                </c:pt>
                <c:pt idx="13">
                  <c:v>36.54</c:v>
                </c:pt>
                <c:pt idx="14">
                  <c:v>466.44</c:v>
                </c:pt>
                <c:pt idx="15">
                  <c:v>21.92</c:v>
                </c:pt>
                <c:pt idx="16">
                  <c:v>867.97</c:v>
                </c:pt>
                <c:pt idx="17">
                  <c:v>0</c:v>
                </c:pt>
                <c:pt idx="18">
                  <c:v>0.35</c:v>
                </c:pt>
                <c:pt idx="19">
                  <c:v>20.79</c:v>
                </c:pt>
                <c:pt idx="20">
                  <c:v>0</c:v>
                </c:pt>
                <c:pt idx="21">
                  <c:v>0</c:v>
                </c:pt>
                <c:pt idx="22">
                  <c:v>0.38</c:v>
                </c:pt>
                <c:pt idx="23">
                  <c:v>72.569999999999993</c:v>
                </c:pt>
                <c:pt idx="24">
                  <c:v>171.05</c:v>
                </c:pt>
                <c:pt idx="25">
                  <c:v>67.13</c:v>
                </c:pt>
                <c:pt idx="26">
                  <c:v>1190.75</c:v>
                </c:pt>
                <c:pt idx="27">
                  <c:v>11.16</c:v>
                </c:pt>
                <c:pt idx="28">
                  <c:v>1243.9000000000001</c:v>
                </c:pt>
                <c:pt idx="29">
                  <c:v>0</c:v>
                </c:pt>
                <c:pt idx="30">
                  <c:v>1.26</c:v>
                </c:pt>
                <c:pt idx="31">
                  <c:v>24.46</c:v>
                </c:pt>
                <c:pt idx="32">
                  <c:v>0</c:v>
                </c:pt>
                <c:pt idx="33">
                  <c:v>0</c:v>
                </c:pt>
                <c:pt idx="34">
                  <c:v>0</c:v>
                </c:pt>
                <c:pt idx="35">
                  <c:v>1.37</c:v>
                </c:pt>
                <c:pt idx="36">
                  <c:v>91.98</c:v>
                </c:pt>
                <c:pt idx="37">
                  <c:v>214.74</c:v>
                </c:pt>
                <c:pt idx="38">
                  <c:v>0</c:v>
                </c:pt>
                <c:pt idx="39">
                  <c:v>0</c:v>
                </c:pt>
                <c:pt idx="40">
                  <c:v>0</c:v>
                </c:pt>
                <c:pt idx="41">
                  <c:v>0</c:v>
                </c:pt>
                <c:pt idx="42">
                  <c:v>0</c:v>
                </c:pt>
                <c:pt idx="43">
                  <c:v>0</c:v>
                </c:pt>
                <c:pt idx="44">
                  <c:v>0</c:v>
                </c:pt>
                <c:pt idx="45">
                  <c:v>0</c:v>
                </c:pt>
                <c:pt idx="46">
                  <c:v>0</c:v>
                </c:pt>
                <c:pt idx="47">
                  <c:v>0.34</c:v>
                </c:pt>
                <c:pt idx="48">
                  <c:v>90.44</c:v>
                </c:pt>
                <c:pt idx="49">
                  <c:v>6.53</c:v>
                </c:pt>
                <c:pt idx="50">
                  <c:v>538.58000000000004</c:v>
                </c:pt>
                <c:pt idx="51">
                  <c:v>0</c:v>
                </c:pt>
                <c:pt idx="52">
                  <c:v>0</c:v>
                </c:pt>
                <c:pt idx="53">
                  <c:v>3.37</c:v>
                </c:pt>
                <c:pt idx="54">
                  <c:v>0</c:v>
                </c:pt>
                <c:pt idx="55">
                  <c:v>0</c:v>
                </c:pt>
                <c:pt idx="56">
                  <c:v>23.57</c:v>
                </c:pt>
                <c:pt idx="57">
                  <c:v>57.76</c:v>
                </c:pt>
                <c:pt idx="58">
                  <c:v>612.94000000000005</c:v>
                </c:pt>
                <c:pt idx="59">
                  <c:v>15.14</c:v>
                </c:pt>
                <c:pt idx="60">
                  <c:v>306.77999999999997</c:v>
                </c:pt>
                <c:pt idx="61">
                  <c:v>0</c:v>
                </c:pt>
                <c:pt idx="62">
                  <c:v>0</c:v>
                </c:pt>
                <c:pt idx="63">
                  <c:v>3.81</c:v>
                </c:pt>
                <c:pt idx="64">
                  <c:v>0</c:v>
                </c:pt>
                <c:pt idx="65">
                  <c:v>0</c:v>
                </c:pt>
                <c:pt idx="66">
                  <c:v>0.9</c:v>
                </c:pt>
                <c:pt idx="67">
                  <c:v>8.66</c:v>
                </c:pt>
                <c:pt idx="68">
                  <c:v>47.27</c:v>
                </c:pt>
                <c:pt idx="69">
                  <c:v>35.1</c:v>
                </c:pt>
                <c:pt idx="70">
                  <c:v>938.01</c:v>
                </c:pt>
                <c:pt idx="71">
                  <c:v>27.98</c:v>
                </c:pt>
                <c:pt idx="72">
                  <c:v>884.61</c:v>
                </c:pt>
                <c:pt idx="73">
                  <c:v>0</c:v>
                </c:pt>
                <c:pt idx="74">
                  <c:v>3.22</c:v>
                </c:pt>
                <c:pt idx="75">
                  <c:v>23.07</c:v>
                </c:pt>
                <c:pt idx="76">
                  <c:v>0</c:v>
                </c:pt>
                <c:pt idx="77">
                  <c:v>0</c:v>
                </c:pt>
                <c:pt idx="78">
                  <c:v>7.84</c:v>
                </c:pt>
                <c:pt idx="79">
                  <c:v>91.93</c:v>
                </c:pt>
                <c:pt idx="80">
                  <c:v>1</c:v>
                </c:pt>
                <c:pt idx="81">
                  <c:v>458.31</c:v>
                </c:pt>
                <c:pt idx="82">
                  <c:v>15.25</c:v>
                </c:pt>
                <c:pt idx="83">
                  <c:v>733.86</c:v>
                </c:pt>
                <c:pt idx="84">
                  <c:v>0</c:v>
                </c:pt>
                <c:pt idx="85">
                  <c:v>0</c:v>
                </c:pt>
                <c:pt idx="86">
                  <c:v>16.600000000000001</c:v>
                </c:pt>
                <c:pt idx="87">
                  <c:v>0</c:v>
                </c:pt>
                <c:pt idx="88">
                  <c:v>0</c:v>
                </c:pt>
                <c:pt idx="89">
                  <c:v>1.06</c:v>
                </c:pt>
                <c:pt idx="90">
                  <c:v>20.37</c:v>
                </c:pt>
                <c:pt idx="91">
                  <c:v>73.81</c:v>
                </c:pt>
                <c:pt idx="92">
                  <c:v>27.22</c:v>
                </c:pt>
                <c:pt idx="93">
                  <c:v>271.3</c:v>
                </c:pt>
                <c:pt idx="94">
                  <c:v>36.15</c:v>
                </c:pt>
                <c:pt idx="95">
                  <c:v>1241.57</c:v>
                </c:pt>
                <c:pt idx="96">
                  <c:v>0</c:v>
                </c:pt>
                <c:pt idx="97">
                  <c:v>1.91</c:v>
                </c:pt>
                <c:pt idx="98">
                  <c:v>15.96</c:v>
                </c:pt>
                <c:pt idx="99">
                  <c:v>0</c:v>
                </c:pt>
                <c:pt idx="100">
                  <c:v>0</c:v>
                </c:pt>
                <c:pt idx="101">
                  <c:v>2.61</c:v>
                </c:pt>
                <c:pt idx="102">
                  <c:v>5.8</c:v>
                </c:pt>
                <c:pt idx="103">
                  <c:v>117.82</c:v>
                </c:pt>
                <c:pt idx="104">
                  <c:v>4.75</c:v>
                </c:pt>
                <c:pt idx="105">
                  <c:v>682.04</c:v>
                </c:pt>
                <c:pt idx="106">
                  <c:v>8.74</c:v>
                </c:pt>
                <c:pt idx="107">
                  <c:v>1776.8</c:v>
                </c:pt>
                <c:pt idx="108">
                  <c:v>0</c:v>
                </c:pt>
                <c:pt idx="109">
                  <c:v>0.4</c:v>
                </c:pt>
                <c:pt idx="110">
                  <c:v>34.369999999999997</c:v>
                </c:pt>
                <c:pt idx="111">
                  <c:v>0</c:v>
                </c:pt>
                <c:pt idx="112">
                  <c:v>0</c:v>
                </c:pt>
                <c:pt idx="113">
                  <c:v>6.09</c:v>
                </c:pt>
                <c:pt idx="114">
                  <c:v>54.8</c:v>
                </c:pt>
                <c:pt idx="115">
                  <c:v>116.84</c:v>
                </c:pt>
                <c:pt idx="116">
                  <c:v>11.95</c:v>
                </c:pt>
                <c:pt idx="117">
                  <c:v>619.14</c:v>
                </c:pt>
                <c:pt idx="118">
                  <c:v>21.4</c:v>
                </c:pt>
                <c:pt idx="119">
                  <c:v>819.06</c:v>
                </c:pt>
                <c:pt idx="120">
                  <c:v>0</c:v>
                </c:pt>
                <c:pt idx="121">
                  <c:v>1.82</c:v>
                </c:pt>
                <c:pt idx="122">
                  <c:v>23.78</c:v>
                </c:pt>
                <c:pt idx="123">
                  <c:v>0</c:v>
                </c:pt>
                <c:pt idx="124">
                  <c:v>4.33</c:v>
                </c:pt>
                <c:pt idx="125">
                  <c:v>87.85</c:v>
                </c:pt>
                <c:pt idx="126">
                  <c:v>3.12</c:v>
                </c:pt>
                <c:pt idx="127">
                  <c:v>389.72</c:v>
                </c:pt>
                <c:pt idx="128">
                  <c:v>17.27</c:v>
                </c:pt>
                <c:pt idx="129">
                  <c:v>322.74</c:v>
                </c:pt>
                <c:pt idx="130">
                  <c:v>0</c:v>
                </c:pt>
                <c:pt idx="131">
                  <c:v>0</c:v>
                </c:pt>
                <c:pt idx="132">
                  <c:v>25.87</c:v>
                </c:pt>
                <c:pt idx="133">
                  <c:v>0</c:v>
                </c:pt>
                <c:pt idx="134">
                  <c:v>0</c:v>
                </c:pt>
                <c:pt idx="135">
                  <c:v>2</c:v>
                </c:pt>
                <c:pt idx="136">
                  <c:v>8.75</c:v>
                </c:pt>
                <c:pt idx="137">
                  <c:v>65.83</c:v>
                </c:pt>
                <c:pt idx="138">
                  <c:v>145.09</c:v>
                </c:pt>
                <c:pt idx="139">
                  <c:v>1423.98</c:v>
                </c:pt>
                <c:pt idx="140">
                  <c:v>68.650000000000006</c:v>
                </c:pt>
                <c:pt idx="141">
                  <c:v>1892.98</c:v>
                </c:pt>
                <c:pt idx="142">
                  <c:v>0</c:v>
                </c:pt>
                <c:pt idx="143">
                  <c:v>5.47</c:v>
                </c:pt>
                <c:pt idx="144">
                  <c:v>25.69</c:v>
                </c:pt>
                <c:pt idx="145">
                  <c:v>0</c:v>
                </c:pt>
                <c:pt idx="146">
                  <c:v>0</c:v>
                </c:pt>
                <c:pt idx="147">
                  <c:v>3.07</c:v>
                </c:pt>
                <c:pt idx="148">
                  <c:v>6.05</c:v>
                </c:pt>
                <c:pt idx="149">
                  <c:v>191.98</c:v>
                </c:pt>
                <c:pt idx="150">
                  <c:v>159.1</c:v>
                </c:pt>
                <c:pt idx="151">
                  <c:v>255.15</c:v>
                </c:pt>
                <c:pt idx="152">
                  <c:v>14.54</c:v>
                </c:pt>
                <c:pt idx="153">
                  <c:v>31.44</c:v>
                </c:pt>
                <c:pt idx="154">
                  <c:v>0</c:v>
                </c:pt>
                <c:pt idx="155">
                  <c:v>0.38</c:v>
                </c:pt>
                <c:pt idx="156">
                  <c:v>4.79</c:v>
                </c:pt>
                <c:pt idx="157">
                  <c:v>0</c:v>
                </c:pt>
                <c:pt idx="158">
                  <c:v>0</c:v>
                </c:pt>
                <c:pt idx="159">
                  <c:v>0</c:v>
                </c:pt>
                <c:pt idx="160">
                  <c:v>2.82</c:v>
                </c:pt>
                <c:pt idx="161">
                  <c:v>225.79</c:v>
                </c:pt>
                <c:pt idx="162">
                  <c:v>57.49</c:v>
                </c:pt>
                <c:pt idx="163">
                  <c:v>0.44</c:v>
                </c:pt>
                <c:pt idx="164">
                  <c:v>143.88999999999999</c:v>
                </c:pt>
                <c:pt idx="165">
                  <c:v>33.67</c:v>
                </c:pt>
                <c:pt idx="166">
                  <c:v>1500.43</c:v>
                </c:pt>
                <c:pt idx="167">
                  <c:v>0</c:v>
                </c:pt>
                <c:pt idx="168">
                  <c:v>1.26</c:v>
                </c:pt>
                <c:pt idx="169">
                  <c:v>5.91</c:v>
                </c:pt>
                <c:pt idx="170">
                  <c:v>0</c:v>
                </c:pt>
                <c:pt idx="171">
                  <c:v>0</c:v>
                </c:pt>
                <c:pt idx="172">
                  <c:v>0.33</c:v>
                </c:pt>
                <c:pt idx="173">
                  <c:v>54.01</c:v>
                </c:pt>
                <c:pt idx="174">
                  <c:v>0</c:v>
                </c:pt>
                <c:pt idx="175">
                  <c:v>0</c:v>
                </c:pt>
                <c:pt idx="176">
                  <c:v>0</c:v>
                </c:pt>
                <c:pt idx="177">
                  <c:v>0</c:v>
                </c:pt>
                <c:pt idx="178">
                  <c:v>0</c:v>
                </c:pt>
                <c:pt idx="179">
                  <c:v>0</c:v>
                </c:pt>
                <c:pt idx="180">
                  <c:v>0</c:v>
                </c:pt>
                <c:pt idx="181">
                  <c:v>0</c:v>
                </c:pt>
              </c:numCache>
            </c:numRef>
          </c:xVal>
          <c:yVal>
            <c:numRef>
              <c:f>pLanekmVKT!$BC$16:$BC$197</c:f>
              <c:numCache>
                <c:formatCode>0</c:formatCode>
                <c:ptCount val="182"/>
                <c:pt idx="0">
                  <c:v>6431.4669644734849</c:v>
                </c:pt>
                <c:pt idx="1">
                  <c:v>8836.5133281258331</c:v>
                </c:pt>
                <c:pt idx="2">
                  <c:v>9579.399396281271</c:v>
                </c:pt>
                <c:pt idx="3">
                  <c:v>1508.2952878102255</c:v>
                </c:pt>
                <c:pt idx="4">
                  <c:v>0</c:v>
                </c:pt>
                <c:pt idx="5">
                  <c:v>0</c:v>
                </c:pt>
                <c:pt idx="6">
                  <c:v>7487.6978321585329</c:v>
                </c:pt>
                <c:pt idx="7">
                  <c:v>0</c:v>
                </c:pt>
                <c:pt idx="8">
                  <c:v>0</c:v>
                </c:pt>
                <c:pt idx="9">
                  <c:v>0</c:v>
                </c:pt>
                <c:pt idx="10">
                  <c:v>6043.5132957292508</c:v>
                </c:pt>
                <c:pt idx="11">
                  <c:v>15849.003539897412</c:v>
                </c:pt>
                <c:pt idx="12">
                  <c:v>6820.7332848130545</c:v>
                </c:pt>
                <c:pt idx="13">
                  <c:v>5810.108644307983</c:v>
                </c:pt>
                <c:pt idx="14">
                  <c:v>4533.4935677172361</c:v>
                </c:pt>
                <c:pt idx="15">
                  <c:v>2061.0438956104385</c:v>
                </c:pt>
                <c:pt idx="16">
                  <c:v>1523.820105517819</c:v>
                </c:pt>
                <c:pt idx="17">
                  <c:v>0</c:v>
                </c:pt>
                <c:pt idx="18">
                  <c:v>4070.4500978473579</c:v>
                </c:pt>
                <c:pt idx="19">
                  <c:v>5003.7228119419897</c:v>
                </c:pt>
                <c:pt idx="20">
                  <c:v>0</c:v>
                </c:pt>
                <c:pt idx="21">
                  <c:v>0</c:v>
                </c:pt>
                <c:pt idx="22">
                  <c:v>6416.7267483777941</c:v>
                </c:pt>
                <c:pt idx="23">
                  <c:v>8493.263943551905</c:v>
                </c:pt>
                <c:pt idx="24">
                  <c:v>5372.4577849142888</c:v>
                </c:pt>
                <c:pt idx="25">
                  <c:v>7419.6661966456431</c:v>
                </c:pt>
                <c:pt idx="26">
                  <c:v>3140.2563711716161</c:v>
                </c:pt>
                <c:pt idx="27">
                  <c:v>1396.8674817106105</c:v>
                </c:pt>
                <c:pt idx="28">
                  <c:v>1218.63736128196</c:v>
                </c:pt>
                <c:pt idx="29">
                  <c:v>0</c:v>
                </c:pt>
                <c:pt idx="30">
                  <c:v>739.29115025005444</c:v>
                </c:pt>
                <c:pt idx="31">
                  <c:v>4349.2870663873919</c:v>
                </c:pt>
                <c:pt idx="32">
                  <c:v>0</c:v>
                </c:pt>
                <c:pt idx="33">
                  <c:v>0</c:v>
                </c:pt>
                <c:pt idx="34">
                  <c:v>0</c:v>
                </c:pt>
                <c:pt idx="35">
                  <c:v>1819.8180181981802</c:v>
                </c:pt>
                <c:pt idx="36">
                  <c:v>7185.3023438686787</c:v>
                </c:pt>
                <c:pt idx="37">
                  <c:v>6014.536853104295</c:v>
                </c:pt>
                <c:pt idx="38">
                  <c:v>0</c:v>
                </c:pt>
                <c:pt idx="39">
                  <c:v>0</c:v>
                </c:pt>
                <c:pt idx="40">
                  <c:v>0</c:v>
                </c:pt>
                <c:pt idx="41">
                  <c:v>0</c:v>
                </c:pt>
                <c:pt idx="42">
                  <c:v>0</c:v>
                </c:pt>
                <c:pt idx="43">
                  <c:v>0</c:v>
                </c:pt>
                <c:pt idx="44">
                  <c:v>0</c:v>
                </c:pt>
                <c:pt idx="45">
                  <c:v>0</c:v>
                </c:pt>
                <c:pt idx="46">
                  <c:v>0</c:v>
                </c:pt>
                <c:pt idx="47">
                  <c:v>2014.5044319097501</c:v>
                </c:pt>
                <c:pt idx="48">
                  <c:v>1437.4170720919947</c:v>
                </c:pt>
                <c:pt idx="49">
                  <c:v>797.16377519981529</c:v>
                </c:pt>
                <c:pt idx="50">
                  <c:v>665.42307854698583</c:v>
                </c:pt>
                <c:pt idx="51">
                  <c:v>0</c:v>
                </c:pt>
                <c:pt idx="52">
                  <c:v>0</c:v>
                </c:pt>
                <c:pt idx="53">
                  <c:v>4333.1571887321652</c:v>
                </c:pt>
                <c:pt idx="54">
                  <c:v>0</c:v>
                </c:pt>
                <c:pt idx="55">
                  <c:v>0</c:v>
                </c:pt>
                <c:pt idx="56">
                  <c:v>3473.1868349015749</c:v>
                </c:pt>
                <c:pt idx="57">
                  <c:v>6407.7144917087244</c:v>
                </c:pt>
                <c:pt idx="58">
                  <c:v>1734.0632236903562</c:v>
                </c:pt>
                <c:pt idx="59">
                  <c:v>4960.0984419391616</c:v>
                </c:pt>
                <c:pt idx="60">
                  <c:v>1191.9656851056534</c:v>
                </c:pt>
                <c:pt idx="61">
                  <c:v>0</c:v>
                </c:pt>
                <c:pt idx="62">
                  <c:v>0</c:v>
                </c:pt>
                <c:pt idx="63">
                  <c:v>4638.1188652788269</c:v>
                </c:pt>
                <c:pt idx="64">
                  <c:v>0</c:v>
                </c:pt>
                <c:pt idx="65">
                  <c:v>0</c:v>
                </c:pt>
                <c:pt idx="66">
                  <c:v>5388.1278538812785</c:v>
                </c:pt>
                <c:pt idx="67">
                  <c:v>5065.0131291720718</c:v>
                </c:pt>
                <c:pt idx="68">
                  <c:v>3806.1732223223621</c:v>
                </c:pt>
                <c:pt idx="69">
                  <c:v>3051.1649689731885</c:v>
                </c:pt>
                <c:pt idx="70">
                  <c:v>2986.8536904052048</c:v>
                </c:pt>
                <c:pt idx="71">
                  <c:v>3055.9989033262509</c:v>
                </c:pt>
                <c:pt idx="72">
                  <c:v>885.73975715325673</c:v>
                </c:pt>
                <c:pt idx="73">
                  <c:v>0</c:v>
                </c:pt>
                <c:pt idx="74">
                  <c:v>1480.4730707053516</c:v>
                </c:pt>
                <c:pt idx="75">
                  <c:v>4453.3908117640767</c:v>
                </c:pt>
                <c:pt idx="76">
                  <c:v>0</c:v>
                </c:pt>
                <c:pt idx="77">
                  <c:v>0</c:v>
                </c:pt>
                <c:pt idx="78">
                  <c:v>3281.3810455689131</c:v>
                </c:pt>
                <c:pt idx="79">
                  <c:v>3842.1133411514706</c:v>
                </c:pt>
                <c:pt idx="80">
                  <c:v>6136.9863013698632</c:v>
                </c:pt>
                <c:pt idx="81">
                  <c:v>2518.7234936692666</c:v>
                </c:pt>
                <c:pt idx="82">
                  <c:v>4933.303390972379</c:v>
                </c:pt>
                <c:pt idx="83">
                  <c:v>841.26381464270935</c:v>
                </c:pt>
                <c:pt idx="84">
                  <c:v>0</c:v>
                </c:pt>
                <c:pt idx="85">
                  <c:v>0</c:v>
                </c:pt>
                <c:pt idx="86">
                  <c:v>6359.1351708202674</c:v>
                </c:pt>
                <c:pt idx="87">
                  <c:v>0</c:v>
                </c:pt>
                <c:pt idx="88">
                  <c:v>0</c:v>
                </c:pt>
                <c:pt idx="89">
                  <c:v>5401.9126389247858</c:v>
                </c:pt>
                <c:pt idx="90">
                  <c:v>8306.6018385888456</c:v>
                </c:pt>
                <c:pt idx="91">
                  <c:v>4717.7777819020694</c:v>
                </c:pt>
                <c:pt idx="92">
                  <c:v>2547.4822098980403</c:v>
                </c:pt>
                <c:pt idx="93">
                  <c:v>4762.0538351620053</c:v>
                </c:pt>
                <c:pt idx="94">
                  <c:v>1721.8969665965631</c:v>
                </c:pt>
                <c:pt idx="95">
                  <c:v>1129.8332943673504</c:v>
                </c:pt>
                <c:pt idx="96">
                  <c:v>0</c:v>
                </c:pt>
                <c:pt idx="97">
                  <c:v>315.57053718711899</c:v>
                </c:pt>
                <c:pt idx="98">
                  <c:v>3004.0855563566447</c:v>
                </c:pt>
                <c:pt idx="99">
                  <c:v>0</c:v>
                </c:pt>
                <c:pt idx="100">
                  <c:v>0</c:v>
                </c:pt>
                <c:pt idx="101">
                  <c:v>3778.9324515824283</c:v>
                </c:pt>
                <c:pt idx="102">
                  <c:v>6206.8965517241377</c:v>
                </c:pt>
                <c:pt idx="103">
                  <c:v>3965.8824815192902</c:v>
                </c:pt>
                <c:pt idx="104">
                  <c:v>4348.9545782263876</c:v>
                </c:pt>
                <c:pt idx="105">
                  <c:v>2715.0619053395817</c:v>
                </c:pt>
                <c:pt idx="106">
                  <c:v>2432.5256261559198</c:v>
                </c:pt>
                <c:pt idx="107">
                  <c:v>913.87934596904995</c:v>
                </c:pt>
                <c:pt idx="108">
                  <c:v>0</c:v>
                </c:pt>
                <c:pt idx="109">
                  <c:v>1232.8767123287669</c:v>
                </c:pt>
                <c:pt idx="110">
                  <c:v>5068.1344434657494</c:v>
                </c:pt>
                <c:pt idx="111">
                  <c:v>0</c:v>
                </c:pt>
                <c:pt idx="112">
                  <c:v>0</c:v>
                </c:pt>
                <c:pt idx="113">
                  <c:v>4399.7570686281133</c:v>
                </c:pt>
                <c:pt idx="114">
                  <c:v>6862.8137186281383</c:v>
                </c:pt>
                <c:pt idx="115">
                  <c:v>4250.0457246298656</c:v>
                </c:pt>
                <c:pt idx="116">
                  <c:v>2132.1717200664875</c:v>
                </c:pt>
                <c:pt idx="117">
                  <c:v>1309.8593232061619</c:v>
                </c:pt>
                <c:pt idx="118">
                  <c:v>3250.5441044680583</c:v>
                </c:pt>
                <c:pt idx="119">
                  <c:v>968.36701210107549</c:v>
                </c:pt>
                <c:pt idx="120">
                  <c:v>0</c:v>
                </c:pt>
                <c:pt idx="121">
                  <c:v>526.87038988408847</c:v>
                </c:pt>
                <c:pt idx="122">
                  <c:v>3063.4699355968523</c:v>
                </c:pt>
                <c:pt idx="123">
                  <c:v>0</c:v>
                </c:pt>
                <c:pt idx="124">
                  <c:v>4024.1703312347745</c:v>
                </c:pt>
                <c:pt idx="125">
                  <c:v>2212.675715923001</c:v>
                </c:pt>
                <c:pt idx="126">
                  <c:v>5084.2992623814534</c:v>
                </c:pt>
                <c:pt idx="127">
                  <c:v>2873.6472550014832</c:v>
                </c:pt>
                <c:pt idx="128">
                  <c:v>3436.1589897756025</c:v>
                </c:pt>
                <c:pt idx="129">
                  <c:v>1079.5406795070633</c:v>
                </c:pt>
                <c:pt idx="130">
                  <c:v>0</c:v>
                </c:pt>
                <c:pt idx="131">
                  <c:v>0</c:v>
                </c:pt>
                <c:pt idx="132">
                  <c:v>5708.2038220607774</c:v>
                </c:pt>
                <c:pt idx="133">
                  <c:v>0</c:v>
                </c:pt>
                <c:pt idx="134">
                  <c:v>0</c:v>
                </c:pt>
                <c:pt idx="135">
                  <c:v>5369.8630136986303</c:v>
                </c:pt>
                <c:pt idx="136">
                  <c:v>7721.3307240704507</c:v>
                </c:pt>
                <c:pt idx="137">
                  <c:v>5303.8232558333102</c:v>
                </c:pt>
                <c:pt idx="138">
                  <c:v>5985.7037247546868</c:v>
                </c:pt>
                <c:pt idx="139">
                  <c:v>3681.1160384544419</c:v>
                </c:pt>
                <c:pt idx="140">
                  <c:v>2888.1860539364852</c:v>
                </c:pt>
                <c:pt idx="141">
                  <c:v>1768.3359874558878</c:v>
                </c:pt>
                <c:pt idx="142">
                  <c:v>0</c:v>
                </c:pt>
                <c:pt idx="143">
                  <c:v>3621.2466504720646</c:v>
                </c:pt>
                <c:pt idx="144">
                  <c:v>4913.1638023430041</c:v>
                </c:pt>
                <c:pt idx="145">
                  <c:v>0</c:v>
                </c:pt>
                <c:pt idx="146">
                  <c:v>0</c:v>
                </c:pt>
                <c:pt idx="147">
                  <c:v>4854.7588237918881</c:v>
                </c:pt>
                <c:pt idx="148">
                  <c:v>10238.876938752404</c:v>
                </c:pt>
                <c:pt idx="149">
                  <c:v>4492.4770987845477</c:v>
                </c:pt>
                <c:pt idx="150">
                  <c:v>8501.0719544010408</c:v>
                </c:pt>
                <c:pt idx="151">
                  <c:v>3332.1253412577616</c:v>
                </c:pt>
                <c:pt idx="152">
                  <c:v>4787.9256090897106</c:v>
                </c:pt>
                <c:pt idx="153">
                  <c:v>1118.8957440133847</c:v>
                </c:pt>
                <c:pt idx="154">
                  <c:v>0</c:v>
                </c:pt>
                <c:pt idx="155">
                  <c:v>3677.0007209805331</c:v>
                </c:pt>
                <c:pt idx="156">
                  <c:v>6303.0857665799176</c:v>
                </c:pt>
                <c:pt idx="157">
                  <c:v>0</c:v>
                </c:pt>
                <c:pt idx="158">
                  <c:v>0</c:v>
                </c:pt>
                <c:pt idx="159">
                  <c:v>0</c:v>
                </c:pt>
                <c:pt idx="160">
                  <c:v>4799.3782182065488</c:v>
                </c:pt>
                <c:pt idx="161">
                  <c:v>11058.402552499081</c:v>
                </c:pt>
                <c:pt idx="162">
                  <c:v>7409.0312311611078</c:v>
                </c:pt>
                <c:pt idx="163">
                  <c:v>1245.3300124533002</c:v>
                </c:pt>
                <c:pt idx="164">
                  <c:v>697.83139136916805</c:v>
                </c:pt>
                <c:pt idx="165">
                  <c:v>947.14615262560471</c:v>
                </c:pt>
                <c:pt idx="166">
                  <c:v>612.11676397058409</c:v>
                </c:pt>
                <c:pt idx="167">
                  <c:v>0</c:v>
                </c:pt>
                <c:pt idx="168">
                  <c:v>652.31572080887145</c:v>
                </c:pt>
                <c:pt idx="169">
                  <c:v>2053.6355839881326</c:v>
                </c:pt>
                <c:pt idx="170">
                  <c:v>0</c:v>
                </c:pt>
                <c:pt idx="171">
                  <c:v>0</c:v>
                </c:pt>
                <c:pt idx="172">
                  <c:v>2075.5500207555001</c:v>
                </c:pt>
                <c:pt idx="173">
                  <c:v>1788.1011380439443</c:v>
                </c:pt>
                <c:pt idx="174">
                  <c:v>0</c:v>
                </c:pt>
                <c:pt idx="175">
                  <c:v>0</c:v>
                </c:pt>
                <c:pt idx="176">
                  <c:v>0</c:v>
                </c:pt>
                <c:pt idx="177">
                  <c:v>0</c:v>
                </c:pt>
                <c:pt idx="178">
                  <c:v>0</c:v>
                </c:pt>
                <c:pt idx="179">
                  <c:v>0</c:v>
                </c:pt>
                <c:pt idx="180">
                  <c:v>0</c:v>
                </c:pt>
                <c:pt idx="181">
                  <c:v>0</c:v>
                </c:pt>
              </c:numCache>
            </c:numRef>
          </c:yVal>
          <c:smooth val="0"/>
          <c:extLst>
            <c:ext xmlns:c16="http://schemas.microsoft.com/office/drawing/2014/chart" uri="{C3380CC4-5D6E-409C-BE32-E72D297353CC}">
              <c16:uniqueId val="{00000000-FCEB-483E-8F45-B8E6CB3D0B5D}"/>
            </c:ext>
          </c:extLst>
        </c:ser>
        <c:ser>
          <c:idx val="1"/>
          <c:order val="1"/>
          <c:tx>
            <c:v>Local</c:v>
          </c:tx>
          <c:spPr>
            <a:ln w="25400" cap="rnd">
              <a:noFill/>
              <a:round/>
            </a:ln>
            <a:effectLst/>
          </c:spPr>
          <c:marker>
            <c:symbol val="circle"/>
            <c:size val="5"/>
            <c:spPr>
              <a:solidFill>
                <a:schemeClr val="accent2"/>
              </a:solidFill>
              <a:ln w="9525">
                <a:solidFill>
                  <a:schemeClr val="accent2"/>
                </a:solidFill>
              </a:ln>
              <a:effectLst/>
            </c:spPr>
          </c:marker>
          <c:xVal>
            <c:numRef>
              <c:f>pLanekmVKT!$BO$16:$BO$197</c:f>
              <c:numCache>
                <c:formatCode>General</c:formatCode>
                <c:ptCount val="182"/>
                <c:pt idx="0">
                  <c:v>108.36999999999999</c:v>
                </c:pt>
                <c:pt idx="1">
                  <c:v>22.580000000000013</c:v>
                </c:pt>
                <c:pt idx="2">
                  <c:v>2894.09</c:v>
                </c:pt>
                <c:pt idx="3">
                  <c:v>214.88</c:v>
                </c:pt>
                <c:pt idx="4">
                  <c:v>2286.36</c:v>
                </c:pt>
                <c:pt idx="5">
                  <c:v>71.459999999999994</c:v>
                </c:pt>
                <c:pt idx="6">
                  <c:v>608.57000000000005</c:v>
                </c:pt>
                <c:pt idx="7">
                  <c:v>345.36</c:v>
                </c:pt>
                <c:pt idx="8">
                  <c:v>75.09</c:v>
                </c:pt>
                <c:pt idx="9">
                  <c:v>4984.6899999999996</c:v>
                </c:pt>
                <c:pt idx="10">
                  <c:v>308.47999999999996</c:v>
                </c:pt>
                <c:pt idx="11">
                  <c:v>-10.769999999999982</c:v>
                </c:pt>
                <c:pt idx="12">
                  <c:v>3272.21</c:v>
                </c:pt>
                <c:pt idx="13">
                  <c:v>185.46</c:v>
                </c:pt>
                <c:pt idx="14">
                  <c:v>-10.439999999999998</c:v>
                </c:pt>
                <c:pt idx="15">
                  <c:v>366.58</c:v>
                </c:pt>
                <c:pt idx="16">
                  <c:v>1419.89</c:v>
                </c:pt>
                <c:pt idx="17">
                  <c:v>3236.33</c:v>
                </c:pt>
                <c:pt idx="18">
                  <c:v>43.12</c:v>
                </c:pt>
                <c:pt idx="19">
                  <c:v>164.94</c:v>
                </c:pt>
                <c:pt idx="20">
                  <c:v>0.43</c:v>
                </c:pt>
                <c:pt idx="21">
                  <c:v>1818.04</c:v>
                </c:pt>
                <c:pt idx="22">
                  <c:v>12.899999999999999</c:v>
                </c:pt>
                <c:pt idx="23">
                  <c:v>6.5700000000000074</c:v>
                </c:pt>
                <c:pt idx="24">
                  <c:v>398.50999999999993</c:v>
                </c:pt>
                <c:pt idx="25">
                  <c:v>508.19000000000005</c:v>
                </c:pt>
                <c:pt idx="26">
                  <c:v>0.36999999999989086</c:v>
                </c:pt>
                <c:pt idx="27">
                  <c:v>759.49</c:v>
                </c:pt>
                <c:pt idx="28">
                  <c:v>5303.2800000000007</c:v>
                </c:pt>
                <c:pt idx="29">
                  <c:v>14862.59</c:v>
                </c:pt>
                <c:pt idx="30">
                  <c:v>103.36999999999999</c:v>
                </c:pt>
                <c:pt idx="31">
                  <c:v>196.07</c:v>
                </c:pt>
                <c:pt idx="32">
                  <c:v>3.09</c:v>
                </c:pt>
                <c:pt idx="33">
                  <c:v>13.22</c:v>
                </c:pt>
                <c:pt idx="34">
                  <c:v>4022.54</c:v>
                </c:pt>
                <c:pt idx="35">
                  <c:v>24.97</c:v>
                </c:pt>
                <c:pt idx="36">
                  <c:v>0.78000000000000114</c:v>
                </c:pt>
                <c:pt idx="37">
                  <c:v>1155.07</c:v>
                </c:pt>
                <c:pt idx="38">
                  <c:v>0.5</c:v>
                </c:pt>
                <c:pt idx="39">
                  <c:v>6.71</c:v>
                </c:pt>
                <c:pt idx="40">
                  <c:v>33.450000000000003</c:v>
                </c:pt>
                <c:pt idx="41">
                  <c:v>232.65</c:v>
                </c:pt>
                <c:pt idx="42">
                  <c:v>1.1200000000000001</c:v>
                </c:pt>
                <c:pt idx="43">
                  <c:v>2.4900000000000002</c:v>
                </c:pt>
                <c:pt idx="44">
                  <c:v>4.6399999999999997</c:v>
                </c:pt>
                <c:pt idx="45">
                  <c:v>0.17</c:v>
                </c:pt>
                <c:pt idx="46">
                  <c:v>3.71</c:v>
                </c:pt>
                <c:pt idx="47">
                  <c:v>794.43</c:v>
                </c:pt>
                <c:pt idx="48">
                  <c:v>0</c:v>
                </c:pt>
                <c:pt idx="49">
                  <c:v>63.129999999999995</c:v>
                </c:pt>
                <c:pt idx="50">
                  <c:v>296.89999999999998</c:v>
                </c:pt>
                <c:pt idx="51">
                  <c:v>1429.29</c:v>
                </c:pt>
                <c:pt idx="52">
                  <c:v>31.52</c:v>
                </c:pt>
                <c:pt idx="53">
                  <c:v>46.370000000000005</c:v>
                </c:pt>
                <c:pt idx="54">
                  <c:v>250.18</c:v>
                </c:pt>
                <c:pt idx="55">
                  <c:v>0.83</c:v>
                </c:pt>
                <c:pt idx="56">
                  <c:v>21.67</c:v>
                </c:pt>
                <c:pt idx="57">
                  <c:v>186.56</c:v>
                </c:pt>
                <c:pt idx="58">
                  <c:v>1.2299999999999045</c:v>
                </c:pt>
                <c:pt idx="59">
                  <c:v>187.49</c:v>
                </c:pt>
                <c:pt idx="60">
                  <c:v>1567.42</c:v>
                </c:pt>
                <c:pt idx="61">
                  <c:v>4424.57</c:v>
                </c:pt>
                <c:pt idx="62">
                  <c:v>12.21</c:v>
                </c:pt>
                <c:pt idx="63">
                  <c:v>62.33</c:v>
                </c:pt>
                <c:pt idx="64">
                  <c:v>1.6</c:v>
                </c:pt>
                <c:pt idx="65">
                  <c:v>1009.57</c:v>
                </c:pt>
                <c:pt idx="66">
                  <c:v>5.1099999999999994</c:v>
                </c:pt>
                <c:pt idx="67">
                  <c:v>3.74</c:v>
                </c:pt>
                <c:pt idx="68">
                  <c:v>252.31999999999996</c:v>
                </c:pt>
                <c:pt idx="69">
                  <c:v>204.43</c:v>
                </c:pt>
                <c:pt idx="70">
                  <c:v>6.1599999999999682</c:v>
                </c:pt>
                <c:pt idx="71">
                  <c:v>326.77999999999997</c:v>
                </c:pt>
                <c:pt idx="72">
                  <c:v>1897.83</c:v>
                </c:pt>
                <c:pt idx="73">
                  <c:v>8846.5499999999993</c:v>
                </c:pt>
                <c:pt idx="74">
                  <c:v>11.639999999999999</c:v>
                </c:pt>
                <c:pt idx="75">
                  <c:v>109.64000000000001</c:v>
                </c:pt>
                <c:pt idx="76">
                  <c:v>1.53</c:v>
                </c:pt>
                <c:pt idx="77">
                  <c:v>1768.03</c:v>
                </c:pt>
                <c:pt idx="78">
                  <c:v>5.3900000000000006</c:v>
                </c:pt>
                <c:pt idx="79">
                  <c:v>328.67</c:v>
                </c:pt>
                <c:pt idx="80">
                  <c:v>214.96</c:v>
                </c:pt>
                <c:pt idx="81">
                  <c:v>0</c:v>
                </c:pt>
                <c:pt idx="82">
                  <c:v>105.7</c:v>
                </c:pt>
                <c:pt idx="83">
                  <c:v>1192.23</c:v>
                </c:pt>
                <c:pt idx="84">
                  <c:v>3663.6000000000004</c:v>
                </c:pt>
                <c:pt idx="85">
                  <c:v>17.819999999999997</c:v>
                </c:pt>
                <c:pt idx="86">
                  <c:v>94.580000000000013</c:v>
                </c:pt>
                <c:pt idx="87">
                  <c:v>0.74</c:v>
                </c:pt>
                <c:pt idx="88">
                  <c:v>917.58999999999992</c:v>
                </c:pt>
                <c:pt idx="89">
                  <c:v>4.8100000000000005</c:v>
                </c:pt>
                <c:pt idx="90">
                  <c:v>0</c:v>
                </c:pt>
                <c:pt idx="91">
                  <c:v>187.93</c:v>
                </c:pt>
                <c:pt idx="92">
                  <c:v>7771.11</c:v>
                </c:pt>
                <c:pt idx="93">
                  <c:v>0</c:v>
                </c:pt>
                <c:pt idx="94">
                  <c:v>117.72999999999999</c:v>
                </c:pt>
                <c:pt idx="95">
                  <c:v>862.62000000000012</c:v>
                </c:pt>
                <c:pt idx="96">
                  <c:v>1605.59</c:v>
                </c:pt>
                <c:pt idx="97">
                  <c:v>0.65999999999999992</c:v>
                </c:pt>
                <c:pt idx="98">
                  <c:v>40.14</c:v>
                </c:pt>
                <c:pt idx="99">
                  <c:v>0.05</c:v>
                </c:pt>
                <c:pt idx="100">
                  <c:v>461.9</c:v>
                </c:pt>
                <c:pt idx="101">
                  <c:v>10.210000000000001</c:v>
                </c:pt>
                <c:pt idx="102">
                  <c:v>4.3899999999999997</c:v>
                </c:pt>
                <c:pt idx="103">
                  <c:v>162.35000000000002</c:v>
                </c:pt>
                <c:pt idx="104">
                  <c:v>225.43</c:v>
                </c:pt>
                <c:pt idx="105">
                  <c:v>0</c:v>
                </c:pt>
                <c:pt idx="106">
                  <c:v>339.18</c:v>
                </c:pt>
                <c:pt idx="107">
                  <c:v>2144.5</c:v>
                </c:pt>
                <c:pt idx="108">
                  <c:v>10144.34</c:v>
                </c:pt>
                <c:pt idx="109">
                  <c:v>37.49</c:v>
                </c:pt>
                <c:pt idx="110">
                  <c:v>178.14</c:v>
                </c:pt>
                <c:pt idx="111">
                  <c:v>3.73</c:v>
                </c:pt>
                <c:pt idx="112">
                  <c:v>2146.35</c:v>
                </c:pt>
                <c:pt idx="113">
                  <c:v>17.690000000000001</c:v>
                </c:pt>
                <c:pt idx="114">
                  <c:v>0</c:v>
                </c:pt>
                <c:pt idx="115">
                  <c:v>380.4</c:v>
                </c:pt>
                <c:pt idx="116">
                  <c:v>186.16000000000003</c:v>
                </c:pt>
                <c:pt idx="117">
                  <c:v>0</c:v>
                </c:pt>
                <c:pt idx="118">
                  <c:v>194.12</c:v>
                </c:pt>
                <c:pt idx="119">
                  <c:v>2184.34</c:v>
                </c:pt>
                <c:pt idx="120">
                  <c:v>8916.27</c:v>
                </c:pt>
                <c:pt idx="121">
                  <c:v>0.21999999999999997</c:v>
                </c:pt>
                <c:pt idx="122">
                  <c:v>33.32</c:v>
                </c:pt>
                <c:pt idx="123">
                  <c:v>964.75</c:v>
                </c:pt>
                <c:pt idx="124">
                  <c:v>1</c:v>
                </c:pt>
                <c:pt idx="125">
                  <c:v>155.36000000000001</c:v>
                </c:pt>
                <c:pt idx="126">
                  <c:v>79.47999999999999</c:v>
                </c:pt>
                <c:pt idx="127">
                  <c:v>0</c:v>
                </c:pt>
                <c:pt idx="128">
                  <c:v>102.76</c:v>
                </c:pt>
                <c:pt idx="129">
                  <c:v>1729.3100000000002</c:v>
                </c:pt>
                <c:pt idx="130">
                  <c:v>4235.13</c:v>
                </c:pt>
                <c:pt idx="131">
                  <c:v>4.03</c:v>
                </c:pt>
                <c:pt idx="132">
                  <c:v>64.089999999999989</c:v>
                </c:pt>
                <c:pt idx="133">
                  <c:v>22.72</c:v>
                </c:pt>
                <c:pt idx="134">
                  <c:v>847.18</c:v>
                </c:pt>
                <c:pt idx="135">
                  <c:v>2.4900000000000002</c:v>
                </c:pt>
                <c:pt idx="136">
                  <c:v>0</c:v>
                </c:pt>
                <c:pt idx="137">
                  <c:v>146.13</c:v>
                </c:pt>
                <c:pt idx="138">
                  <c:v>149.74999999999997</c:v>
                </c:pt>
                <c:pt idx="139">
                  <c:v>38.599999999999909</c:v>
                </c:pt>
                <c:pt idx="140">
                  <c:v>310.51</c:v>
                </c:pt>
                <c:pt idx="141">
                  <c:v>5472.0499999999993</c:v>
                </c:pt>
                <c:pt idx="142">
                  <c:v>8176.96</c:v>
                </c:pt>
                <c:pt idx="143">
                  <c:v>62.5</c:v>
                </c:pt>
                <c:pt idx="144">
                  <c:v>239.51999999999998</c:v>
                </c:pt>
                <c:pt idx="145">
                  <c:v>0.82</c:v>
                </c:pt>
                <c:pt idx="146">
                  <c:v>2930.13</c:v>
                </c:pt>
                <c:pt idx="147">
                  <c:v>23.84</c:v>
                </c:pt>
                <c:pt idx="148">
                  <c:v>57.220000000000006</c:v>
                </c:pt>
                <c:pt idx="149">
                  <c:v>671.9</c:v>
                </c:pt>
                <c:pt idx="150">
                  <c:v>99.02000000000001</c:v>
                </c:pt>
                <c:pt idx="151">
                  <c:v>0</c:v>
                </c:pt>
                <c:pt idx="152">
                  <c:v>282.16999999999996</c:v>
                </c:pt>
                <c:pt idx="153">
                  <c:v>1023.8399999999999</c:v>
                </c:pt>
                <c:pt idx="154">
                  <c:v>2313.35</c:v>
                </c:pt>
                <c:pt idx="155">
                  <c:v>43.239999999999995</c:v>
                </c:pt>
                <c:pt idx="156">
                  <c:v>312.85999999999996</c:v>
                </c:pt>
                <c:pt idx="157">
                  <c:v>7.84</c:v>
                </c:pt>
                <c:pt idx="158">
                  <c:v>1.72</c:v>
                </c:pt>
                <c:pt idx="159">
                  <c:v>2600.77</c:v>
                </c:pt>
                <c:pt idx="160">
                  <c:v>67.14</c:v>
                </c:pt>
                <c:pt idx="161">
                  <c:v>25.810000000000002</c:v>
                </c:pt>
                <c:pt idx="162">
                  <c:v>802.62</c:v>
                </c:pt>
                <c:pt idx="163">
                  <c:v>134.34</c:v>
                </c:pt>
                <c:pt idx="164">
                  <c:v>199.08000000000004</c:v>
                </c:pt>
                <c:pt idx="165">
                  <c:v>139.25</c:v>
                </c:pt>
                <c:pt idx="166">
                  <c:v>533.41999999999985</c:v>
                </c:pt>
                <c:pt idx="167">
                  <c:v>1634.14</c:v>
                </c:pt>
                <c:pt idx="168">
                  <c:v>12.870000000000001</c:v>
                </c:pt>
                <c:pt idx="169">
                  <c:v>29.349999999999998</c:v>
                </c:pt>
                <c:pt idx="170">
                  <c:v>4.4400000000000004</c:v>
                </c:pt>
                <c:pt idx="171">
                  <c:v>362.18</c:v>
                </c:pt>
                <c:pt idx="172">
                  <c:v>1.47</c:v>
                </c:pt>
                <c:pt idx="173">
                  <c:v>45.1</c:v>
                </c:pt>
                <c:pt idx="174">
                  <c:v>72.239999999999995</c:v>
                </c:pt>
                <c:pt idx="175">
                  <c:v>0.46</c:v>
                </c:pt>
                <c:pt idx="176">
                  <c:v>29.62</c:v>
                </c:pt>
                <c:pt idx="177">
                  <c:v>1870.37</c:v>
                </c:pt>
                <c:pt idx="178">
                  <c:v>2.59</c:v>
                </c:pt>
                <c:pt idx="179">
                  <c:v>0.3</c:v>
                </c:pt>
                <c:pt idx="180">
                  <c:v>10.45</c:v>
                </c:pt>
                <c:pt idx="181">
                  <c:v>1.91</c:v>
                </c:pt>
              </c:numCache>
            </c:numRef>
          </c:xVal>
          <c:yVal>
            <c:numRef>
              <c:f>pLanekmVKT!$BR$16:$BR$197</c:f>
              <c:numCache>
                <c:formatCode>0</c:formatCode>
                <c:ptCount val="182"/>
                <c:pt idx="0">
                  <c:v>1752.7471207848309</c:v>
                </c:pt>
                <c:pt idx="1">
                  <c:v>2069.9612943931393</c:v>
                </c:pt>
                <c:pt idx="2">
                  <c:v>673.10532749854838</c:v>
                </c:pt>
                <c:pt idx="3">
                  <c:v>2349.1926682238704</c:v>
                </c:pt>
                <c:pt idx="4">
                  <c:v>269.00448568484882</c:v>
                </c:pt>
                <c:pt idx="5">
                  <c:v>1828.4009830195266</c:v>
                </c:pt>
                <c:pt idx="6">
                  <c:v>2464.9295755308704</c:v>
                </c:pt>
                <c:pt idx="7">
                  <c:v>7124.9853240295606</c:v>
                </c:pt>
                <c:pt idx="8">
                  <c:v>168.5648454731035</c:v>
                </c:pt>
                <c:pt idx="9">
                  <c:v>245.96959726298368</c:v>
                </c:pt>
                <c:pt idx="10">
                  <c:v>4165.4528789859605</c:v>
                </c:pt>
                <c:pt idx="11">
                  <c:v>15064.677376273372</c:v>
                </c:pt>
                <c:pt idx="12">
                  <c:v>3967.2153204823703</c:v>
                </c:pt>
                <c:pt idx="13">
                  <c:v>965.38928011652638</c:v>
                </c:pt>
                <c:pt idx="14">
                  <c:v>-2209.6257807169372</c:v>
                </c:pt>
                <c:pt idx="15">
                  <c:v>271.7454262539265</c:v>
                </c:pt>
                <c:pt idx="16">
                  <c:v>676.08941730678146</c:v>
                </c:pt>
                <c:pt idx="17">
                  <c:v>77.036355530230438</c:v>
                </c:pt>
                <c:pt idx="18">
                  <c:v>263.67956896332635</c:v>
                </c:pt>
                <c:pt idx="19">
                  <c:v>2954.4990208145427</c:v>
                </c:pt>
                <c:pt idx="20">
                  <c:v>1210.5766167569291</c:v>
                </c:pt>
                <c:pt idx="21">
                  <c:v>299.44938444924736</c:v>
                </c:pt>
                <c:pt idx="22">
                  <c:v>4725.4964426038023</c:v>
                </c:pt>
                <c:pt idx="23">
                  <c:v>5120.8273388795014</c:v>
                </c:pt>
                <c:pt idx="24">
                  <c:v>3501.6738721600982</c:v>
                </c:pt>
                <c:pt idx="25">
                  <c:v>469.83829529835526</c:v>
                </c:pt>
                <c:pt idx="26">
                  <c:v>2591.6327286208043</c:v>
                </c:pt>
                <c:pt idx="27">
                  <c:v>697.80063297703191</c:v>
                </c:pt>
                <c:pt idx="28">
                  <c:v>452.64827577371091</c:v>
                </c:pt>
                <c:pt idx="29">
                  <c:v>47.203188935146329</c:v>
                </c:pt>
                <c:pt idx="30">
                  <c:v>96.209785038715822</c:v>
                </c:pt>
                <c:pt idx="31">
                  <c:v>2225.2326713062362</c:v>
                </c:pt>
                <c:pt idx="32">
                  <c:v>2021.5454182737067</c:v>
                </c:pt>
                <c:pt idx="33">
                  <c:v>447.64056120862949</c:v>
                </c:pt>
                <c:pt idx="34">
                  <c:v>344.21786656846206</c:v>
                </c:pt>
                <c:pt idx="35">
                  <c:v>4869.4049297513184</c:v>
                </c:pt>
                <c:pt idx="36">
                  <c:v>1299.6136283807657</c:v>
                </c:pt>
                <c:pt idx="37">
                  <c:v>3998.1209701932321</c:v>
                </c:pt>
                <c:pt idx="38">
                  <c:v>54.794520547945204</c:v>
                </c:pt>
                <c:pt idx="39">
                  <c:v>73.494885980850498</c:v>
                </c:pt>
                <c:pt idx="40">
                  <c:v>110.57190245101052</c:v>
                </c:pt>
                <c:pt idx="41">
                  <c:v>48.046774948552851</c:v>
                </c:pt>
                <c:pt idx="42">
                  <c:v>48.923679060665357</c:v>
                </c:pt>
                <c:pt idx="43">
                  <c:v>143.03790504483689</c:v>
                </c:pt>
                <c:pt idx="44">
                  <c:v>88.568729333963162</c:v>
                </c:pt>
                <c:pt idx="45">
                  <c:v>483.48106365834002</c:v>
                </c:pt>
                <c:pt idx="46">
                  <c:v>302.77295720562711</c:v>
                </c:pt>
                <c:pt idx="47">
                  <c:v>223.78412436313863</c:v>
                </c:pt>
                <c:pt idx="48">
                  <c:v>0</c:v>
                </c:pt>
                <c:pt idx="49">
                  <c:v>210.9150719650037</c:v>
                </c:pt>
                <c:pt idx="50">
                  <c:v>280.52432210467072</c:v>
                </c:pt>
                <c:pt idx="51">
                  <c:v>40.1387143362779</c:v>
                </c:pt>
                <c:pt idx="52">
                  <c:v>171.23287671232876</c:v>
                </c:pt>
                <c:pt idx="53">
                  <c:v>1302.2118103048438</c:v>
                </c:pt>
                <c:pt idx="54">
                  <c:v>270.05213780324738</c:v>
                </c:pt>
                <c:pt idx="55">
                  <c:v>5182.3733289321672</c:v>
                </c:pt>
                <c:pt idx="56">
                  <c:v>4318.829769076624</c:v>
                </c:pt>
                <c:pt idx="57">
                  <c:v>611.35717474564717</c:v>
                </c:pt>
                <c:pt idx="58">
                  <c:v>490.03229758334857</c:v>
                </c:pt>
                <c:pt idx="59">
                  <c:v>633.02006243985988</c:v>
                </c:pt>
                <c:pt idx="60">
                  <c:v>464.8245795420201</c:v>
                </c:pt>
                <c:pt idx="61">
                  <c:v>43.010138807390021</c:v>
                </c:pt>
                <c:pt idx="62">
                  <c:v>141.36178519740162</c:v>
                </c:pt>
                <c:pt idx="63">
                  <c:v>2723.4626128274381</c:v>
                </c:pt>
                <c:pt idx="64">
                  <c:v>2071.9178082191779</c:v>
                </c:pt>
                <c:pt idx="65">
                  <c:v>378.86738976488164</c:v>
                </c:pt>
                <c:pt idx="66">
                  <c:v>2997.0779830040478</c:v>
                </c:pt>
                <c:pt idx="67">
                  <c:v>4417.2588088784687</c:v>
                </c:pt>
                <c:pt idx="68">
                  <c:v>3281.4386601923197</c:v>
                </c:pt>
                <c:pt idx="69">
                  <c:v>545.05042084941829</c:v>
                </c:pt>
                <c:pt idx="70">
                  <c:v>1921.366304927981</c:v>
                </c:pt>
                <c:pt idx="71">
                  <c:v>236.34517630310535</c:v>
                </c:pt>
                <c:pt idx="72">
                  <c:v>454.520552276035</c:v>
                </c:pt>
                <c:pt idx="73">
                  <c:v>44.608365632512267</c:v>
                </c:pt>
                <c:pt idx="74">
                  <c:v>275.38483265075558</c:v>
                </c:pt>
                <c:pt idx="75">
                  <c:v>2681.7529848620388</c:v>
                </c:pt>
                <c:pt idx="76">
                  <c:v>286.50729698271999</c:v>
                </c:pt>
                <c:pt idx="77">
                  <c:v>246.85008521596558</c:v>
                </c:pt>
                <c:pt idx="78">
                  <c:v>2348.3365949119366</c:v>
                </c:pt>
                <c:pt idx="79">
                  <c:v>2462.8108887167091</c:v>
                </c:pt>
                <c:pt idx="80">
                  <c:v>226.35622556091988</c:v>
                </c:pt>
                <c:pt idx="81">
                  <c:v>0</c:v>
                </c:pt>
                <c:pt idx="82">
                  <c:v>424.56681484169468</c:v>
                </c:pt>
                <c:pt idx="83">
                  <c:v>356.78506916760921</c:v>
                </c:pt>
                <c:pt idx="84">
                  <c:v>55.391283668881705</c:v>
                </c:pt>
                <c:pt idx="85">
                  <c:v>379.74878157526558</c:v>
                </c:pt>
                <c:pt idx="86">
                  <c:v>2315.6449421668108</c:v>
                </c:pt>
                <c:pt idx="87">
                  <c:v>999.62976675305458</c:v>
                </c:pt>
                <c:pt idx="88">
                  <c:v>267.46657824763412</c:v>
                </c:pt>
                <c:pt idx="89">
                  <c:v>3332.0992225101809</c:v>
                </c:pt>
                <c:pt idx="90">
                  <c:v>0</c:v>
                </c:pt>
                <c:pt idx="91">
                  <c:v>2726.1680791959111</c:v>
                </c:pt>
                <c:pt idx="92">
                  <c:v>161.61369588375126</c:v>
                </c:pt>
                <c:pt idx="93">
                  <c:v>0</c:v>
                </c:pt>
                <c:pt idx="94">
                  <c:v>454.72051792527367</c:v>
                </c:pt>
                <c:pt idx="95">
                  <c:v>505.53220627949941</c:v>
                </c:pt>
                <c:pt idx="96">
                  <c:v>64.244723080927784</c:v>
                </c:pt>
                <c:pt idx="97">
                  <c:v>41.511000415110047</c:v>
                </c:pt>
                <c:pt idx="98">
                  <c:v>2665.3288831555305</c:v>
                </c:pt>
                <c:pt idx="99">
                  <c:v>0</c:v>
                </c:pt>
                <c:pt idx="100">
                  <c:v>294.6139679169126</c:v>
                </c:pt>
                <c:pt idx="101">
                  <c:v>5433.834677257053</c:v>
                </c:pt>
                <c:pt idx="102">
                  <c:v>9379.9731644147669</c:v>
                </c:pt>
                <c:pt idx="103">
                  <c:v>3165.9993840468123</c:v>
                </c:pt>
                <c:pt idx="104">
                  <c:v>162.73313892050444</c:v>
                </c:pt>
                <c:pt idx="105">
                  <c:v>0</c:v>
                </c:pt>
                <c:pt idx="106">
                  <c:v>400.724713188213</c:v>
                </c:pt>
                <c:pt idx="107">
                  <c:v>407.73306674928227</c:v>
                </c:pt>
                <c:pt idx="108">
                  <c:v>39.876477715179647</c:v>
                </c:pt>
                <c:pt idx="109">
                  <c:v>309.85431731566774</c:v>
                </c:pt>
                <c:pt idx="110">
                  <c:v>2028.4184672360204</c:v>
                </c:pt>
                <c:pt idx="111">
                  <c:v>594.95390943479379</c:v>
                </c:pt>
                <c:pt idx="112">
                  <c:v>230.55387754489863</c:v>
                </c:pt>
                <c:pt idx="113">
                  <c:v>3239.9699543895244</c:v>
                </c:pt>
                <c:pt idx="114">
                  <c:v>0</c:v>
                </c:pt>
                <c:pt idx="115">
                  <c:v>2179.5370410382729</c:v>
                </c:pt>
                <c:pt idx="116">
                  <c:v>190.14428595816824</c:v>
                </c:pt>
                <c:pt idx="117">
                  <c:v>0</c:v>
                </c:pt>
                <c:pt idx="118">
                  <c:v>184.4643477131784</c:v>
                </c:pt>
                <c:pt idx="119">
                  <c:v>298.75172476160009</c:v>
                </c:pt>
                <c:pt idx="120">
                  <c:v>30.619720873205608</c:v>
                </c:pt>
                <c:pt idx="121">
                  <c:v>498.13200498132056</c:v>
                </c:pt>
                <c:pt idx="122">
                  <c:v>1882.1227120985375</c:v>
                </c:pt>
                <c:pt idx="123">
                  <c:v>229.48666522308642</c:v>
                </c:pt>
                <c:pt idx="124">
                  <c:v>3589.0410958904099</c:v>
                </c:pt>
                <c:pt idx="125">
                  <c:v>2537.8087834882836</c:v>
                </c:pt>
                <c:pt idx="126">
                  <c:v>56.531840525056701</c:v>
                </c:pt>
                <c:pt idx="127">
                  <c:v>0</c:v>
                </c:pt>
                <c:pt idx="128">
                  <c:v>223.68919199944546</c:v>
                </c:pt>
                <c:pt idx="129">
                  <c:v>240.54253010722539</c:v>
                </c:pt>
                <c:pt idx="130">
                  <c:v>39.739363340207667</c:v>
                </c:pt>
                <c:pt idx="131">
                  <c:v>40.789965668445561</c:v>
                </c:pt>
                <c:pt idx="132">
                  <c:v>1520.1226015641532</c:v>
                </c:pt>
                <c:pt idx="133">
                  <c:v>9.6469226316804946</c:v>
                </c:pt>
                <c:pt idx="134">
                  <c:v>257.80938986296843</c:v>
                </c:pt>
                <c:pt idx="135">
                  <c:v>3146.8339109864119</c:v>
                </c:pt>
                <c:pt idx="136">
                  <c:v>0</c:v>
                </c:pt>
                <c:pt idx="137">
                  <c:v>1847.1074263955256</c:v>
                </c:pt>
                <c:pt idx="138">
                  <c:v>469.27527614517317</c:v>
                </c:pt>
                <c:pt idx="139">
                  <c:v>3958.4072680814902</c:v>
                </c:pt>
                <c:pt idx="140">
                  <c:v>302.11013873331672</c:v>
                </c:pt>
                <c:pt idx="141">
                  <c:v>532.94494199852249</c:v>
                </c:pt>
                <c:pt idx="142">
                  <c:v>58.038114710815933</c:v>
                </c:pt>
                <c:pt idx="143">
                  <c:v>362.08219178082192</c:v>
                </c:pt>
                <c:pt idx="144">
                  <c:v>1635.4627062343868</c:v>
                </c:pt>
                <c:pt idx="145">
                  <c:v>1470.0968927497495</c:v>
                </c:pt>
                <c:pt idx="146">
                  <c:v>253.23108531020804</c:v>
                </c:pt>
                <c:pt idx="147">
                  <c:v>3763.6756458582327</c:v>
                </c:pt>
                <c:pt idx="148">
                  <c:v>6635.7677409469798</c:v>
                </c:pt>
                <c:pt idx="149">
                  <c:v>3035.8398897422362</c:v>
                </c:pt>
                <c:pt idx="150">
                  <c:v>763.64813528745992</c:v>
                </c:pt>
                <c:pt idx="151">
                  <c:v>0</c:v>
                </c:pt>
                <c:pt idx="152">
                  <c:v>360.51326291689509</c:v>
                </c:pt>
                <c:pt idx="153">
                  <c:v>289.6161001183832</c:v>
                </c:pt>
                <c:pt idx="154">
                  <c:v>80.071271840546729</c:v>
                </c:pt>
                <c:pt idx="155">
                  <c:v>287.65856069342186</c:v>
                </c:pt>
                <c:pt idx="156">
                  <c:v>2408.3598160672336</c:v>
                </c:pt>
                <c:pt idx="157">
                  <c:v>1908.023483365949</c:v>
                </c:pt>
                <c:pt idx="158">
                  <c:v>493.78783051927371</c:v>
                </c:pt>
                <c:pt idx="159">
                  <c:v>297.63577393649649</c:v>
                </c:pt>
                <c:pt idx="160">
                  <c:v>3506.4738983355164</c:v>
                </c:pt>
                <c:pt idx="161">
                  <c:v>4408.4006942196102</c:v>
                </c:pt>
                <c:pt idx="162">
                  <c:v>3092.8162323186084</c:v>
                </c:pt>
                <c:pt idx="163">
                  <c:v>30.183076675211741</c:v>
                </c:pt>
                <c:pt idx="164">
                  <c:v>350.65410477236378</c:v>
                </c:pt>
                <c:pt idx="165">
                  <c:v>140.08509382454935</c:v>
                </c:pt>
                <c:pt idx="166">
                  <c:v>160.45337838080772</c:v>
                </c:pt>
                <c:pt idx="167">
                  <c:v>41.327087382563583</c:v>
                </c:pt>
                <c:pt idx="168">
                  <c:v>70.249385317878463</c:v>
                </c:pt>
                <c:pt idx="169">
                  <c:v>606.75363468763851</c:v>
                </c:pt>
                <c:pt idx="170">
                  <c:v>215.96939405158579</c:v>
                </c:pt>
                <c:pt idx="171">
                  <c:v>148.71890689334072</c:v>
                </c:pt>
                <c:pt idx="172">
                  <c:v>279.56388034665923</c:v>
                </c:pt>
                <c:pt idx="173">
                  <c:v>1167.5728214318258</c:v>
                </c:pt>
                <c:pt idx="174">
                  <c:v>12.515359759705095</c:v>
                </c:pt>
                <c:pt idx="175">
                  <c:v>59.559261465157832</c:v>
                </c:pt>
                <c:pt idx="176">
                  <c:v>535.55076632782368</c:v>
                </c:pt>
                <c:pt idx="177">
                  <c:v>13.710568292069674</c:v>
                </c:pt>
                <c:pt idx="178">
                  <c:v>200.98376262759825</c:v>
                </c:pt>
                <c:pt idx="179">
                  <c:v>821.91780821917803</c:v>
                </c:pt>
                <c:pt idx="180">
                  <c:v>60.300190076686114</c:v>
                </c:pt>
                <c:pt idx="181">
                  <c:v>846.30280427454636</c:v>
                </c:pt>
              </c:numCache>
            </c:numRef>
          </c:yVal>
          <c:smooth val="0"/>
          <c:extLst>
            <c:ext xmlns:c16="http://schemas.microsoft.com/office/drawing/2014/chart" uri="{C3380CC4-5D6E-409C-BE32-E72D297353CC}">
              <c16:uniqueId val="{00000001-FCEB-483E-8F45-B8E6CB3D0B5D}"/>
            </c:ext>
          </c:extLst>
        </c:ser>
        <c:dLbls>
          <c:showLegendKey val="0"/>
          <c:showVal val="0"/>
          <c:showCatName val="0"/>
          <c:showSerName val="0"/>
          <c:showPercent val="0"/>
          <c:showBubbleSize val="0"/>
        </c:dLbls>
        <c:axId val="101295295"/>
        <c:axId val="68075871"/>
      </c:scatterChart>
      <c:valAx>
        <c:axId val="101295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75871"/>
        <c:crosses val="autoZero"/>
        <c:crossBetween val="midCat"/>
      </c:valAx>
      <c:valAx>
        <c:axId val="680758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295295"/>
        <c:crosses val="autoZero"/>
        <c:crossBetween val="midCat"/>
      </c:valAx>
      <c:spPr>
        <a:noFill/>
        <a:ln>
          <a:noFill/>
        </a:ln>
        <a:effectLst/>
      </c:spPr>
    </c:plotArea>
    <c:legend>
      <c:legendPos val="b"/>
      <c:layout>
        <c:manualLayout>
          <c:xMode val="edge"/>
          <c:yMode val="edge"/>
          <c:x val="0.37028346456692912"/>
          <c:y val="0.16878411224474946"/>
          <c:w val="0.17054418197725285"/>
          <c:h val="7.7981137293143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7.gif"/><Relationship Id="rId13" Type="http://schemas.openxmlformats.org/officeDocument/2006/relationships/image" Target="../media/image32.png"/><Relationship Id="rId3" Type="http://schemas.openxmlformats.org/officeDocument/2006/relationships/image" Target="../media/image22.gif"/><Relationship Id="rId7" Type="http://schemas.openxmlformats.org/officeDocument/2006/relationships/image" Target="../media/image26.gif"/><Relationship Id="rId12" Type="http://schemas.openxmlformats.org/officeDocument/2006/relationships/image" Target="../media/image31.gif"/><Relationship Id="rId2" Type="http://schemas.openxmlformats.org/officeDocument/2006/relationships/image" Target="../media/image21.gif"/><Relationship Id="rId1" Type="http://schemas.openxmlformats.org/officeDocument/2006/relationships/image" Target="../media/image20.png"/><Relationship Id="rId6" Type="http://schemas.openxmlformats.org/officeDocument/2006/relationships/image" Target="../media/image25.gif"/><Relationship Id="rId11" Type="http://schemas.openxmlformats.org/officeDocument/2006/relationships/image" Target="../media/image30.gif"/><Relationship Id="rId5" Type="http://schemas.openxmlformats.org/officeDocument/2006/relationships/image" Target="../media/image24.gif"/><Relationship Id="rId10" Type="http://schemas.openxmlformats.org/officeDocument/2006/relationships/image" Target="../media/image29.gif"/><Relationship Id="rId4" Type="http://schemas.openxmlformats.org/officeDocument/2006/relationships/image" Target="../media/image23.gif"/><Relationship Id="rId9" Type="http://schemas.openxmlformats.org/officeDocument/2006/relationships/image" Target="../media/image28.gif"/></Relationships>
</file>

<file path=xl/drawings/_rels/drawing1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emf"/></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82969</xdr:colOff>
      <xdr:row>29</xdr:row>
      <xdr:rowOff>0</xdr:rowOff>
    </xdr:from>
    <xdr:to>
      <xdr:col>8</xdr:col>
      <xdr:colOff>82969</xdr:colOff>
      <xdr:row>59</xdr:row>
      <xdr:rowOff>172720</xdr:rowOff>
    </xdr:to>
    <xdr:cxnSp macro="">
      <xdr:nvCxnSpPr>
        <xdr:cNvPr id="3" name="Straight Arrow Connector 2">
          <a:extLst>
            <a:ext uri="{FF2B5EF4-FFF2-40B4-BE49-F238E27FC236}">
              <a16:creationId xmlns:a16="http://schemas.microsoft.com/office/drawing/2014/main" id="{DE13307A-79AA-73D4-FFC7-B21EF79C6D29}"/>
            </a:ext>
          </a:extLst>
        </xdr:cNvPr>
        <xdr:cNvCxnSpPr/>
      </xdr:nvCxnSpPr>
      <xdr:spPr>
        <a:xfrm>
          <a:off x="11512969" y="6017260"/>
          <a:ext cx="0" cy="3053927"/>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104980</xdr:colOff>
      <xdr:row>62</xdr:row>
      <xdr:rowOff>135044</xdr:rowOff>
    </xdr:from>
    <xdr:to>
      <xdr:col>8</xdr:col>
      <xdr:colOff>104980</xdr:colOff>
      <xdr:row>73</xdr:row>
      <xdr:rowOff>60960</xdr:rowOff>
    </xdr:to>
    <xdr:cxnSp macro="">
      <xdr:nvCxnSpPr>
        <xdr:cNvPr id="9" name="Straight Arrow Connector 8">
          <a:extLst>
            <a:ext uri="{FF2B5EF4-FFF2-40B4-BE49-F238E27FC236}">
              <a16:creationId xmlns:a16="http://schemas.microsoft.com/office/drawing/2014/main" id="{CFA205CA-38D0-44E5-A733-0D4DD2792606}"/>
            </a:ext>
          </a:extLst>
        </xdr:cNvPr>
        <xdr:cNvCxnSpPr/>
      </xdr:nvCxnSpPr>
      <xdr:spPr>
        <a:xfrm>
          <a:off x="11534980" y="4190577"/>
          <a:ext cx="0" cy="1788583"/>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98630</xdr:colOff>
      <xdr:row>73</xdr:row>
      <xdr:rowOff>138007</xdr:rowOff>
    </xdr:from>
    <xdr:to>
      <xdr:col>8</xdr:col>
      <xdr:colOff>98630</xdr:colOff>
      <xdr:row>83</xdr:row>
      <xdr:rowOff>99060</xdr:rowOff>
    </xdr:to>
    <xdr:cxnSp macro="">
      <xdr:nvCxnSpPr>
        <xdr:cNvPr id="7" name="Straight Arrow Connector 6">
          <a:extLst>
            <a:ext uri="{FF2B5EF4-FFF2-40B4-BE49-F238E27FC236}">
              <a16:creationId xmlns:a16="http://schemas.microsoft.com/office/drawing/2014/main" id="{D69DA7D7-5126-4072-8B87-3EB6C53C4528}"/>
            </a:ext>
          </a:extLst>
        </xdr:cNvPr>
        <xdr:cNvCxnSpPr/>
      </xdr:nvCxnSpPr>
      <xdr:spPr>
        <a:xfrm>
          <a:off x="11528630" y="6056207"/>
          <a:ext cx="0" cy="1637453"/>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212509</xdr:colOff>
      <xdr:row>55</xdr:row>
      <xdr:rowOff>99695</xdr:rowOff>
    </xdr:from>
    <xdr:to>
      <xdr:col>9</xdr:col>
      <xdr:colOff>212509</xdr:colOff>
      <xdr:row>60</xdr:row>
      <xdr:rowOff>164465</xdr:rowOff>
    </xdr:to>
    <xdr:cxnSp macro="">
      <xdr:nvCxnSpPr>
        <xdr:cNvPr id="2" name="Straight Arrow Connector 1">
          <a:extLst>
            <a:ext uri="{FF2B5EF4-FFF2-40B4-BE49-F238E27FC236}">
              <a16:creationId xmlns:a16="http://schemas.microsoft.com/office/drawing/2014/main" id="{D568D581-1159-43E6-A76F-1EBBF573BC15}"/>
            </a:ext>
          </a:extLst>
        </xdr:cNvPr>
        <xdr:cNvCxnSpPr/>
      </xdr:nvCxnSpPr>
      <xdr:spPr>
        <a:xfrm>
          <a:off x="13871359" y="11358245"/>
          <a:ext cx="0" cy="1036320"/>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11</xdr:row>
      <xdr:rowOff>0</xdr:rowOff>
    </xdr:from>
    <xdr:ext cx="9130500" cy="1747610"/>
    <xdr:pic>
      <xdr:nvPicPr>
        <xdr:cNvPr id="2" name="Picture 1">
          <a:extLst>
            <a:ext uri="{FF2B5EF4-FFF2-40B4-BE49-F238E27FC236}">
              <a16:creationId xmlns:a16="http://schemas.microsoft.com/office/drawing/2014/main" id="{D9955D9C-C9A8-4407-9A50-A254C6040467}"/>
            </a:ext>
          </a:extLst>
        </xdr:cNvPr>
        <xdr:cNvPicPr>
          <a:picLocks noChangeAspect="1"/>
        </xdr:cNvPicPr>
      </xdr:nvPicPr>
      <xdr:blipFill>
        <a:blip xmlns:r="http://schemas.openxmlformats.org/officeDocument/2006/relationships" r:embed="rId1"/>
        <a:stretch>
          <a:fillRect/>
        </a:stretch>
      </xdr:blipFill>
      <xdr:spPr>
        <a:xfrm>
          <a:off x="609600" y="2011680"/>
          <a:ext cx="9130500" cy="1747610"/>
        </a:xfrm>
        <a:prstGeom prst="rect">
          <a:avLst/>
        </a:prstGeom>
      </xdr:spPr>
    </xdr:pic>
    <xdr:clientData/>
  </xdr:oneCellAnchor>
  <xdr:oneCellAnchor>
    <xdr:from>
      <xdr:col>1</xdr:col>
      <xdr:colOff>0</xdr:colOff>
      <xdr:row>23</xdr:row>
      <xdr:rowOff>0</xdr:rowOff>
    </xdr:from>
    <xdr:ext cx="9182573" cy="829987"/>
    <xdr:pic>
      <xdr:nvPicPr>
        <xdr:cNvPr id="3" name="Picture 2">
          <a:extLst>
            <a:ext uri="{FF2B5EF4-FFF2-40B4-BE49-F238E27FC236}">
              <a16:creationId xmlns:a16="http://schemas.microsoft.com/office/drawing/2014/main" id="{5DA4F5DA-B7CC-4640-9A80-F4338F019CF3}"/>
            </a:ext>
          </a:extLst>
        </xdr:cNvPr>
        <xdr:cNvPicPr>
          <a:picLocks noChangeAspect="1"/>
        </xdr:cNvPicPr>
      </xdr:nvPicPr>
      <xdr:blipFill>
        <a:blip xmlns:r="http://schemas.openxmlformats.org/officeDocument/2006/relationships" r:embed="rId2"/>
        <a:stretch>
          <a:fillRect/>
        </a:stretch>
      </xdr:blipFill>
      <xdr:spPr>
        <a:xfrm>
          <a:off x="609600" y="4206240"/>
          <a:ext cx="9182573" cy="829987"/>
        </a:xfrm>
        <a:prstGeom prst="rect">
          <a:avLst/>
        </a:prstGeom>
      </xdr:spPr>
    </xdr:pic>
    <xdr:clientData/>
  </xdr:oneCellAnchor>
  <xdr:oneCellAnchor>
    <xdr:from>
      <xdr:col>1</xdr:col>
      <xdr:colOff>0</xdr:colOff>
      <xdr:row>28</xdr:row>
      <xdr:rowOff>0</xdr:rowOff>
    </xdr:from>
    <xdr:ext cx="4707890" cy="6941820"/>
    <xdr:pic>
      <xdr:nvPicPr>
        <xdr:cNvPr id="4" name="Picture 3">
          <a:extLst>
            <a:ext uri="{FF2B5EF4-FFF2-40B4-BE49-F238E27FC236}">
              <a16:creationId xmlns:a16="http://schemas.microsoft.com/office/drawing/2014/main" id="{BF3D2281-E92C-41A6-A513-BA8080F585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5120640"/>
          <a:ext cx="4707890" cy="69418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29</xdr:row>
      <xdr:rowOff>0</xdr:rowOff>
    </xdr:from>
    <xdr:ext cx="4914900" cy="6918960"/>
    <xdr:pic>
      <xdr:nvPicPr>
        <xdr:cNvPr id="5" name="Picture 4">
          <a:extLst>
            <a:ext uri="{FF2B5EF4-FFF2-40B4-BE49-F238E27FC236}">
              <a16:creationId xmlns:a16="http://schemas.microsoft.com/office/drawing/2014/main" id="{BAC399F0-D27A-4288-9333-16B1332BAC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400" y="5303520"/>
          <a:ext cx="4914900" cy="69189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23</xdr:row>
      <xdr:rowOff>0</xdr:rowOff>
    </xdr:from>
    <xdr:ext cx="9166696" cy="572165"/>
    <xdr:pic>
      <xdr:nvPicPr>
        <xdr:cNvPr id="3" name="Picture 2">
          <a:extLst>
            <a:ext uri="{FF2B5EF4-FFF2-40B4-BE49-F238E27FC236}">
              <a16:creationId xmlns:a16="http://schemas.microsoft.com/office/drawing/2014/main" id="{4D84540A-B485-423A-9EB8-3600A0B9003D}"/>
            </a:ext>
          </a:extLst>
        </xdr:cNvPr>
        <xdr:cNvPicPr>
          <a:picLocks noChangeAspect="1"/>
        </xdr:cNvPicPr>
      </xdr:nvPicPr>
      <xdr:blipFill>
        <a:blip xmlns:r="http://schemas.openxmlformats.org/officeDocument/2006/relationships" r:embed="rId1"/>
        <a:stretch>
          <a:fillRect/>
        </a:stretch>
      </xdr:blipFill>
      <xdr:spPr>
        <a:xfrm>
          <a:off x="609600" y="4206240"/>
          <a:ext cx="9166696" cy="572165"/>
        </a:xfrm>
        <a:prstGeom prst="rect">
          <a:avLst/>
        </a:prstGeom>
      </xdr:spPr>
    </xdr:pic>
    <xdr:clientData/>
  </xdr:oneCellAnchor>
  <xdr:twoCellAnchor editAs="oneCell">
    <xdr:from>
      <xdr:col>1</xdr:col>
      <xdr:colOff>0</xdr:colOff>
      <xdr:row>11</xdr:row>
      <xdr:rowOff>0</xdr:rowOff>
    </xdr:from>
    <xdr:to>
      <xdr:col>18</xdr:col>
      <xdr:colOff>317539</xdr:colOff>
      <xdr:row>17</xdr:row>
      <xdr:rowOff>112457</xdr:rowOff>
    </xdr:to>
    <xdr:pic>
      <xdr:nvPicPr>
        <xdr:cNvPr id="4" name="Picture 3">
          <a:extLst>
            <a:ext uri="{FF2B5EF4-FFF2-40B4-BE49-F238E27FC236}">
              <a16:creationId xmlns:a16="http://schemas.microsoft.com/office/drawing/2014/main" id="{D80AE950-03B6-4625-AEAF-108215FE6CCB}"/>
            </a:ext>
          </a:extLst>
        </xdr:cNvPr>
        <xdr:cNvPicPr>
          <a:picLocks noChangeAspect="1"/>
        </xdr:cNvPicPr>
      </xdr:nvPicPr>
      <xdr:blipFill>
        <a:blip xmlns:r="http://schemas.openxmlformats.org/officeDocument/2006/relationships" r:embed="rId2"/>
        <a:stretch>
          <a:fillRect/>
        </a:stretch>
      </xdr:blipFill>
      <xdr:spPr>
        <a:xfrm>
          <a:off x="106680" y="2011680"/>
          <a:ext cx="13097549" cy="12097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11</xdr:row>
      <xdr:rowOff>0</xdr:rowOff>
    </xdr:from>
    <xdr:ext cx="9278462" cy="1965426"/>
    <xdr:pic>
      <xdr:nvPicPr>
        <xdr:cNvPr id="26" name="Picture 25">
          <a:extLst>
            <a:ext uri="{FF2B5EF4-FFF2-40B4-BE49-F238E27FC236}">
              <a16:creationId xmlns:a16="http://schemas.microsoft.com/office/drawing/2014/main" id="{D7134756-8067-4801-BAFE-8D66E3D35985}"/>
            </a:ext>
          </a:extLst>
        </xdr:cNvPr>
        <xdr:cNvPicPr>
          <a:picLocks noChangeAspect="1"/>
        </xdr:cNvPicPr>
      </xdr:nvPicPr>
      <xdr:blipFill>
        <a:blip xmlns:r="http://schemas.openxmlformats.org/officeDocument/2006/relationships" r:embed="rId1"/>
        <a:stretch>
          <a:fillRect/>
        </a:stretch>
      </xdr:blipFill>
      <xdr:spPr>
        <a:xfrm>
          <a:off x="114300" y="2011680"/>
          <a:ext cx="9278462" cy="1965426"/>
        </a:xfrm>
        <a:prstGeom prst="rect">
          <a:avLst/>
        </a:prstGeom>
      </xdr:spPr>
    </xdr:pic>
    <xdr:clientData/>
  </xdr:oneCellAnchor>
  <xdr:twoCellAnchor editAs="oneCell">
    <xdr:from>
      <xdr:col>2</xdr:col>
      <xdr:colOff>0</xdr:colOff>
      <xdr:row>27</xdr:row>
      <xdr:rowOff>0</xdr:rowOff>
    </xdr:from>
    <xdr:to>
      <xdr:col>2</xdr:col>
      <xdr:colOff>9055100</xdr:colOff>
      <xdr:row>27</xdr:row>
      <xdr:rowOff>4343400</xdr:rowOff>
    </xdr:to>
    <xdr:pic>
      <xdr:nvPicPr>
        <xdr:cNvPr id="31" name="Picture 30">
          <a:extLst>
            <a:ext uri="{FF2B5EF4-FFF2-40B4-BE49-F238E27FC236}">
              <a16:creationId xmlns:a16="http://schemas.microsoft.com/office/drawing/2014/main" id="{BEE2F432-5EC9-4966-9101-2C975E95F137}"/>
            </a:ext>
          </a:extLst>
        </xdr:cNvPr>
        <xdr:cNvPicPr>
          <a:picLocks noChangeAspect="1"/>
        </xdr:cNvPicPr>
      </xdr:nvPicPr>
      <xdr:blipFill>
        <a:blip xmlns:r="http://schemas.openxmlformats.org/officeDocument/2006/relationships" r:embed="rId2"/>
        <a:stretch>
          <a:fillRect/>
        </a:stretch>
      </xdr:blipFill>
      <xdr:spPr>
        <a:xfrm>
          <a:off x="723900" y="4937760"/>
          <a:ext cx="9052560" cy="4343400"/>
        </a:xfrm>
        <a:prstGeom prst="rect">
          <a:avLst/>
        </a:prstGeom>
      </xdr:spPr>
    </xdr:pic>
    <xdr:clientData/>
  </xdr:twoCellAnchor>
  <xdr:twoCellAnchor>
    <xdr:from>
      <xdr:col>2</xdr:col>
      <xdr:colOff>51435</xdr:colOff>
      <xdr:row>30</xdr:row>
      <xdr:rowOff>13335</xdr:rowOff>
    </xdr:from>
    <xdr:to>
      <xdr:col>3</xdr:col>
      <xdr:colOff>0</xdr:colOff>
      <xdr:row>31</xdr:row>
      <xdr:rowOff>0</xdr:rowOff>
    </xdr:to>
    <xdr:pic>
      <xdr:nvPicPr>
        <xdr:cNvPr id="36" name="Picture 35">
          <a:extLst>
            <a:ext uri="{FF2B5EF4-FFF2-40B4-BE49-F238E27FC236}">
              <a16:creationId xmlns:a16="http://schemas.microsoft.com/office/drawing/2014/main" id="{AB925F96-D94E-1340-B61A-5A90718FBAEC}"/>
            </a:ext>
          </a:extLst>
        </xdr:cNvPr>
        <xdr:cNvPicPr>
          <a:picLocks noChangeAspect="1"/>
        </xdr:cNvPicPr>
      </xdr:nvPicPr>
      <xdr:blipFill>
        <a:blip xmlns:r="http://schemas.openxmlformats.org/officeDocument/2006/relationships" r:embed="rId3"/>
        <a:stretch>
          <a:fillRect/>
        </a:stretch>
      </xdr:blipFill>
      <xdr:spPr>
        <a:xfrm>
          <a:off x="996315" y="9858375"/>
          <a:ext cx="10654665" cy="3369945"/>
        </a:xfrm>
        <a:prstGeom prst="rect">
          <a:avLst/>
        </a:prstGeom>
      </xdr:spPr>
    </xdr:pic>
    <xdr:clientData/>
  </xdr:twoCellAnchor>
  <xdr:twoCellAnchor>
    <xdr:from>
      <xdr:col>2</xdr:col>
      <xdr:colOff>160464</xdr:colOff>
      <xdr:row>31</xdr:row>
      <xdr:rowOff>22987</xdr:rowOff>
    </xdr:from>
    <xdr:to>
      <xdr:col>2</xdr:col>
      <xdr:colOff>8956706</xdr:colOff>
      <xdr:row>31</xdr:row>
      <xdr:rowOff>5143056</xdr:rowOff>
    </xdr:to>
    <xdr:pic>
      <xdr:nvPicPr>
        <xdr:cNvPr id="37" name="Picture 36">
          <a:extLst>
            <a:ext uri="{FF2B5EF4-FFF2-40B4-BE49-F238E27FC236}">
              <a16:creationId xmlns:a16="http://schemas.microsoft.com/office/drawing/2014/main" id="{A1F8448E-DB29-2A53-1F82-F5A78F2DB90B}"/>
            </a:ext>
          </a:extLst>
        </xdr:cNvPr>
        <xdr:cNvPicPr>
          <a:picLocks noChangeAspect="1"/>
        </xdr:cNvPicPr>
      </xdr:nvPicPr>
      <xdr:blipFill>
        <a:blip xmlns:r="http://schemas.openxmlformats.org/officeDocument/2006/relationships" r:embed="rId4"/>
        <a:stretch>
          <a:fillRect/>
        </a:stretch>
      </xdr:blipFill>
      <xdr:spPr>
        <a:xfrm>
          <a:off x="1105344" y="13251307"/>
          <a:ext cx="8796242" cy="5120069"/>
        </a:xfrm>
        <a:prstGeom prst="rect">
          <a:avLst/>
        </a:prstGeom>
      </xdr:spPr>
    </xdr:pic>
    <xdr:clientData/>
  </xdr:twoCellAnchor>
  <xdr:twoCellAnchor>
    <xdr:from>
      <xdr:col>2</xdr:col>
      <xdr:colOff>161734</xdr:colOff>
      <xdr:row>32</xdr:row>
      <xdr:rowOff>37084</xdr:rowOff>
    </xdr:from>
    <xdr:to>
      <xdr:col>2</xdr:col>
      <xdr:colOff>9170574</xdr:colOff>
      <xdr:row>32</xdr:row>
      <xdr:rowOff>5136896</xdr:rowOff>
    </xdr:to>
    <xdr:pic>
      <xdr:nvPicPr>
        <xdr:cNvPr id="38" name="Picture 37">
          <a:extLst>
            <a:ext uri="{FF2B5EF4-FFF2-40B4-BE49-F238E27FC236}">
              <a16:creationId xmlns:a16="http://schemas.microsoft.com/office/drawing/2014/main" id="{267E9346-EC45-97EA-BCC1-E698E669FA2A}"/>
            </a:ext>
          </a:extLst>
        </xdr:cNvPr>
        <xdr:cNvPicPr>
          <a:picLocks noChangeAspect="1"/>
        </xdr:cNvPicPr>
      </xdr:nvPicPr>
      <xdr:blipFill>
        <a:blip xmlns:r="http://schemas.openxmlformats.org/officeDocument/2006/relationships" r:embed="rId5"/>
        <a:stretch>
          <a:fillRect/>
        </a:stretch>
      </xdr:blipFill>
      <xdr:spPr>
        <a:xfrm>
          <a:off x="1106614" y="18462244"/>
          <a:ext cx="9008840" cy="5099812"/>
        </a:xfrm>
        <a:prstGeom prst="rect">
          <a:avLst/>
        </a:prstGeom>
      </xdr:spPr>
    </xdr:pic>
    <xdr:clientData/>
  </xdr:twoCellAnchor>
  <xdr:twoCellAnchor>
    <xdr:from>
      <xdr:col>2</xdr:col>
      <xdr:colOff>29881</xdr:colOff>
      <xdr:row>33</xdr:row>
      <xdr:rowOff>19812</xdr:rowOff>
    </xdr:from>
    <xdr:to>
      <xdr:col>2</xdr:col>
      <xdr:colOff>8588792</xdr:colOff>
      <xdr:row>33</xdr:row>
      <xdr:rowOff>5138674</xdr:rowOff>
    </xdr:to>
    <xdr:pic>
      <xdr:nvPicPr>
        <xdr:cNvPr id="39" name="Picture 38">
          <a:extLst>
            <a:ext uri="{FF2B5EF4-FFF2-40B4-BE49-F238E27FC236}">
              <a16:creationId xmlns:a16="http://schemas.microsoft.com/office/drawing/2014/main" id="{9D556527-375D-62BA-07BF-C7280D25C4F0}"/>
            </a:ext>
          </a:extLst>
        </xdr:cNvPr>
        <xdr:cNvPicPr>
          <a:picLocks noChangeAspect="1"/>
        </xdr:cNvPicPr>
      </xdr:nvPicPr>
      <xdr:blipFill>
        <a:blip xmlns:r="http://schemas.openxmlformats.org/officeDocument/2006/relationships" r:embed="rId6"/>
        <a:stretch>
          <a:fillRect/>
        </a:stretch>
      </xdr:blipFill>
      <xdr:spPr>
        <a:xfrm>
          <a:off x="974761" y="23641812"/>
          <a:ext cx="8558911" cy="5118862"/>
        </a:xfrm>
        <a:prstGeom prst="rect">
          <a:avLst/>
        </a:prstGeom>
      </xdr:spPr>
    </xdr:pic>
    <xdr:clientData/>
  </xdr:twoCellAnchor>
  <xdr:twoCellAnchor>
    <xdr:from>
      <xdr:col>2</xdr:col>
      <xdr:colOff>53975</xdr:colOff>
      <xdr:row>34</xdr:row>
      <xdr:rowOff>37085</xdr:rowOff>
    </xdr:from>
    <xdr:to>
      <xdr:col>2</xdr:col>
      <xdr:colOff>8930799</xdr:colOff>
      <xdr:row>34</xdr:row>
      <xdr:rowOff>5140580</xdr:rowOff>
    </xdr:to>
    <xdr:pic>
      <xdr:nvPicPr>
        <xdr:cNvPr id="40" name="Picture 39">
          <a:extLst>
            <a:ext uri="{FF2B5EF4-FFF2-40B4-BE49-F238E27FC236}">
              <a16:creationId xmlns:a16="http://schemas.microsoft.com/office/drawing/2014/main" id="{E4B7D337-EB4E-F398-A87C-63FEF4B1B2A2}"/>
            </a:ext>
          </a:extLst>
        </xdr:cNvPr>
        <xdr:cNvPicPr>
          <a:picLocks noChangeAspect="1"/>
        </xdr:cNvPicPr>
      </xdr:nvPicPr>
      <xdr:blipFill>
        <a:blip xmlns:r="http://schemas.openxmlformats.org/officeDocument/2006/relationships" r:embed="rId7"/>
        <a:stretch>
          <a:fillRect/>
        </a:stretch>
      </xdr:blipFill>
      <xdr:spPr>
        <a:xfrm>
          <a:off x="998855" y="28855925"/>
          <a:ext cx="8876824" cy="5103495"/>
        </a:xfrm>
        <a:prstGeom prst="rect">
          <a:avLst/>
        </a:prstGeom>
      </xdr:spPr>
    </xdr:pic>
    <xdr:clientData/>
  </xdr:twoCellAnchor>
  <xdr:twoCellAnchor>
    <xdr:from>
      <xdr:col>2</xdr:col>
      <xdr:colOff>53975</xdr:colOff>
      <xdr:row>35</xdr:row>
      <xdr:rowOff>30670</xdr:rowOff>
    </xdr:from>
    <xdr:to>
      <xdr:col>2</xdr:col>
      <xdr:colOff>8549037</xdr:colOff>
      <xdr:row>35</xdr:row>
      <xdr:rowOff>5143150</xdr:rowOff>
    </xdr:to>
    <xdr:pic>
      <xdr:nvPicPr>
        <xdr:cNvPr id="41" name="Picture 40">
          <a:extLst>
            <a:ext uri="{FF2B5EF4-FFF2-40B4-BE49-F238E27FC236}">
              <a16:creationId xmlns:a16="http://schemas.microsoft.com/office/drawing/2014/main" id="{430E4DAA-7F47-032A-28DD-5CC4DC88DF2D}"/>
            </a:ext>
          </a:extLst>
        </xdr:cNvPr>
        <xdr:cNvPicPr>
          <a:picLocks noChangeAspect="1"/>
        </xdr:cNvPicPr>
      </xdr:nvPicPr>
      <xdr:blipFill>
        <a:blip xmlns:r="http://schemas.openxmlformats.org/officeDocument/2006/relationships" r:embed="rId8"/>
        <a:stretch>
          <a:fillRect/>
        </a:stretch>
      </xdr:blipFill>
      <xdr:spPr>
        <a:xfrm>
          <a:off x="998855" y="34046350"/>
          <a:ext cx="8495062" cy="5112480"/>
        </a:xfrm>
        <a:prstGeom prst="rect">
          <a:avLst/>
        </a:prstGeom>
      </xdr:spPr>
    </xdr:pic>
    <xdr:clientData/>
  </xdr:twoCellAnchor>
  <xdr:twoCellAnchor>
    <xdr:from>
      <xdr:col>2</xdr:col>
      <xdr:colOff>29881</xdr:colOff>
      <xdr:row>36</xdr:row>
      <xdr:rowOff>20321</xdr:rowOff>
    </xdr:from>
    <xdr:to>
      <xdr:col>2</xdr:col>
      <xdr:colOff>8602286</xdr:colOff>
      <xdr:row>36</xdr:row>
      <xdr:rowOff>5135564</xdr:rowOff>
    </xdr:to>
    <xdr:pic>
      <xdr:nvPicPr>
        <xdr:cNvPr id="42" name="Picture 41">
          <a:extLst>
            <a:ext uri="{FF2B5EF4-FFF2-40B4-BE49-F238E27FC236}">
              <a16:creationId xmlns:a16="http://schemas.microsoft.com/office/drawing/2014/main" id="{C4D04ABA-2178-CFBB-A054-28BE77C420F5}"/>
            </a:ext>
          </a:extLst>
        </xdr:cNvPr>
        <xdr:cNvPicPr>
          <a:picLocks noChangeAspect="1"/>
        </xdr:cNvPicPr>
      </xdr:nvPicPr>
      <xdr:blipFill>
        <a:blip xmlns:r="http://schemas.openxmlformats.org/officeDocument/2006/relationships" r:embed="rId9"/>
        <a:stretch>
          <a:fillRect/>
        </a:stretch>
      </xdr:blipFill>
      <xdr:spPr>
        <a:xfrm>
          <a:off x="974761" y="39232841"/>
          <a:ext cx="8572405" cy="5115243"/>
        </a:xfrm>
        <a:prstGeom prst="rect">
          <a:avLst/>
        </a:prstGeom>
      </xdr:spPr>
    </xdr:pic>
    <xdr:clientData/>
  </xdr:twoCellAnchor>
  <xdr:twoCellAnchor>
    <xdr:from>
      <xdr:col>2</xdr:col>
      <xdr:colOff>28611</xdr:colOff>
      <xdr:row>37</xdr:row>
      <xdr:rowOff>36513</xdr:rowOff>
    </xdr:from>
    <xdr:to>
      <xdr:col>2</xdr:col>
      <xdr:colOff>8699409</xdr:colOff>
      <xdr:row>37</xdr:row>
      <xdr:rowOff>5138738</xdr:rowOff>
    </xdr:to>
    <xdr:pic>
      <xdr:nvPicPr>
        <xdr:cNvPr id="43" name="Picture 42">
          <a:extLst>
            <a:ext uri="{FF2B5EF4-FFF2-40B4-BE49-F238E27FC236}">
              <a16:creationId xmlns:a16="http://schemas.microsoft.com/office/drawing/2014/main" id="{10311789-B23F-9EE7-1A4C-6C3FF239AA69}"/>
            </a:ext>
          </a:extLst>
        </xdr:cNvPr>
        <xdr:cNvPicPr>
          <a:picLocks noChangeAspect="1"/>
        </xdr:cNvPicPr>
      </xdr:nvPicPr>
      <xdr:blipFill>
        <a:blip xmlns:r="http://schemas.openxmlformats.org/officeDocument/2006/relationships" r:embed="rId10"/>
        <a:stretch>
          <a:fillRect/>
        </a:stretch>
      </xdr:blipFill>
      <xdr:spPr>
        <a:xfrm>
          <a:off x="973491" y="44445873"/>
          <a:ext cx="8670798" cy="5102225"/>
        </a:xfrm>
        <a:prstGeom prst="rect">
          <a:avLst/>
        </a:prstGeom>
      </xdr:spPr>
    </xdr:pic>
    <xdr:clientData/>
  </xdr:twoCellAnchor>
  <xdr:twoCellAnchor>
    <xdr:from>
      <xdr:col>2</xdr:col>
      <xdr:colOff>29881</xdr:colOff>
      <xdr:row>38</xdr:row>
      <xdr:rowOff>38798</xdr:rowOff>
    </xdr:from>
    <xdr:to>
      <xdr:col>2</xdr:col>
      <xdr:colOff>8469793</xdr:colOff>
      <xdr:row>38</xdr:row>
      <xdr:rowOff>5135054</xdr:rowOff>
    </xdr:to>
    <xdr:pic>
      <xdr:nvPicPr>
        <xdr:cNvPr id="44" name="Picture 43">
          <a:extLst>
            <a:ext uri="{FF2B5EF4-FFF2-40B4-BE49-F238E27FC236}">
              <a16:creationId xmlns:a16="http://schemas.microsoft.com/office/drawing/2014/main" id="{DEF76F48-1E9D-3288-3C02-9A13115817BD}"/>
            </a:ext>
          </a:extLst>
        </xdr:cNvPr>
        <xdr:cNvPicPr>
          <a:picLocks noChangeAspect="1"/>
        </xdr:cNvPicPr>
      </xdr:nvPicPr>
      <xdr:blipFill>
        <a:blip xmlns:r="http://schemas.openxmlformats.org/officeDocument/2006/relationships" r:embed="rId11"/>
        <a:stretch>
          <a:fillRect/>
        </a:stretch>
      </xdr:blipFill>
      <xdr:spPr>
        <a:xfrm>
          <a:off x="974761" y="49644998"/>
          <a:ext cx="8439912" cy="5096256"/>
        </a:xfrm>
        <a:prstGeom prst="rect">
          <a:avLst/>
        </a:prstGeom>
      </xdr:spPr>
    </xdr:pic>
    <xdr:clientData/>
  </xdr:twoCellAnchor>
  <xdr:twoCellAnchor>
    <xdr:from>
      <xdr:col>2</xdr:col>
      <xdr:colOff>31151</xdr:colOff>
      <xdr:row>39</xdr:row>
      <xdr:rowOff>61944</xdr:rowOff>
    </xdr:from>
    <xdr:to>
      <xdr:col>2</xdr:col>
      <xdr:colOff>8444996</xdr:colOff>
      <xdr:row>40</xdr:row>
      <xdr:rowOff>0</xdr:rowOff>
    </xdr:to>
    <xdr:pic>
      <xdr:nvPicPr>
        <xdr:cNvPr id="45" name="Picture 44">
          <a:extLst>
            <a:ext uri="{FF2B5EF4-FFF2-40B4-BE49-F238E27FC236}">
              <a16:creationId xmlns:a16="http://schemas.microsoft.com/office/drawing/2014/main" id="{AE7FA264-564E-6140-7EE3-C28645FF279D}"/>
            </a:ext>
          </a:extLst>
        </xdr:cNvPr>
        <xdr:cNvPicPr>
          <a:picLocks noChangeAspect="1"/>
        </xdr:cNvPicPr>
      </xdr:nvPicPr>
      <xdr:blipFill>
        <a:blip xmlns:r="http://schemas.openxmlformats.org/officeDocument/2006/relationships" r:embed="rId12"/>
        <a:stretch>
          <a:fillRect/>
        </a:stretch>
      </xdr:blipFill>
      <xdr:spPr>
        <a:xfrm>
          <a:off x="976031" y="54864984"/>
          <a:ext cx="8413845" cy="5134896"/>
        </a:xfrm>
        <a:prstGeom prst="rect">
          <a:avLst/>
        </a:prstGeom>
      </xdr:spPr>
    </xdr:pic>
    <xdr:clientData/>
  </xdr:twoCellAnchor>
  <xdr:twoCellAnchor editAs="oneCell">
    <xdr:from>
      <xdr:col>1</xdr:col>
      <xdr:colOff>0</xdr:colOff>
      <xdr:row>23</xdr:row>
      <xdr:rowOff>0</xdr:rowOff>
    </xdr:from>
    <xdr:to>
      <xdr:col>5</xdr:col>
      <xdr:colOff>556944</xdr:colOff>
      <xdr:row>24</xdr:row>
      <xdr:rowOff>74309</xdr:rowOff>
    </xdr:to>
    <xdr:pic>
      <xdr:nvPicPr>
        <xdr:cNvPr id="2" name="Picture 1">
          <a:extLst>
            <a:ext uri="{FF2B5EF4-FFF2-40B4-BE49-F238E27FC236}">
              <a16:creationId xmlns:a16="http://schemas.microsoft.com/office/drawing/2014/main" id="{89DEE401-F0A7-E5F2-6112-4599FDEA4907}"/>
            </a:ext>
          </a:extLst>
        </xdr:cNvPr>
        <xdr:cNvPicPr>
          <a:picLocks noChangeAspect="1"/>
        </xdr:cNvPicPr>
      </xdr:nvPicPr>
      <xdr:blipFill>
        <a:blip xmlns:r="http://schemas.openxmlformats.org/officeDocument/2006/relationships" r:embed="rId13"/>
        <a:stretch>
          <a:fillRect/>
        </a:stretch>
      </xdr:blipFill>
      <xdr:spPr>
        <a:xfrm>
          <a:off x="106680" y="4206240"/>
          <a:ext cx="13297584" cy="2571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106679</xdr:colOff>
      <xdr:row>11</xdr:row>
      <xdr:rowOff>0</xdr:rowOff>
    </xdr:from>
    <xdr:to>
      <xdr:col>21</xdr:col>
      <xdr:colOff>243893</xdr:colOff>
      <xdr:row>25</xdr:row>
      <xdr:rowOff>97927</xdr:rowOff>
    </xdr:to>
    <xdr:pic>
      <xdr:nvPicPr>
        <xdr:cNvPr id="5" name="Picture 4">
          <a:extLst>
            <a:ext uri="{FF2B5EF4-FFF2-40B4-BE49-F238E27FC236}">
              <a16:creationId xmlns:a16="http://schemas.microsoft.com/office/drawing/2014/main" id="{782D01F4-5489-8523-1134-1888D700196B}"/>
            </a:ext>
          </a:extLst>
        </xdr:cNvPr>
        <xdr:cNvPicPr>
          <a:picLocks noChangeAspect="1"/>
        </xdr:cNvPicPr>
      </xdr:nvPicPr>
      <xdr:blipFill>
        <a:blip xmlns:r="http://schemas.openxmlformats.org/officeDocument/2006/relationships" r:embed="rId1"/>
        <a:stretch>
          <a:fillRect/>
        </a:stretch>
      </xdr:blipFill>
      <xdr:spPr>
        <a:xfrm>
          <a:off x="106679" y="2011680"/>
          <a:ext cx="13402364" cy="266713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0</xdr:colOff>
      <xdr:row>11</xdr:row>
      <xdr:rowOff>0</xdr:rowOff>
    </xdr:from>
    <xdr:ext cx="9090493" cy="789981"/>
    <xdr:pic>
      <xdr:nvPicPr>
        <xdr:cNvPr id="2" name="Picture 1">
          <a:extLst>
            <a:ext uri="{FF2B5EF4-FFF2-40B4-BE49-F238E27FC236}">
              <a16:creationId xmlns:a16="http://schemas.microsoft.com/office/drawing/2014/main" id="{8F804762-7C6E-45F6-804B-72FB39863661}"/>
            </a:ext>
          </a:extLst>
        </xdr:cNvPr>
        <xdr:cNvPicPr>
          <a:picLocks noChangeAspect="1"/>
        </xdr:cNvPicPr>
      </xdr:nvPicPr>
      <xdr:blipFill>
        <a:blip xmlns:r="http://schemas.openxmlformats.org/officeDocument/2006/relationships" r:embed="rId1"/>
        <a:stretch>
          <a:fillRect/>
        </a:stretch>
      </xdr:blipFill>
      <xdr:spPr>
        <a:xfrm>
          <a:off x="609600" y="2011680"/>
          <a:ext cx="9090493" cy="789981"/>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11</xdr:row>
      <xdr:rowOff>0</xdr:rowOff>
    </xdr:from>
    <xdr:ext cx="12673981" cy="489611"/>
    <xdr:pic>
      <xdr:nvPicPr>
        <xdr:cNvPr id="2" name="Picture 1">
          <a:extLst>
            <a:ext uri="{FF2B5EF4-FFF2-40B4-BE49-F238E27FC236}">
              <a16:creationId xmlns:a16="http://schemas.microsoft.com/office/drawing/2014/main" id="{629612B0-FDF1-482D-AD5A-136ACE0CF827}"/>
            </a:ext>
          </a:extLst>
        </xdr:cNvPr>
        <xdr:cNvPicPr>
          <a:picLocks noChangeAspect="1"/>
        </xdr:cNvPicPr>
      </xdr:nvPicPr>
      <xdr:blipFill>
        <a:blip xmlns:r="http://schemas.openxmlformats.org/officeDocument/2006/relationships" r:embed="rId1"/>
        <a:stretch>
          <a:fillRect/>
        </a:stretch>
      </xdr:blipFill>
      <xdr:spPr>
        <a:xfrm>
          <a:off x="609600" y="2011680"/>
          <a:ext cx="12673981" cy="48961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10</xdr:row>
      <xdr:rowOff>182879</xdr:rowOff>
    </xdr:from>
    <xdr:ext cx="13359817" cy="392450"/>
    <xdr:pic>
      <xdr:nvPicPr>
        <xdr:cNvPr id="2" name="Picture 1">
          <a:extLst>
            <a:ext uri="{FF2B5EF4-FFF2-40B4-BE49-F238E27FC236}">
              <a16:creationId xmlns:a16="http://schemas.microsoft.com/office/drawing/2014/main" id="{5D0BFF2E-87DD-49EE-98BF-8390D10C041C}"/>
            </a:ext>
          </a:extLst>
        </xdr:cNvPr>
        <xdr:cNvPicPr>
          <a:picLocks noChangeAspect="1"/>
        </xdr:cNvPicPr>
      </xdr:nvPicPr>
      <xdr:blipFill>
        <a:blip xmlns:r="http://schemas.openxmlformats.org/officeDocument/2006/relationships" r:embed="rId1"/>
        <a:stretch>
          <a:fillRect/>
        </a:stretch>
      </xdr:blipFill>
      <xdr:spPr>
        <a:xfrm>
          <a:off x="609600" y="2010409"/>
          <a:ext cx="13359817" cy="39245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11</xdr:row>
      <xdr:rowOff>0</xdr:rowOff>
    </xdr:from>
    <xdr:ext cx="13204868" cy="394991"/>
    <xdr:pic>
      <xdr:nvPicPr>
        <xdr:cNvPr id="2" name="Picture 1">
          <a:extLst>
            <a:ext uri="{FF2B5EF4-FFF2-40B4-BE49-F238E27FC236}">
              <a16:creationId xmlns:a16="http://schemas.microsoft.com/office/drawing/2014/main" id="{B56404E3-61F3-4FD5-8B13-70F86B552F39}"/>
            </a:ext>
          </a:extLst>
        </xdr:cNvPr>
        <xdr:cNvPicPr>
          <a:picLocks noChangeAspect="1"/>
        </xdr:cNvPicPr>
      </xdr:nvPicPr>
      <xdr:blipFill>
        <a:blip xmlns:r="http://schemas.openxmlformats.org/officeDocument/2006/relationships" r:embed="rId1"/>
        <a:stretch>
          <a:fillRect/>
        </a:stretch>
      </xdr:blipFill>
      <xdr:spPr>
        <a:xfrm>
          <a:off x="609600" y="2011680"/>
          <a:ext cx="13204868" cy="394991"/>
        </a:xfrm>
        <a:prstGeom prst="rect">
          <a:avLst/>
        </a:prstGeom>
      </xdr:spPr>
    </xdr:pic>
    <xdr:clientData/>
  </xdr:oneCellAnchor>
  <xdr:twoCellAnchor editAs="oneCell">
    <xdr:from>
      <xdr:col>1</xdr:col>
      <xdr:colOff>0</xdr:colOff>
      <xdr:row>23</xdr:row>
      <xdr:rowOff>0</xdr:rowOff>
    </xdr:from>
    <xdr:to>
      <xdr:col>5</xdr:col>
      <xdr:colOff>466378</xdr:colOff>
      <xdr:row>43</xdr:row>
      <xdr:rowOff>123384</xdr:rowOff>
    </xdr:to>
    <xdr:pic>
      <xdr:nvPicPr>
        <xdr:cNvPr id="3" name="Picture 2">
          <a:extLst>
            <a:ext uri="{FF2B5EF4-FFF2-40B4-BE49-F238E27FC236}">
              <a16:creationId xmlns:a16="http://schemas.microsoft.com/office/drawing/2014/main" id="{C3966B6B-B26B-41D1-775C-BC9C1736197F}"/>
            </a:ext>
          </a:extLst>
        </xdr:cNvPr>
        <xdr:cNvPicPr>
          <a:picLocks noChangeAspect="1"/>
        </xdr:cNvPicPr>
      </xdr:nvPicPr>
      <xdr:blipFill>
        <a:blip xmlns:r="http://schemas.openxmlformats.org/officeDocument/2006/relationships" r:embed="rId2"/>
        <a:stretch>
          <a:fillRect/>
        </a:stretch>
      </xdr:blipFill>
      <xdr:spPr>
        <a:xfrm>
          <a:off x="106680" y="4206240"/>
          <a:ext cx="5607338" cy="3778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17</xdr:col>
      <xdr:colOff>515034</xdr:colOff>
      <xdr:row>14</xdr:row>
      <xdr:rowOff>97823</xdr:rowOff>
    </xdr:to>
    <xdr:pic>
      <xdr:nvPicPr>
        <xdr:cNvPr id="3" name="Picture 2">
          <a:extLst>
            <a:ext uri="{FF2B5EF4-FFF2-40B4-BE49-F238E27FC236}">
              <a16:creationId xmlns:a16="http://schemas.microsoft.com/office/drawing/2014/main" id="{43BCE075-D7A6-68C0-CBD8-BC48F0F6303E}"/>
            </a:ext>
          </a:extLst>
        </xdr:cNvPr>
        <xdr:cNvPicPr>
          <a:picLocks noChangeAspect="1"/>
        </xdr:cNvPicPr>
      </xdr:nvPicPr>
      <xdr:blipFill>
        <a:blip xmlns:r="http://schemas.openxmlformats.org/officeDocument/2006/relationships" r:embed="rId1"/>
        <a:stretch>
          <a:fillRect/>
        </a:stretch>
      </xdr:blipFill>
      <xdr:spPr>
        <a:xfrm>
          <a:off x="114300" y="2011680"/>
          <a:ext cx="13297584" cy="628683"/>
        </a:xfrm>
        <a:prstGeom prst="rect">
          <a:avLst/>
        </a:prstGeom>
      </xdr:spPr>
    </xdr:pic>
    <xdr:clientData/>
  </xdr:twoCellAnchor>
  <xdr:twoCellAnchor editAs="oneCell">
    <xdr:from>
      <xdr:col>1</xdr:col>
      <xdr:colOff>0</xdr:colOff>
      <xdr:row>23</xdr:row>
      <xdr:rowOff>0</xdr:rowOff>
    </xdr:from>
    <xdr:to>
      <xdr:col>17</xdr:col>
      <xdr:colOff>520114</xdr:colOff>
      <xdr:row>26</xdr:row>
      <xdr:rowOff>161290</xdr:rowOff>
    </xdr:to>
    <xdr:pic>
      <xdr:nvPicPr>
        <xdr:cNvPr id="5" name="Picture 4">
          <a:extLst>
            <a:ext uri="{FF2B5EF4-FFF2-40B4-BE49-F238E27FC236}">
              <a16:creationId xmlns:a16="http://schemas.microsoft.com/office/drawing/2014/main" id="{B4A5366C-2C66-75F5-AACB-D608C8E4897F}"/>
            </a:ext>
          </a:extLst>
        </xdr:cNvPr>
        <xdr:cNvPicPr>
          <a:picLocks noChangeAspect="1"/>
        </xdr:cNvPicPr>
      </xdr:nvPicPr>
      <xdr:blipFill rotWithShape="1">
        <a:blip xmlns:r="http://schemas.openxmlformats.org/officeDocument/2006/relationships" r:embed="rId2"/>
        <a:srcRect b="64233"/>
        <a:stretch/>
      </xdr:blipFill>
      <xdr:spPr>
        <a:xfrm>
          <a:off x="106680" y="4206240"/>
          <a:ext cx="13310284" cy="7086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19</xdr:col>
      <xdr:colOff>478201</xdr:colOff>
      <xdr:row>15</xdr:row>
      <xdr:rowOff>19724</xdr:rowOff>
    </xdr:to>
    <xdr:pic>
      <xdr:nvPicPr>
        <xdr:cNvPr id="2" name="Picture 1">
          <a:extLst>
            <a:ext uri="{FF2B5EF4-FFF2-40B4-BE49-F238E27FC236}">
              <a16:creationId xmlns:a16="http://schemas.microsoft.com/office/drawing/2014/main" id="{523123D2-EFBF-8406-837A-E6D73E473E56}"/>
            </a:ext>
          </a:extLst>
        </xdr:cNvPr>
        <xdr:cNvPicPr>
          <a:picLocks noChangeAspect="1"/>
        </xdr:cNvPicPr>
      </xdr:nvPicPr>
      <xdr:blipFill>
        <a:blip xmlns:r="http://schemas.openxmlformats.org/officeDocument/2006/relationships" r:embed="rId1"/>
        <a:stretch>
          <a:fillRect/>
        </a:stretch>
      </xdr:blipFill>
      <xdr:spPr>
        <a:xfrm>
          <a:off x="114300" y="2011680"/>
          <a:ext cx="13259481" cy="752514"/>
        </a:xfrm>
        <a:prstGeom prst="rect">
          <a:avLst/>
        </a:prstGeom>
      </xdr:spPr>
    </xdr:pic>
    <xdr:clientData/>
  </xdr:twoCellAnchor>
  <xdr:twoCellAnchor editAs="oneCell">
    <xdr:from>
      <xdr:col>1</xdr:col>
      <xdr:colOff>0</xdr:colOff>
      <xdr:row>23</xdr:row>
      <xdr:rowOff>0</xdr:rowOff>
    </xdr:from>
    <xdr:to>
      <xdr:col>19</xdr:col>
      <xdr:colOff>516304</xdr:colOff>
      <xdr:row>30</xdr:row>
      <xdr:rowOff>161110</xdr:rowOff>
    </xdr:to>
    <xdr:pic>
      <xdr:nvPicPr>
        <xdr:cNvPr id="5" name="Picture 4">
          <a:extLst>
            <a:ext uri="{FF2B5EF4-FFF2-40B4-BE49-F238E27FC236}">
              <a16:creationId xmlns:a16="http://schemas.microsoft.com/office/drawing/2014/main" id="{3A6155FA-1718-68C4-63F1-612520AF0E8A}"/>
            </a:ext>
          </a:extLst>
        </xdr:cNvPr>
        <xdr:cNvPicPr>
          <a:picLocks noChangeAspect="1"/>
        </xdr:cNvPicPr>
      </xdr:nvPicPr>
      <xdr:blipFill rotWithShape="1">
        <a:blip xmlns:r="http://schemas.openxmlformats.org/officeDocument/2006/relationships" r:embed="rId2"/>
        <a:srcRect t="1" b="26740"/>
        <a:stretch/>
      </xdr:blipFill>
      <xdr:spPr>
        <a:xfrm>
          <a:off x="106680" y="4206240"/>
          <a:ext cx="13297584" cy="14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82969</xdr:colOff>
      <xdr:row>29</xdr:row>
      <xdr:rowOff>0</xdr:rowOff>
    </xdr:from>
    <xdr:to>
      <xdr:col>8</xdr:col>
      <xdr:colOff>82969</xdr:colOff>
      <xdr:row>59</xdr:row>
      <xdr:rowOff>172720</xdr:rowOff>
    </xdr:to>
    <xdr:cxnSp macro="">
      <xdr:nvCxnSpPr>
        <xdr:cNvPr id="2" name="Straight Arrow Connector 1">
          <a:extLst>
            <a:ext uri="{FF2B5EF4-FFF2-40B4-BE49-F238E27FC236}">
              <a16:creationId xmlns:a16="http://schemas.microsoft.com/office/drawing/2014/main" id="{91914461-B4FD-4BB6-AD4B-BC3B0B80F56C}"/>
            </a:ext>
          </a:extLst>
        </xdr:cNvPr>
        <xdr:cNvCxnSpPr/>
      </xdr:nvCxnSpPr>
      <xdr:spPr>
        <a:xfrm>
          <a:off x="13000139" y="6355080"/>
          <a:ext cx="0" cy="5922010"/>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104980</xdr:colOff>
      <xdr:row>62</xdr:row>
      <xdr:rowOff>135044</xdr:rowOff>
    </xdr:from>
    <xdr:to>
      <xdr:col>8</xdr:col>
      <xdr:colOff>104980</xdr:colOff>
      <xdr:row>73</xdr:row>
      <xdr:rowOff>60960</xdr:rowOff>
    </xdr:to>
    <xdr:cxnSp macro="">
      <xdr:nvCxnSpPr>
        <xdr:cNvPr id="3" name="Straight Arrow Connector 2">
          <a:extLst>
            <a:ext uri="{FF2B5EF4-FFF2-40B4-BE49-F238E27FC236}">
              <a16:creationId xmlns:a16="http://schemas.microsoft.com/office/drawing/2014/main" id="{3CC355D9-8C89-4453-92EB-F2CCDB369ADB}"/>
            </a:ext>
          </a:extLst>
        </xdr:cNvPr>
        <xdr:cNvCxnSpPr/>
      </xdr:nvCxnSpPr>
      <xdr:spPr>
        <a:xfrm>
          <a:off x="13019610" y="13047134"/>
          <a:ext cx="0" cy="1931246"/>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98630</xdr:colOff>
      <xdr:row>73</xdr:row>
      <xdr:rowOff>138007</xdr:rowOff>
    </xdr:from>
    <xdr:to>
      <xdr:col>8</xdr:col>
      <xdr:colOff>98630</xdr:colOff>
      <xdr:row>83</xdr:row>
      <xdr:rowOff>99060</xdr:rowOff>
    </xdr:to>
    <xdr:cxnSp macro="">
      <xdr:nvCxnSpPr>
        <xdr:cNvPr id="4" name="Straight Arrow Connector 3">
          <a:extLst>
            <a:ext uri="{FF2B5EF4-FFF2-40B4-BE49-F238E27FC236}">
              <a16:creationId xmlns:a16="http://schemas.microsoft.com/office/drawing/2014/main" id="{59A3F36F-E941-455E-B950-77C89F01E334}"/>
            </a:ext>
          </a:extLst>
        </xdr:cNvPr>
        <xdr:cNvCxnSpPr/>
      </xdr:nvCxnSpPr>
      <xdr:spPr>
        <a:xfrm>
          <a:off x="13011990" y="15055427"/>
          <a:ext cx="0" cy="1858433"/>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212509</xdr:colOff>
      <xdr:row>55</xdr:row>
      <xdr:rowOff>99695</xdr:rowOff>
    </xdr:from>
    <xdr:to>
      <xdr:col>9</xdr:col>
      <xdr:colOff>212509</xdr:colOff>
      <xdr:row>60</xdr:row>
      <xdr:rowOff>164465</xdr:rowOff>
    </xdr:to>
    <xdr:cxnSp macro="">
      <xdr:nvCxnSpPr>
        <xdr:cNvPr id="5" name="Straight Arrow Connector 4">
          <a:extLst>
            <a:ext uri="{FF2B5EF4-FFF2-40B4-BE49-F238E27FC236}">
              <a16:creationId xmlns:a16="http://schemas.microsoft.com/office/drawing/2014/main" id="{D07D566F-39DF-40B6-83A1-84A84206A97F}"/>
            </a:ext>
          </a:extLst>
        </xdr:cNvPr>
        <xdr:cNvCxnSpPr/>
      </xdr:nvCxnSpPr>
      <xdr:spPr>
        <a:xfrm>
          <a:off x="13871359" y="11466195"/>
          <a:ext cx="0" cy="1243330"/>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2110105</xdr:colOff>
      <xdr:row>22</xdr:row>
      <xdr:rowOff>139065</xdr:rowOff>
    </xdr:from>
    <xdr:to>
      <xdr:col>7</xdr:col>
      <xdr:colOff>2308860</xdr:colOff>
      <xdr:row>34</xdr:row>
      <xdr:rowOff>47625</xdr:rowOff>
    </xdr:to>
    <xdr:sp macro="" textlink="">
      <xdr:nvSpPr>
        <xdr:cNvPr id="6" name="Rectangle 5">
          <a:extLst>
            <a:ext uri="{FF2B5EF4-FFF2-40B4-BE49-F238E27FC236}">
              <a16:creationId xmlns:a16="http://schemas.microsoft.com/office/drawing/2014/main" id="{C2978A20-EE11-C101-ACE4-EB4F8358054E}"/>
            </a:ext>
          </a:extLst>
        </xdr:cNvPr>
        <xdr:cNvSpPr/>
      </xdr:nvSpPr>
      <xdr:spPr>
        <a:xfrm>
          <a:off x="5729605" y="4796790"/>
          <a:ext cx="5589905" cy="2451735"/>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400" b="1" u="none">
              <a:solidFill>
                <a:sysClr val="windowText" lastClr="000000"/>
              </a:solidFill>
            </a:rPr>
            <a:t>EXPLANATION</a:t>
          </a:r>
        </a:p>
        <a:p>
          <a:pPr algn="l"/>
          <a:r>
            <a:rPr lang="en-NZ" sz="1400" u="sng">
              <a:solidFill>
                <a:sysClr val="windowText" lastClr="000000"/>
              </a:solidFill>
            </a:rPr>
            <a:t>Step 1</a:t>
          </a:r>
          <a:r>
            <a:rPr lang="en-NZ" sz="1400">
              <a:solidFill>
                <a:sysClr val="windowText" lastClr="000000"/>
              </a:solidFill>
            </a:rPr>
            <a:t> estimates that adding a new (D23=0) 4-lane (D24-D23) 10km (D22) NZTA</a:t>
          </a:r>
          <a:r>
            <a:rPr lang="en-NZ" sz="1400" baseline="0">
              <a:solidFill>
                <a:sysClr val="windowText" lastClr="000000"/>
              </a:solidFill>
            </a:rPr>
            <a:t> (D18)</a:t>
          </a:r>
          <a:r>
            <a:rPr lang="en-NZ" sz="1400">
              <a:solidFill>
                <a:sysClr val="windowText" lastClr="000000"/>
              </a:solidFill>
            </a:rPr>
            <a:t> transit corridor (D19)</a:t>
          </a:r>
          <a:r>
            <a:rPr lang="en-NZ" sz="1400" baseline="0">
              <a:solidFill>
                <a:sysClr val="windowText" lastClr="000000"/>
              </a:solidFill>
            </a:rPr>
            <a:t> in Canterbury (D17) would be expected to add VKT of 287,412 km (I29), </a:t>
          </a:r>
          <a:r>
            <a:rPr lang="en-NZ" sz="1400" b="1" baseline="0">
              <a:solidFill>
                <a:sysClr val="windowText" lastClr="000000"/>
              </a:solidFill>
            </a:rPr>
            <a:t>if little other information was available</a:t>
          </a:r>
          <a:r>
            <a:rPr lang="en-NZ" sz="1400" baseline="0">
              <a:solidFill>
                <a:sysClr val="windowText" lastClr="000000"/>
              </a:solidFill>
            </a:rPr>
            <a:t>. This is based on the assumption that each lane-km will have the same VKT (lane-km elasticity=1.00 in I28, will differ by road class) as the existing lanes (92km with 7185, I16:J16). If Step 2 is disenabled (D38), then this becomes the basis for the lane-km elasticity within the induced demand estimate. However, it is not the final estimate (although other tools may end at this point) as further refinement occurs in Steps 3 and 4.</a:t>
          </a:r>
          <a:endParaRPr lang="en-NZ" sz="1400">
            <a:solidFill>
              <a:sysClr val="windowText" lastClr="000000"/>
            </a:solidFill>
          </a:endParaRPr>
        </a:p>
      </xdr:txBody>
    </xdr:sp>
    <xdr:clientData/>
  </xdr:twoCellAnchor>
  <xdr:twoCellAnchor>
    <xdr:from>
      <xdr:col>5</xdr:col>
      <xdr:colOff>253365</xdr:colOff>
      <xdr:row>37</xdr:row>
      <xdr:rowOff>22226</xdr:rowOff>
    </xdr:from>
    <xdr:to>
      <xdr:col>7</xdr:col>
      <xdr:colOff>2160905</xdr:colOff>
      <xdr:row>51</xdr:row>
      <xdr:rowOff>76200</xdr:rowOff>
    </xdr:to>
    <xdr:sp macro="" textlink="">
      <xdr:nvSpPr>
        <xdr:cNvPr id="7" name="Rectangle 6">
          <a:extLst>
            <a:ext uri="{FF2B5EF4-FFF2-40B4-BE49-F238E27FC236}">
              <a16:creationId xmlns:a16="http://schemas.microsoft.com/office/drawing/2014/main" id="{6C649820-C2C3-40DF-A1B4-5E7BB6997EE7}"/>
            </a:ext>
          </a:extLst>
        </xdr:cNvPr>
        <xdr:cNvSpPr/>
      </xdr:nvSpPr>
      <xdr:spPr>
        <a:xfrm>
          <a:off x="6539865" y="8023226"/>
          <a:ext cx="4631690" cy="2587624"/>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400" u="sng">
              <a:solidFill>
                <a:sysClr val="windowText" lastClr="000000"/>
              </a:solidFill>
            </a:rPr>
            <a:t>Step</a:t>
          </a:r>
          <a:r>
            <a:rPr lang="en-NZ" sz="1400" u="sng" baseline="0">
              <a:solidFill>
                <a:sysClr val="windowText" lastClr="000000"/>
              </a:solidFill>
            </a:rPr>
            <a:t> 2</a:t>
          </a:r>
          <a:r>
            <a:rPr lang="en-NZ" sz="1400" baseline="0">
              <a:solidFill>
                <a:sysClr val="windowText" lastClr="000000"/>
              </a:solidFill>
            </a:rPr>
            <a:t> has been enabled (D38) in this case. The adjacent roads are busier than the regional average (D40/D43&gt;J16) and imply high congestion (J46 near or above 1). Adding new lanes is thus expected to reduce GTC (J52) and hence induce more than usual demand. GTC has been calculated using the location (D41), speed limits (D44:D45) and tolls (D48:D49) provided. This GTC change implies an increase in VKT of 309,504 (J55), which, not surprisingly given the known project environment, is higher than the 'naive' estimate in Step 1. The implied lane-km elasticity is 1.08 (J56). As above, though, these are not the final estimates.  </a:t>
          </a:r>
          <a:endParaRPr lang="en-NZ" sz="1400">
            <a:solidFill>
              <a:sysClr val="windowText" lastClr="000000"/>
            </a:solidFill>
          </a:endParaRPr>
        </a:p>
      </xdr:txBody>
    </xdr:sp>
    <xdr:clientData/>
  </xdr:twoCellAnchor>
  <xdr:twoCellAnchor>
    <xdr:from>
      <xdr:col>5</xdr:col>
      <xdr:colOff>2238058</xdr:colOff>
      <xdr:row>34</xdr:row>
      <xdr:rowOff>50165</xdr:rowOff>
    </xdr:from>
    <xdr:to>
      <xdr:col>5</xdr:col>
      <xdr:colOff>2569210</xdr:colOff>
      <xdr:row>37</xdr:row>
      <xdr:rowOff>22226</xdr:rowOff>
    </xdr:to>
    <xdr:cxnSp macro="">
      <xdr:nvCxnSpPr>
        <xdr:cNvPr id="9" name="Straight Arrow Connector 8">
          <a:extLst>
            <a:ext uri="{FF2B5EF4-FFF2-40B4-BE49-F238E27FC236}">
              <a16:creationId xmlns:a16="http://schemas.microsoft.com/office/drawing/2014/main" id="{ECA11817-3B66-562C-E122-97867AE4CC44}"/>
            </a:ext>
          </a:extLst>
        </xdr:cNvPr>
        <xdr:cNvCxnSpPr>
          <a:stCxn id="6" idx="2"/>
          <a:endCxn id="7" idx="0"/>
        </xdr:cNvCxnSpPr>
      </xdr:nvCxnSpPr>
      <xdr:spPr>
        <a:xfrm>
          <a:off x="8524558" y="7251065"/>
          <a:ext cx="331152" cy="77216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1957705</xdr:colOff>
      <xdr:row>60</xdr:row>
      <xdr:rowOff>88266</xdr:rowOff>
    </xdr:from>
    <xdr:to>
      <xdr:col>7</xdr:col>
      <xdr:colOff>2424430</xdr:colOff>
      <xdr:row>73</xdr:row>
      <xdr:rowOff>47625</xdr:rowOff>
    </xdr:to>
    <xdr:sp macro="" textlink="">
      <xdr:nvSpPr>
        <xdr:cNvPr id="11" name="Rectangle 10">
          <a:extLst>
            <a:ext uri="{FF2B5EF4-FFF2-40B4-BE49-F238E27FC236}">
              <a16:creationId xmlns:a16="http://schemas.microsoft.com/office/drawing/2014/main" id="{FF84063E-F922-43A6-B466-084109E4D059}"/>
            </a:ext>
          </a:extLst>
        </xdr:cNvPr>
        <xdr:cNvSpPr/>
      </xdr:nvSpPr>
      <xdr:spPr>
        <a:xfrm>
          <a:off x="5577205" y="12508866"/>
          <a:ext cx="5857875" cy="2312034"/>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400" u="sng">
              <a:solidFill>
                <a:sysClr val="windowText" lastClr="000000"/>
              </a:solidFill>
            </a:rPr>
            <a:t>Step 3</a:t>
          </a:r>
          <a:r>
            <a:rPr lang="en-NZ" sz="1400">
              <a:solidFill>
                <a:sysClr val="windowText" lastClr="000000"/>
              </a:solidFill>
            </a:rPr>
            <a:t>. In</a:t>
          </a:r>
          <a:r>
            <a:rPr lang="en-NZ" sz="1400" baseline="0">
              <a:solidFill>
                <a:sysClr val="windowText" lastClr="000000"/>
              </a:solidFill>
            </a:rPr>
            <a:t> this example, the Step 2 estimate has not been over-ridden (D63=blank), so the lane-km elasticity of 1.08 is retained (I63). The induced demand effect is then estimated to be higher than derived in Step 2 as the project is expected to lead to more housing development near the city fringe (D70), when otherwise it would have occurred broadly across the city excluding the CBD (D69). The expected reduction in average citywide housing density, in this case, leads the lane-km elasticity to be revised up to 1.37 (I74) - now referred to as the long-term effect to expect in Canterbury. This estimate has not been overridden (D74=blank), but might be if wishing to explore sensitivities quickly.</a:t>
          </a:r>
          <a:endParaRPr lang="en-NZ" sz="1400">
            <a:solidFill>
              <a:sysClr val="windowText" lastClr="000000"/>
            </a:solidFill>
          </a:endParaRPr>
        </a:p>
      </xdr:txBody>
    </xdr:sp>
    <xdr:clientData/>
  </xdr:twoCellAnchor>
  <xdr:twoCellAnchor>
    <xdr:from>
      <xdr:col>5</xdr:col>
      <xdr:colOff>2219643</xdr:colOff>
      <xdr:row>51</xdr:row>
      <xdr:rowOff>76200</xdr:rowOff>
    </xdr:from>
    <xdr:to>
      <xdr:col>5</xdr:col>
      <xdr:colOff>2566670</xdr:colOff>
      <xdr:row>60</xdr:row>
      <xdr:rowOff>88266</xdr:rowOff>
    </xdr:to>
    <xdr:cxnSp macro="">
      <xdr:nvCxnSpPr>
        <xdr:cNvPr id="13" name="Straight Arrow Connector 12">
          <a:extLst>
            <a:ext uri="{FF2B5EF4-FFF2-40B4-BE49-F238E27FC236}">
              <a16:creationId xmlns:a16="http://schemas.microsoft.com/office/drawing/2014/main" id="{7E1200CA-1ABF-EF6F-253D-5D0DF20F2CDA}"/>
            </a:ext>
          </a:extLst>
        </xdr:cNvPr>
        <xdr:cNvCxnSpPr>
          <a:stCxn id="7" idx="2"/>
          <a:endCxn id="11" idx="0"/>
        </xdr:cNvCxnSpPr>
      </xdr:nvCxnSpPr>
      <xdr:spPr>
        <a:xfrm flipH="1">
          <a:off x="8506143" y="10610850"/>
          <a:ext cx="347027" cy="189801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2306319</xdr:colOff>
      <xdr:row>77</xdr:row>
      <xdr:rowOff>139700</xdr:rowOff>
    </xdr:from>
    <xdr:to>
      <xdr:col>7</xdr:col>
      <xdr:colOff>1740534</xdr:colOff>
      <xdr:row>84</xdr:row>
      <xdr:rowOff>76199</xdr:rowOff>
    </xdr:to>
    <xdr:sp macro="" textlink="">
      <xdr:nvSpPr>
        <xdr:cNvPr id="14" name="Rectangle 13">
          <a:extLst>
            <a:ext uri="{FF2B5EF4-FFF2-40B4-BE49-F238E27FC236}">
              <a16:creationId xmlns:a16="http://schemas.microsoft.com/office/drawing/2014/main" id="{205037E2-48BB-4698-80C0-362237C66CCD}"/>
            </a:ext>
          </a:extLst>
        </xdr:cNvPr>
        <xdr:cNvSpPr/>
      </xdr:nvSpPr>
      <xdr:spPr>
        <a:xfrm>
          <a:off x="5925819" y="15636875"/>
          <a:ext cx="4825365" cy="1269999"/>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400" u="sng">
              <a:solidFill>
                <a:sysClr val="windowText" lastClr="000000"/>
              </a:solidFill>
            </a:rPr>
            <a:t>Step 4</a:t>
          </a:r>
          <a:r>
            <a:rPr lang="en-NZ" sz="1400">
              <a:solidFill>
                <a:sysClr val="windowText" lastClr="000000"/>
              </a:solidFill>
            </a:rPr>
            <a:t> estimates that</a:t>
          </a:r>
          <a:r>
            <a:rPr lang="en-NZ" sz="1400" baseline="0">
              <a:solidFill>
                <a:sysClr val="windowText" lastClr="000000"/>
              </a:solidFill>
            </a:rPr>
            <a:t> 39% (I81, will differ by road class and administrator) of the induced demand in Canterbury will result from VKT that would otherwise have occurred in other parts of the country. Thus, the extra NZ lane-km elasticity is scaled down to 0.83 (I84).</a:t>
          </a:r>
          <a:endParaRPr lang="en-NZ" sz="1400">
            <a:solidFill>
              <a:sysClr val="windowText" lastClr="000000"/>
            </a:solidFill>
          </a:endParaRPr>
        </a:p>
      </xdr:txBody>
    </xdr:sp>
    <xdr:clientData/>
  </xdr:twoCellAnchor>
  <xdr:twoCellAnchor>
    <xdr:from>
      <xdr:col>5</xdr:col>
      <xdr:colOff>2052002</xdr:colOff>
      <xdr:row>73</xdr:row>
      <xdr:rowOff>50165</xdr:rowOff>
    </xdr:from>
    <xdr:to>
      <xdr:col>5</xdr:col>
      <xdr:colOff>2219643</xdr:colOff>
      <xdr:row>77</xdr:row>
      <xdr:rowOff>139700</xdr:rowOff>
    </xdr:to>
    <xdr:cxnSp macro="">
      <xdr:nvCxnSpPr>
        <xdr:cNvPr id="17" name="Straight Arrow Connector 16">
          <a:extLst>
            <a:ext uri="{FF2B5EF4-FFF2-40B4-BE49-F238E27FC236}">
              <a16:creationId xmlns:a16="http://schemas.microsoft.com/office/drawing/2014/main" id="{5978FD61-B770-AA14-57A7-14A591939808}"/>
            </a:ext>
          </a:extLst>
        </xdr:cNvPr>
        <xdr:cNvCxnSpPr>
          <a:stCxn id="11" idx="2"/>
          <a:endCxn id="14" idx="0"/>
        </xdr:cNvCxnSpPr>
      </xdr:nvCxnSpPr>
      <xdr:spPr>
        <a:xfrm flipH="1">
          <a:off x="8338502" y="14823440"/>
          <a:ext cx="167641" cy="81343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2573020</xdr:colOff>
      <xdr:row>85</xdr:row>
      <xdr:rowOff>38100</xdr:rowOff>
    </xdr:from>
    <xdr:to>
      <xdr:col>9</xdr:col>
      <xdr:colOff>93345</xdr:colOff>
      <xdr:row>99</xdr:row>
      <xdr:rowOff>22860</xdr:rowOff>
    </xdr:to>
    <xdr:sp macro="" textlink="">
      <xdr:nvSpPr>
        <xdr:cNvPr id="18" name="Rectangle 17">
          <a:extLst>
            <a:ext uri="{FF2B5EF4-FFF2-40B4-BE49-F238E27FC236}">
              <a16:creationId xmlns:a16="http://schemas.microsoft.com/office/drawing/2014/main" id="{AA93A84A-3B86-4940-A362-150437A3D273}"/>
            </a:ext>
          </a:extLst>
        </xdr:cNvPr>
        <xdr:cNvSpPr/>
      </xdr:nvSpPr>
      <xdr:spPr>
        <a:xfrm>
          <a:off x="8859520" y="17049750"/>
          <a:ext cx="4892675" cy="2604135"/>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400" u="sng">
              <a:solidFill>
                <a:sysClr val="windowText" lastClr="000000"/>
              </a:solidFill>
            </a:rPr>
            <a:t>Step 5</a:t>
          </a:r>
          <a:r>
            <a:rPr lang="en-NZ" sz="1400">
              <a:solidFill>
                <a:sysClr val="windowText" lastClr="000000"/>
              </a:solidFill>
            </a:rPr>
            <a:t> provides the </a:t>
          </a:r>
          <a:r>
            <a:rPr lang="en-NZ" sz="1400" b="1">
              <a:solidFill>
                <a:sysClr val="windowText" lastClr="000000"/>
              </a:solidFill>
            </a:rPr>
            <a:t>final estimates</a:t>
          </a:r>
          <a:r>
            <a:rPr lang="en-NZ" sz="1400">
              <a:solidFill>
                <a:sysClr val="windowText" lastClr="000000"/>
              </a:solidFill>
            </a:rPr>
            <a:t> of the long-term</a:t>
          </a:r>
          <a:r>
            <a:rPr lang="en-NZ" sz="1400" baseline="0">
              <a:solidFill>
                <a:sysClr val="windowText" lastClr="000000"/>
              </a:solidFill>
            </a:rPr>
            <a:t> induced</a:t>
          </a:r>
          <a:r>
            <a:rPr lang="en-NZ" sz="1400">
              <a:solidFill>
                <a:sysClr val="windowText" lastClr="000000"/>
              </a:solidFill>
            </a:rPr>
            <a:t> VKT, now expressed in VKT rather than lane-km</a:t>
          </a:r>
          <a:r>
            <a:rPr lang="en-NZ" sz="1400" baseline="0">
              <a:solidFill>
                <a:sysClr val="windowText" lastClr="000000"/>
              </a:solidFill>
            </a:rPr>
            <a:t> elasticity terms</a:t>
          </a:r>
          <a:r>
            <a:rPr lang="en-NZ" sz="1400">
              <a:solidFill>
                <a:sysClr val="windowText" lastClr="000000"/>
              </a:solidFill>
            </a:rPr>
            <a:t>. VKT</a:t>
          </a:r>
          <a:r>
            <a:rPr lang="en-NZ" sz="1400" baseline="0">
              <a:solidFill>
                <a:sysClr val="windowText" lastClr="000000"/>
              </a:solidFill>
            </a:rPr>
            <a:t> long-term is expected to increase 422,000 (F95) in Canterbury, from Step 3, and 231,000 (F97) in NZ, from Step 4, of which 108,000 (F98) is expected due to land use changes. The NZ effect is is not exceptionally high relative to NZ norms but is not low either (F99). A general expectation is that just over 50% of the extra VKT will occur in the next 1-3 years (D100). The extra NZ Co2e emissions expected in 2035 are 45.7 tonnes/day (J98). All estimates should be treated as mid points of a relatively wide range possible (F101). Proceed with caution (F102).</a:t>
          </a:r>
          <a:endParaRPr lang="en-NZ" sz="1400">
            <a:solidFill>
              <a:sysClr val="windowText" lastClr="000000"/>
            </a:solidFill>
          </a:endParaRPr>
        </a:p>
      </xdr:txBody>
    </xdr:sp>
    <xdr:clientData/>
  </xdr:twoCellAnchor>
  <xdr:twoCellAnchor>
    <xdr:from>
      <xdr:col>5</xdr:col>
      <xdr:colOff>2052637</xdr:colOff>
      <xdr:row>84</xdr:row>
      <xdr:rowOff>76199</xdr:rowOff>
    </xdr:from>
    <xdr:to>
      <xdr:col>5</xdr:col>
      <xdr:colOff>2573020</xdr:colOff>
      <xdr:row>92</xdr:row>
      <xdr:rowOff>6668</xdr:rowOff>
    </xdr:to>
    <xdr:cxnSp macro="">
      <xdr:nvCxnSpPr>
        <xdr:cNvPr id="21" name="Straight Arrow Connector 20">
          <a:extLst>
            <a:ext uri="{FF2B5EF4-FFF2-40B4-BE49-F238E27FC236}">
              <a16:creationId xmlns:a16="http://schemas.microsoft.com/office/drawing/2014/main" id="{4E249001-6392-7F55-CAEF-71672CF3E491}"/>
            </a:ext>
          </a:extLst>
        </xdr:cNvPr>
        <xdr:cNvCxnSpPr>
          <a:stCxn id="14" idx="2"/>
          <a:endCxn id="18" idx="1"/>
        </xdr:cNvCxnSpPr>
      </xdr:nvCxnSpPr>
      <xdr:spPr>
        <a:xfrm>
          <a:off x="8339137" y="16906874"/>
          <a:ext cx="520383" cy="144494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21</xdr:col>
      <xdr:colOff>174659</xdr:colOff>
      <xdr:row>14</xdr:row>
      <xdr:rowOff>98458</xdr:rowOff>
    </xdr:to>
    <xdr:pic>
      <xdr:nvPicPr>
        <xdr:cNvPr id="3" name="Picture 2">
          <a:extLst>
            <a:ext uri="{FF2B5EF4-FFF2-40B4-BE49-F238E27FC236}">
              <a16:creationId xmlns:a16="http://schemas.microsoft.com/office/drawing/2014/main" id="{BEF8FA00-7305-7EC5-D9DC-2C5D50F861A3}"/>
            </a:ext>
          </a:extLst>
        </xdr:cNvPr>
        <xdr:cNvPicPr>
          <a:picLocks noChangeAspect="1"/>
        </xdr:cNvPicPr>
      </xdr:nvPicPr>
      <xdr:blipFill>
        <a:blip xmlns:r="http://schemas.openxmlformats.org/officeDocument/2006/relationships" r:embed="rId1"/>
        <a:stretch>
          <a:fillRect/>
        </a:stretch>
      </xdr:blipFill>
      <xdr:spPr>
        <a:xfrm>
          <a:off x="114300" y="2011680"/>
          <a:ext cx="13011819" cy="638208"/>
        </a:xfrm>
        <a:prstGeom prst="rect">
          <a:avLst/>
        </a:prstGeom>
      </xdr:spPr>
    </xdr:pic>
    <xdr:clientData/>
  </xdr:twoCellAnchor>
  <xdr:twoCellAnchor editAs="oneCell">
    <xdr:from>
      <xdr:col>0</xdr:col>
      <xdr:colOff>106679</xdr:colOff>
      <xdr:row>23</xdr:row>
      <xdr:rowOff>1</xdr:rowOff>
    </xdr:from>
    <xdr:to>
      <xdr:col>22</xdr:col>
      <xdr:colOff>19741</xdr:colOff>
      <xdr:row>63</xdr:row>
      <xdr:rowOff>93981</xdr:rowOff>
    </xdr:to>
    <xdr:pic>
      <xdr:nvPicPr>
        <xdr:cNvPr id="5" name="Picture 4">
          <a:extLst>
            <a:ext uri="{FF2B5EF4-FFF2-40B4-BE49-F238E27FC236}">
              <a16:creationId xmlns:a16="http://schemas.microsoft.com/office/drawing/2014/main" id="{8C09A99D-EC61-606B-ECE0-A5C4D24E82A3}"/>
            </a:ext>
          </a:extLst>
        </xdr:cNvPr>
        <xdr:cNvPicPr>
          <a:picLocks noChangeAspect="1"/>
        </xdr:cNvPicPr>
      </xdr:nvPicPr>
      <xdr:blipFill rotWithShape="1">
        <a:blip xmlns:r="http://schemas.openxmlformats.org/officeDocument/2006/relationships" r:embed="rId2"/>
        <a:srcRect b="6983"/>
        <a:stretch/>
      </xdr:blipFill>
      <xdr:spPr>
        <a:xfrm>
          <a:off x="106679" y="4206241"/>
          <a:ext cx="13486822" cy="7406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11</xdr:row>
      <xdr:rowOff>0</xdr:rowOff>
    </xdr:from>
    <xdr:ext cx="13436020" cy="2356607"/>
    <xdr:pic>
      <xdr:nvPicPr>
        <xdr:cNvPr id="2" name="Picture 1">
          <a:extLst>
            <a:ext uri="{FF2B5EF4-FFF2-40B4-BE49-F238E27FC236}">
              <a16:creationId xmlns:a16="http://schemas.microsoft.com/office/drawing/2014/main" id="{5F82DEB6-C756-4276-8AB2-64A9FE5D21A4}"/>
            </a:ext>
          </a:extLst>
        </xdr:cNvPr>
        <xdr:cNvPicPr>
          <a:picLocks noChangeAspect="1"/>
        </xdr:cNvPicPr>
      </xdr:nvPicPr>
      <xdr:blipFill>
        <a:blip xmlns:r="http://schemas.openxmlformats.org/officeDocument/2006/relationships" r:embed="rId1"/>
        <a:stretch>
          <a:fillRect/>
        </a:stretch>
      </xdr:blipFill>
      <xdr:spPr>
        <a:xfrm>
          <a:off x="609600" y="2011680"/>
          <a:ext cx="13436020" cy="2356607"/>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13</xdr:col>
      <xdr:colOff>380405</xdr:colOff>
      <xdr:row>13</xdr:row>
      <xdr:rowOff>214660</xdr:rowOff>
    </xdr:to>
    <xdr:pic>
      <xdr:nvPicPr>
        <xdr:cNvPr id="4" name="Picture 3">
          <a:extLst>
            <a:ext uri="{FF2B5EF4-FFF2-40B4-BE49-F238E27FC236}">
              <a16:creationId xmlns:a16="http://schemas.microsoft.com/office/drawing/2014/main" id="{102E9EFB-484E-AF8A-B36F-A401ADDA677A}"/>
            </a:ext>
          </a:extLst>
        </xdr:cNvPr>
        <xdr:cNvPicPr>
          <a:picLocks noChangeAspect="1"/>
        </xdr:cNvPicPr>
      </xdr:nvPicPr>
      <xdr:blipFill>
        <a:blip xmlns:r="http://schemas.openxmlformats.org/officeDocument/2006/relationships" r:embed="rId1"/>
        <a:stretch>
          <a:fillRect/>
        </a:stretch>
      </xdr:blipFill>
      <xdr:spPr>
        <a:xfrm>
          <a:off x="114300" y="2011680"/>
          <a:ext cx="13145175" cy="571530"/>
        </a:xfrm>
        <a:prstGeom prst="rect">
          <a:avLst/>
        </a:prstGeom>
      </xdr:spPr>
    </xdr:pic>
    <xdr:clientData/>
  </xdr:twoCellAnchor>
  <xdr:twoCellAnchor editAs="oneCell">
    <xdr:from>
      <xdr:col>0</xdr:col>
      <xdr:colOff>106679</xdr:colOff>
      <xdr:row>29</xdr:row>
      <xdr:rowOff>0</xdr:rowOff>
    </xdr:from>
    <xdr:to>
      <xdr:col>7</xdr:col>
      <xdr:colOff>135065</xdr:colOff>
      <xdr:row>56</xdr:row>
      <xdr:rowOff>134881</xdr:rowOff>
    </xdr:to>
    <xdr:pic>
      <xdr:nvPicPr>
        <xdr:cNvPr id="3" name="Picture 2">
          <a:extLst>
            <a:ext uri="{FF2B5EF4-FFF2-40B4-BE49-F238E27FC236}">
              <a16:creationId xmlns:a16="http://schemas.microsoft.com/office/drawing/2014/main" id="{B716B42D-1B94-C6B8-7DDE-E8C552AA9730}"/>
            </a:ext>
          </a:extLst>
        </xdr:cNvPr>
        <xdr:cNvPicPr>
          <a:picLocks noChangeAspect="1"/>
        </xdr:cNvPicPr>
      </xdr:nvPicPr>
      <xdr:blipFill>
        <a:blip xmlns:r="http://schemas.openxmlformats.org/officeDocument/2006/relationships" r:embed="rId2"/>
        <a:stretch>
          <a:fillRect/>
        </a:stretch>
      </xdr:blipFill>
      <xdr:spPr>
        <a:xfrm>
          <a:off x="106679" y="6271260"/>
          <a:ext cx="8668196" cy="50675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56</xdr:col>
      <xdr:colOff>0</xdr:colOff>
      <xdr:row>0</xdr:row>
      <xdr:rowOff>0</xdr:rowOff>
    </xdr:from>
    <xdr:to>
      <xdr:col>63</xdr:col>
      <xdr:colOff>304800</xdr:colOff>
      <xdr:row>14</xdr:row>
      <xdr:rowOff>187960</xdr:rowOff>
    </xdr:to>
    <xdr:graphicFrame macro="">
      <xdr:nvGraphicFramePr>
        <xdr:cNvPr id="6" name="Chart 5">
          <a:extLst>
            <a:ext uri="{FF2B5EF4-FFF2-40B4-BE49-F238E27FC236}">
              <a16:creationId xmlns:a16="http://schemas.microsoft.com/office/drawing/2014/main" id="{1D53B9A0-AFE8-41B5-9326-86E6CBC87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241300</xdr:colOff>
      <xdr:row>31</xdr:row>
      <xdr:rowOff>177800</xdr:rowOff>
    </xdr:from>
    <xdr:to>
      <xdr:col>6</xdr:col>
      <xdr:colOff>257175</xdr:colOff>
      <xdr:row>74</xdr:row>
      <xdr:rowOff>66675</xdr:rowOff>
    </xdr:to>
    <xdr:cxnSp macro="">
      <xdr:nvCxnSpPr>
        <xdr:cNvPr id="2" name="Straight Arrow Connector 1">
          <a:extLst>
            <a:ext uri="{FF2B5EF4-FFF2-40B4-BE49-F238E27FC236}">
              <a16:creationId xmlns:a16="http://schemas.microsoft.com/office/drawing/2014/main" id="{C669CF13-9F5A-47A2-BFCA-A3C20AEAC7A0}"/>
            </a:ext>
          </a:extLst>
        </xdr:cNvPr>
        <xdr:cNvCxnSpPr/>
      </xdr:nvCxnSpPr>
      <xdr:spPr>
        <a:xfrm flipH="1" flipV="1">
          <a:off x="11957050" y="6149975"/>
          <a:ext cx="15875" cy="7870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225240</xdr:colOff>
      <xdr:row>21</xdr:row>
      <xdr:rowOff>118368</xdr:rowOff>
    </xdr:from>
    <xdr:to>
      <xdr:col>21</xdr:col>
      <xdr:colOff>525167</xdr:colOff>
      <xdr:row>43</xdr:row>
      <xdr:rowOff>144631</xdr:rowOff>
    </xdr:to>
    <xdr:pic>
      <xdr:nvPicPr>
        <xdr:cNvPr id="2" name="Picture 1">
          <a:extLst>
            <a:ext uri="{FF2B5EF4-FFF2-40B4-BE49-F238E27FC236}">
              <a16:creationId xmlns:a16="http://schemas.microsoft.com/office/drawing/2014/main" id="{8E688E97-FEDC-490B-B886-A49A52A99A9A}"/>
            </a:ext>
          </a:extLst>
        </xdr:cNvPr>
        <xdr:cNvPicPr>
          <a:picLocks noChangeAspect="1"/>
        </xdr:cNvPicPr>
      </xdr:nvPicPr>
      <xdr:blipFill>
        <a:blip xmlns:r="http://schemas.openxmlformats.org/officeDocument/2006/relationships" r:embed="rId1"/>
        <a:stretch>
          <a:fillRect/>
        </a:stretch>
      </xdr:blipFill>
      <xdr:spPr>
        <a:xfrm>
          <a:off x="9772652" y="4387809"/>
          <a:ext cx="6339038" cy="4207103"/>
        </a:xfrm>
        <a:prstGeom prst="rect">
          <a:avLst/>
        </a:prstGeom>
      </xdr:spPr>
    </xdr:pic>
    <xdr:clientData/>
  </xdr:twoCellAnchor>
  <xdr:twoCellAnchor editAs="oneCell">
    <xdr:from>
      <xdr:col>8</xdr:col>
      <xdr:colOff>26671</xdr:colOff>
      <xdr:row>47</xdr:row>
      <xdr:rowOff>0</xdr:rowOff>
    </xdr:from>
    <xdr:to>
      <xdr:col>12</xdr:col>
      <xdr:colOff>602093</xdr:colOff>
      <xdr:row>60</xdr:row>
      <xdr:rowOff>2503</xdr:rowOff>
    </xdr:to>
    <xdr:pic>
      <xdr:nvPicPr>
        <xdr:cNvPr id="4" name="Picture 3">
          <a:extLst>
            <a:ext uri="{FF2B5EF4-FFF2-40B4-BE49-F238E27FC236}">
              <a16:creationId xmlns:a16="http://schemas.microsoft.com/office/drawing/2014/main" id="{406A23F1-8C2B-6ABB-8678-A157B269DE52}"/>
            </a:ext>
          </a:extLst>
        </xdr:cNvPr>
        <xdr:cNvPicPr>
          <a:picLocks noChangeAspect="1"/>
        </xdr:cNvPicPr>
      </xdr:nvPicPr>
      <xdr:blipFill>
        <a:blip xmlns:r="http://schemas.openxmlformats.org/officeDocument/2006/relationships" r:embed="rId2"/>
        <a:stretch>
          <a:fillRect/>
        </a:stretch>
      </xdr:blipFill>
      <xdr:spPr>
        <a:xfrm>
          <a:off x="6374131" y="6858000"/>
          <a:ext cx="3135630" cy="2832699"/>
        </a:xfrm>
        <a:prstGeom prst="rect">
          <a:avLst/>
        </a:prstGeom>
      </xdr:spPr>
    </xdr:pic>
    <xdr:clientData/>
  </xdr:twoCellAnchor>
  <xdr:twoCellAnchor editAs="oneCell">
    <xdr:from>
      <xdr:col>7</xdr:col>
      <xdr:colOff>414505</xdr:colOff>
      <xdr:row>10</xdr:row>
      <xdr:rowOff>112507</xdr:rowOff>
    </xdr:from>
    <xdr:to>
      <xdr:col>13</xdr:col>
      <xdr:colOff>297776</xdr:colOff>
      <xdr:row>17</xdr:row>
      <xdr:rowOff>69167</xdr:rowOff>
    </xdr:to>
    <xdr:pic>
      <xdr:nvPicPr>
        <xdr:cNvPr id="5" name="Picture 4">
          <a:extLst>
            <a:ext uri="{FF2B5EF4-FFF2-40B4-BE49-F238E27FC236}">
              <a16:creationId xmlns:a16="http://schemas.microsoft.com/office/drawing/2014/main" id="{F0A45BB8-8B47-8889-CA13-D8A662D934D3}"/>
            </a:ext>
          </a:extLst>
        </xdr:cNvPr>
        <xdr:cNvPicPr>
          <a:picLocks noChangeAspect="1"/>
        </xdr:cNvPicPr>
      </xdr:nvPicPr>
      <xdr:blipFill>
        <a:blip xmlns:r="http://schemas.openxmlformats.org/officeDocument/2006/relationships" r:embed="rId3"/>
        <a:stretch>
          <a:fillRect/>
        </a:stretch>
      </xdr:blipFill>
      <xdr:spPr>
        <a:xfrm>
          <a:off x="5681270" y="2095948"/>
          <a:ext cx="3890943" cy="1483835"/>
        </a:xfrm>
        <a:prstGeom prst="rect">
          <a:avLst/>
        </a:prstGeom>
      </xdr:spPr>
    </xdr:pic>
    <xdr:clientData/>
  </xdr:twoCellAnchor>
  <xdr:twoCellAnchor editAs="oneCell">
    <xdr:from>
      <xdr:col>8</xdr:col>
      <xdr:colOff>0</xdr:colOff>
      <xdr:row>63</xdr:row>
      <xdr:rowOff>1</xdr:rowOff>
    </xdr:from>
    <xdr:to>
      <xdr:col>14</xdr:col>
      <xdr:colOff>231289</xdr:colOff>
      <xdr:row>75</xdr:row>
      <xdr:rowOff>75039</xdr:rowOff>
    </xdr:to>
    <xdr:pic>
      <xdr:nvPicPr>
        <xdr:cNvPr id="6" name="Picture 5">
          <a:extLst>
            <a:ext uri="{FF2B5EF4-FFF2-40B4-BE49-F238E27FC236}">
              <a16:creationId xmlns:a16="http://schemas.microsoft.com/office/drawing/2014/main" id="{70F11A38-6520-21A7-2805-4FA317651984}"/>
            </a:ext>
          </a:extLst>
        </xdr:cNvPr>
        <xdr:cNvPicPr>
          <a:picLocks noChangeAspect="1"/>
        </xdr:cNvPicPr>
      </xdr:nvPicPr>
      <xdr:blipFill>
        <a:blip xmlns:r="http://schemas.openxmlformats.org/officeDocument/2006/relationships" r:embed="rId4"/>
        <a:stretch>
          <a:fillRect/>
        </a:stretch>
      </xdr:blipFill>
      <xdr:spPr>
        <a:xfrm>
          <a:off x="6347460" y="10287001"/>
          <a:ext cx="4015740" cy="23610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106679</xdr:colOff>
      <xdr:row>28</xdr:row>
      <xdr:rowOff>0</xdr:rowOff>
    </xdr:from>
    <xdr:to>
      <xdr:col>17</xdr:col>
      <xdr:colOff>467395</xdr:colOff>
      <xdr:row>35</xdr:row>
      <xdr:rowOff>25466</xdr:rowOff>
    </xdr:to>
    <xdr:pic>
      <xdr:nvPicPr>
        <xdr:cNvPr id="7" name="Picture 6">
          <a:extLst>
            <a:ext uri="{FF2B5EF4-FFF2-40B4-BE49-F238E27FC236}">
              <a16:creationId xmlns:a16="http://schemas.microsoft.com/office/drawing/2014/main" id="{DA5D73DE-20D5-E6CD-63E7-E73270DC82F4}"/>
            </a:ext>
          </a:extLst>
        </xdr:cNvPr>
        <xdr:cNvPicPr>
          <a:picLocks noChangeAspect="1"/>
        </xdr:cNvPicPr>
      </xdr:nvPicPr>
      <xdr:blipFill>
        <a:blip xmlns:r="http://schemas.openxmlformats.org/officeDocument/2006/relationships" r:embed="rId1"/>
        <a:stretch>
          <a:fillRect/>
        </a:stretch>
      </xdr:blipFill>
      <xdr:spPr>
        <a:xfrm>
          <a:off x="106679" y="5120640"/>
          <a:ext cx="13059446" cy="1295466"/>
        </a:xfrm>
        <a:prstGeom prst="rect">
          <a:avLst/>
        </a:prstGeom>
      </xdr:spPr>
    </xdr:pic>
    <xdr:clientData/>
  </xdr:twoCellAnchor>
  <xdr:twoCellAnchor editAs="oneCell">
    <xdr:from>
      <xdr:col>0</xdr:col>
      <xdr:colOff>106679</xdr:colOff>
      <xdr:row>22</xdr:row>
      <xdr:rowOff>0</xdr:rowOff>
    </xdr:from>
    <xdr:to>
      <xdr:col>17</xdr:col>
      <xdr:colOff>467395</xdr:colOff>
      <xdr:row>27</xdr:row>
      <xdr:rowOff>47</xdr:rowOff>
    </xdr:to>
    <xdr:pic>
      <xdr:nvPicPr>
        <xdr:cNvPr id="9" name="Picture 8">
          <a:extLst>
            <a:ext uri="{FF2B5EF4-FFF2-40B4-BE49-F238E27FC236}">
              <a16:creationId xmlns:a16="http://schemas.microsoft.com/office/drawing/2014/main" id="{0160FC46-22B6-BC07-B705-0318E5E4E783}"/>
            </a:ext>
          </a:extLst>
        </xdr:cNvPr>
        <xdr:cNvPicPr>
          <a:picLocks noChangeAspect="1"/>
        </xdr:cNvPicPr>
      </xdr:nvPicPr>
      <xdr:blipFill>
        <a:blip xmlns:r="http://schemas.openxmlformats.org/officeDocument/2006/relationships" r:embed="rId2"/>
        <a:stretch>
          <a:fillRect/>
        </a:stretch>
      </xdr:blipFill>
      <xdr:spPr>
        <a:xfrm>
          <a:off x="106679" y="4023360"/>
          <a:ext cx="13059446" cy="9144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8</xdr:col>
      <xdr:colOff>526073</xdr:colOff>
      <xdr:row>30</xdr:row>
      <xdr:rowOff>113214</xdr:rowOff>
    </xdr:to>
    <xdr:pic>
      <xdr:nvPicPr>
        <xdr:cNvPr id="2" name="Picture 1">
          <a:extLst>
            <a:ext uri="{FF2B5EF4-FFF2-40B4-BE49-F238E27FC236}">
              <a16:creationId xmlns:a16="http://schemas.microsoft.com/office/drawing/2014/main" id="{B61BFF89-87C4-3364-02CB-44427CC08E1A}"/>
            </a:ext>
          </a:extLst>
        </xdr:cNvPr>
        <xdr:cNvPicPr>
          <a:picLocks noChangeAspect="1"/>
        </xdr:cNvPicPr>
      </xdr:nvPicPr>
      <xdr:blipFill>
        <a:blip xmlns:r="http://schemas.openxmlformats.org/officeDocument/2006/relationships" r:embed="rId1"/>
        <a:stretch>
          <a:fillRect/>
        </a:stretch>
      </xdr:blipFill>
      <xdr:spPr>
        <a:xfrm>
          <a:off x="106680" y="2011680"/>
          <a:ext cx="5702593" cy="35879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105409</xdr:colOff>
      <xdr:row>51</xdr:row>
      <xdr:rowOff>1</xdr:rowOff>
    </xdr:from>
    <xdr:to>
      <xdr:col>9</xdr:col>
      <xdr:colOff>2113327</xdr:colOff>
      <xdr:row>76</xdr:row>
      <xdr:rowOff>104141</xdr:rowOff>
    </xdr:to>
    <xdr:pic>
      <xdr:nvPicPr>
        <xdr:cNvPr id="5" name="Picture 4">
          <a:extLst>
            <a:ext uri="{FF2B5EF4-FFF2-40B4-BE49-F238E27FC236}">
              <a16:creationId xmlns:a16="http://schemas.microsoft.com/office/drawing/2014/main" id="{C9240203-BD9D-62C4-7AF3-D9527A92F7C6}"/>
            </a:ext>
          </a:extLst>
        </xdr:cNvPr>
        <xdr:cNvPicPr>
          <a:picLocks noChangeAspect="1"/>
        </xdr:cNvPicPr>
      </xdr:nvPicPr>
      <xdr:blipFill rotWithShape="1">
        <a:blip xmlns:r="http://schemas.openxmlformats.org/officeDocument/2006/relationships" r:embed="rId1"/>
        <a:srcRect b="9744"/>
        <a:stretch/>
      </xdr:blipFill>
      <xdr:spPr>
        <a:xfrm>
          <a:off x="105409" y="9326881"/>
          <a:ext cx="13707158" cy="4678680"/>
        </a:xfrm>
        <a:prstGeom prst="rect">
          <a:avLst/>
        </a:prstGeom>
      </xdr:spPr>
    </xdr:pic>
    <xdr:clientData/>
  </xdr:twoCellAnchor>
  <xdr:twoCellAnchor editAs="oneCell">
    <xdr:from>
      <xdr:col>1</xdr:col>
      <xdr:colOff>0</xdr:colOff>
      <xdr:row>11</xdr:row>
      <xdr:rowOff>0</xdr:rowOff>
    </xdr:from>
    <xdr:to>
      <xdr:col>9</xdr:col>
      <xdr:colOff>2233350</xdr:colOff>
      <xdr:row>27</xdr:row>
      <xdr:rowOff>176054</xdr:rowOff>
    </xdr:to>
    <xdr:pic>
      <xdr:nvPicPr>
        <xdr:cNvPr id="6" name="Picture 5">
          <a:extLst>
            <a:ext uri="{FF2B5EF4-FFF2-40B4-BE49-F238E27FC236}">
              <a16:creationId xmlns:a16="http://schemas.microsoft.com/office/drawing/2014/main" id="{2E1F317B-2D0B-40FF-4D32-1BCD171E723F}"/>
            </a:ext>
          </a:extLst>
        </xdr:cNvPr>
        <xdr:cNvPicPr>
          <a:picLocks noChangeAspect="1"/>
        </xdr:cNvPicPr>
      </xdr:nvPicPr>
      <xdr:blipFill>
        <a:blip xmlns:r="http://schemas.openxmlformats.org/officeDocument/2006/relationships" r:embed="rId2"/>
        <a:stretch>
          <a:fillRect/>
        </a:stretch>
      </xdr:blipFill>
      <xdr:spPr>
        <a:xfrm>
          <a:off x="106680" y="2011680"/>
          <a:ext cx="13411890" cy="3095784"/>
        </a:xfrm>
        <a:prstGeom prst="rect">
          <a:avLst/>
        </a:prstGeom>
      </xdr:spPr>
    </xdr:pic>
    <xdr:clientData/>
  </xdr:twoCellAnchor>
  <xdr:twoCellAnchor editAs="oneCell">
    <xdr:from>
      <xdr:col>1</xdr:col>
      <xdr:colOff>0</xdr:colOff>
      <xdr:row>30</xdr:row>
      <xdr:rowOff>0</xdr:rowOff>
    </xdr:from>
    <xdr:to>
      <xdr:col>9</xdr:col>
      <xdr:colOff>2080941</xdr:colOff>
      <xdr:row>48</xdr:row>
      <xdr:rowOff>136702</xdr:rowOff>
    </xdr:to>
    <xdr:pic>
      <xdr:nvPicPr>
        <xdr:cNvPr id="7" name="Picture 6">
          <a:extLst>
            <a:ext uri="{FF2B5EF4-FFF2-40B4-BE49-F238E27FC236}">
              <a16:creationId xmlns:a16="http://schemas.microsoft.com/office/drawing/2014/main" id="{1311D234-3F7C-FD3C-801C-08BD0A137E93}"/>
            </a:ext>
          </a:extLst>
        </xdr:cNvPr>
        <xdr:cNvPicPr>
          <a:picLocks noChangeAspect="1"/>
        </xdr:cNvPicPr>
      </xdr:nvPicPr>
      <xdr:blipFill>
        <a:blip xmlns:r="http://schemas.openxmlformats.org/officeDocument/2006/relationships" r:embed="rId3"/>
        <a:stretch>
          <a:fillRect/>
        </a:stretch>
      </xdr:blipFill>
      <xdr:spPr>
        <a:xfrm>
          <a:off x="106680" y="5486400"/>
          <a:ext cx="13259481" cy="3438702"/>
        </a:xfrm>
        <a:prstGeom prst="rect">
          <a:avLst/>
        </a:prstGeom>
      </xdr:spPr>
    </xdr:pic>
    <xdr:clientData/>
  </xdr:twoCellAnchor>
  <xdr:twoCellAnchor editAs="oneCell">
    <xdr:from>
      <xdr:col>15</xdr:col>
      <xdr:colOff>605790</xdr:colOff>
      <xdr:row>90</xdr:row>
      <xdr:rowOff>19050</xdr:rowOff>
    </xdr:from>
    <xdr:to>
      <xdr:col>21</xdr:col>
      <xdr:colOff>279400</xdr:colOff>
      <xdr:row>99</xdr:row>
      <xdr:rowOff>96932</xdr:rowOff>
    </xdr:to>
    <xdr:pic>
      <xdr:nvPicPr>
        <xdr:cNvPr id="2" name="Picture 1">
          <a:extLst>
            <a:ext uri="{FF2B5EF4-FFF2-40B4-BE49-F238E27FC236}">
              <a16:creationId xmlns:a16="http://schemas.microsoft.com/office/drawing/2014/main" id="{6B780BBB-BABD-40C0-9B72-AB79C7C666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97415" y="17240250"/>
          <a:ext cx="3322320" cy="1794922"/>
        </a:xfrm>
        <a:prstGeom prst="rect">
          <a:avLst/>
        </a:prstGeom>
        <a:solidFill>
          <a:schemeClr val="bg1"/>
        </a:solidFill>
      </xdr:spPr>
    </xdr:pic>
    <xdr:clientData/>
  </xdr:twoCellAnchor>
  <xdr:twoCellAnchor editAs="oneCell">
    <xdr:from>
      <xdr:col>9</xdr:col>
      <xdr:colOff>38100</xdr:colOff>
      <xdr:row>90</xdr:row>
      <xdr:rowOff>38100</xdr:rowOff>
    </xdr:from>
    <xdr:to>
      <xdr:col>10</xdr:col>
      <xdr:colOff>24130</xdr:colOff>
      <xdr:row>99</xdr:row>
      <xdr:rowOff>127412</xdr:rowOff>
    </xdr:to>
    <xdr:pic>
      <xdr:nvPicPr>
        <xdr:cNvPr id="3" name="Picture 2">
          <a:extLst>
            <a:ext uri="{FF2B5EF4-FFF2-40B4-BE49-F238E27FC236}">
              <a16:creationId xmlns:a16="http://schemas.microsoft.com/office/drawing/2014/main" id="{7C25DACC-7E59-4637-A08E-72102B9CEA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53800" y="17259300"/>
          <a:ext cx="3322320" cy="1794922"/>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8</xdr:col>
      <xdr:colOff>98077</xdr:colOff>
      <xdr:row>16</xdr:row>
      <xdr:rowOff>83871</xdr:rowOff>
    </xdr:to>
    <xdr:pic>
      <xdr:nvPicPr>
        <xdr:cNvPr id="2" name="Picture 1">
          <a:extLst>
            <a:ext uri="{FF2B5EF4-FFF2-40B4-BE49-F238E27FC236}">
              <a16:creationId xmlns:a16="http://schemas.microsoft.com/office/drawing/2014/main" id="{6F81E937-9F1D-42A8-0D1F-DF53E2B58984}"/>
            </a:ext>
          </a:extLst>
        </xdr:cNvPr>
        <xdr:cNvPicPr>
          <a:picLocks noChangeAspect="1"/>
        </xdr:cNvPicPr>
      </xdr:nvPicPr>
      <xdr:blipFill>
        <a:blip xmlns:r="http://schemas.openxmlformats.org/officeDocument/2006/relationships" r:embed="rId1"/>
        <a:stretch>
          <a:fillRect/>
        </a:stretch>
      </xdr:blipFill>
      <xdr:spPr>
        <a:xfrm>
          <a:off x="106680" y="2011680"/>
          <a:ext cx="5588287" cy="99700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BEC511-5817-418D-8936-1E164197BA9E}" name="Table1" displayName="Table1" ref="B7:D21" totalsRowShown="0" headerRowDxfId="4" dataDxfId="3">
  <autoFilter ref="B7:D21" xr:uid="{87BEC511-5817-418D-8936-1E164197BA9E}"/>
  <tableColumns count="3">
    <tableColumn id="1" xr3:uid="{5DA52091-C158-4252-BE60-B18D4AD20509}" name="Glossary of terms" dataDxfId="2"/>
    <tableColumn id="2" xr3:uid="{A8B4693A-B910-47EA-9C05-DA8B9AB35EAE}" name="Description" dataDxfId="1"/>
    <tableColumn id="3" xr3:uid="{77F7A476-F5EE-4584-BB44-8EDCCA07804C}" name="Link"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nzta.govt.nz/resources/research/reports/71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nzta.govt.nz/resources/research/reports/717"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en.wikipedia.org/wiki/Dual_carriageway" TargetMode="External"/><Relationship Id="rId2" Type="http://schemas.openxmlformats.org/officeDocument/2006/relationships/hyperlink" Target="https://en.wikipedia.org/wiki/Elasticity_(economics)" TargetMode="External"/><Relationship Id="rId1" Type="http://schemas.openxmlformats.org/officeDocument/2006/relationships/hyperlink" Target="https://en.wikipedia.org/wiki/Generalised_cost" TargetMode="External"/><Relationship Id="rId6" Type="http://schemas.openxmlformats.org/officeDocument/2006/relationships/table" Target="../tables/table1.xml"/><Relationship Id="rId5" Type="http://schemas.openxmlformats.org/officeDocument/2006/relationships/printerSettings" Target="../printerSettings/printerSettings20.bin"/><Relationship Id="rId4" Type="http://schemas.openxmlformats.org/officeDocument/2006/relationships/hyperlink" Target="https://www.nzta.govt.nz/resources/monetised-benefits-and-costs-manual/"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nzta.govt.nz/resources/research/reports/717" TargetMode="External"/><Relationship Id="rId1" Type="http://schemas.openxmlformats.org/officeDocument/2006/relationships/hyperlink" Target="https://rosap.ntl.bts.gov/view/dot/9724" TargetMode="External"/><Relationship Id="rId4"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nzta.govt.nz/resources/research/reports/717" TargetMode="External"/><Relationship Id="rId1" Type="http://schemas.openxmlformats.org/officeDocument/2006/relationships/hyperlink" Target="https://doi.org/10.1257/aer.101.6.2616" TargetMode="External"/><Relationship Id="rId4"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3.bin"/><Relationship Id="rId1" Type="http://schemas.openxmlformats.org/officeDocument/2006/relationships/hyperlink" Target="http://www.nzta.govt.nz/resources/research/reports/717"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nzta.govt.nz/resources/research/reports/717" TargetMode="External"/><Relationship Id="rId1" Type="http://schemas.openxmlformats.org/officeDocument/2006/relationships/hyperlink" Target="https://www.transitwiki.org/TransitWiki/index.php/Four-step_travel_model" TargetMode="External"/><Relationship Id="rId4" Type="http://schemas.openxmlformats.org/officeDocument/2006/relationships/drawing" Target="../drawings/drawing9.xml"/></Relationships>
</file>

<file path=xl/worksheets/_rels/sheet25.xml.rels><?xml version="1.0" encoding="UTF-8" standalone="yes"?>
<Relationships xmlns="http://schemas.openxmlformats.org/package/2006/relationships"><Relationship Id="rId3" Type="http://schemas.openxmlformats.org/officeDocument/2006/relationships/hyperlink" Target="http://www.nzta.govt.nz/resources/research/reports/717" TargetMode="External"/><Relationship Id="rId2" Type="http://schemas.openxmlformats.org/officeDocument/2006/relationships/hyperlink" Target="https://www.lgnz.co.nz/assets/cb21cca965/South-Island-PNG.PNG" TargetMode="External"/><Relationship Id="rId1" Type="http://schemas.openxmlformats.org/officeDocument/2006/relationships/hyperlink" Target="https://www.lgnz.co.nz/assets/585d67aa95/North-Island-PNG.PNG" TargetMode="External"/><Relationship Id="rId5" Type="http://schemas.openxmlformats.org/officeDocument/2006/relationships/drawing" Target="../drawings/drawing10.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nzta.govt.nz/resources/research/reports/717" TargetMode="External"/><Relationship Id="rId2" Type="http://schemas.openxmlformats.org/officeDocument/2006/relationships/hyperlink" Target="https://portal.transportinsights.nz/onf/network-characteristics" TargetMode="External"/><Relationship Id="rId1" Type="http://schemas.openxmlformats.org/officeDocument/2006/relationships/hyperlink" Target="https://www.nzta.govt.nz/planning-and-investment/learning-and-resources/transport-data/funding-and-transport-dashboard-and-open-data/" TargetMode="External"/><Relationship Id="rId5" Type="http://schemas.openxmlformats.org/officeDocument/2006/relationships/drawing" Target="../drawings/drawing11.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nzta.govt.nz/resources/research/reports/717" TargetMode="External"/><Relationship Id="rId1" Type="http://schemas.openxmlformats.org/officeDocument/2006/relationships/hyperlink" Target="https://www.nzta.govt.nz/planning-and-investment/planning/one-network-framework/" TargetMode="External"/><Relationship Id="rId4"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nzta.govt.nz/resources/research/reports/717" TargetMode="External"/><Relationship Id="rId1" Type="http://schemas.openxmlformats.org/officeDocument/2006/relationships/hyperlink" Target="https://en.wikipedia.org/wiki/Generalised_cost" TargetMode="External"/><Relationship Id="rId4"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9.bin"/><Relationship Id="rId1" Type="http://schemas.openxmlformats.org/officeDocument/2006/relationships/hyperlink" Target="http://www.nzta.govt.nz/resources/research/reports/717"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0.bin"/><Relationship Id="rId1" Type="http://schemas.openxmlformats.org/officeDocument/2006/relationships/hyperlink" Target="http://www.nzta.govt.nz/resources/research/reports/717"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1.bin"/><Relationship Id="rId1" Type="http://schemas.openxmlformats.org/officeDocument/2006/relationships/hyperlink" Target="http://www.nzta.govt.nz/resources/research/reports/717"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nzta.govt.nz/resources/research/reports/717" TargetMode="External"/><Relationship Id="rId1" Type="http://schemas.openxmlformats.org/officeDocument/2006/relationships/hyperlink" Target="https://at.govt.nz/media/970611/Penlink-Traffic-and-Economic-Analysis.pdf" TargetMode="External"/><Relationship Id="rId4" Type="http://schemas.openxmlformats.org/officeDocument/2006/relationships/drawing" Target="../drawings/drawing17.xml"/></Relationships>
</file>

<file path=xl/worksheets/_rels/sheet33.xml.rels><?xml version="1.0" encoding="UTF-8" standalone="yes"?>
<Relationships xmlns="http://schemas.openxmlformats.org/package/2006/relationships"><Relationship Id="rId3" Type="http://schemas.openxmlformats.org/officeDocument/2006/relationships/hyperlink" Target="http://www.nzta.govt.nz/resources/research/reports/717" TargetMode="External"/><Relationship Id="rId2" Type="http://schemas.openxmlformats.org/officeDocument/2006/relationships/hyperlink" Target="https://ieb.ub.edu/wp-content/uploads/2020/11/Doc2020-11.pdf" TargetMode="External"/><Relationship Id="rId1" Type="http://schemas.openxmlformats.org/officeDocument/2006/relationships/hyperlink" Target="https://doi.org/10.1016/j.tra.2022.01.018" TargetMode="External"/><Relationship Id="rId5" Type="http://schemas.openxmlformats.org/officeDocument/2006/relationships/drawing" Target="../drawings/drawing18.xm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4.bin"/><Relationship Id="rId1" Type="http://schemas.openxmlformats.org/officeDocument/2006/relationships/hyperlink" Target="http://www.nzta.govt.nz/resources/research/reports/717"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5.bin"/><Relationship Id="rId1" Type="http://schemas.openxmlformats.org/officeDocument/2006/relationships/hyperlink" Target="http://www.nzta.govt.nz/resources/research/reports/717"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6.bin"/><Relationship Id="rId1" Type="http://schemas.openxmlformats.org/officeDocument/2006/relationships/hyperlink" Target="http://www.nzta.govt.nz/resources/research/reports/717"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7.bin"/><Relationship Id="rId1" Type="http://schemas.openxmlformats.org/officeDocument/2006/relationships/hyperlink" Target="http://www.nzta.govt.nz/resources/research/reports/71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pmrt.transportinsights.nz/Report/net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DA2AE-2233-4D26-9383-10E0F14FCC13}">
  <dimension ref="A1:A11"/>
  <sheetViews>
    <sheetView tabSelected="1" zoomScaleNormal="100" workbookViewId="0"/>
  </sheetViews>
  <sheetFormatPr defaultRowHeight="15"/>
  <cols>
    <col min="1" max="1" width="86.28515625" style="492" customWidth="1"/>
    <col min="2" max="16384" width="9.140625" style="492"/>
  </cols>
  <sheetData>
    <row r="1" spans="1:1" ht="63" customHeight="1">
      <c r="A1" s="491" t="s">
        <v>1128</v>
      </c>
    </row>
    <row r="2" spans="1:1" ht="30" customHeight="1">
      <c r="A2" s="493" t="s">
        <v>1129</v>
      </c>
    </row>
    <row r="3" spans="1:1" ht="30" customHeight="1">
      <c r="A3" s="494" t="s">
        <v>1130</v>
      </c>
    </row>
    <row r="4" spans="1:1" ht="153" customHeight="1">
      <c r="A4" s="495" t="s">
        <v>1131</v>
      </c>
    </row>
    <row r="5" spans="1:1">
      <c r="A5" s="496" t="s">
        <v>1132</v>
      </c>
    </row>
    <row r="7" spans="1:1">
      <c r="A7" s="496" t="s">
        <v>1133</v>
      </c>
    </row>
    <row r="8" spans="1:1" ht="15.75">
      <c r="A8" s="84" t="s">
        <v>1134</v>
      </c>
    </row>
    <row r="11" spans="1:1" ht="15.75">
      <c r="A11" s="495"/>
    </row>
  </sheetData>
  <hyperlinks>
    <hyperlink ref="A8" r:id="rId1" xr:uid="{3756314D-21DD-4BB4-A8D7-8B33136548FA}"/>
  </hyperlinks>
  <pageMargins left="0.7" right="0.7" top="0.75" bottom="0.75" header="0.3" footer="0.3"/>
  <pageSetup orientation="portrait" horizontalDpi="0" verticalDpi="0" r:id="rId2"/>
  <headerFooter>
    <oddHeader>&amp;L&amp;16&amp;F&amp;R&amp;G</oddHeader>
  </headerFooter>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E83F6-8782-434C-B00A-52AA98402483}">
  <sheetPr codeName="Sheet8">
    <tabColor theme="9" tint="0.79998168889431442"/>
  </sheetPr>
  <dimension ref="A1:I94"/>
  <sheetViews>
    <sheetView zoomScale="80" zoomScaleNormal="80" workbookViewId="0">
      <selection activeCell="B3" sqref="B3"/>
    </sheetView>
  </sheetViews>
  <sheetFormatPr defaultRowHeight="15"/>
  <cols>
    <col min="1" max="1" width="1.5703125" customWidth="1"/>
    <col min="2" max="2" width="62.5703125" customWidth="1"/>
    <col min="3" max="3" width="19.28515625" customWidth="1"/>
    <col min="4" max="4" width="25.5703125" customWidth="1"/>
    <col min="5" max="7" width="29.42578125" customWidth="1"/>
  </cols>
  <sheetData>
    <row r="1" spans="1:7">
      <c r="A1" s="515" t="s">
        <v>280</v>
      </c>
      <c r="B1" s="515"/>
    </row>
    <row r="2" spans="1:7">
      <c r="A2" s="295" t="s">
        <v>977</v>
      </c>
    </row>
    <row r="4" spans="1:7">
      <c r="B4" s="295" t="s">
        <v>984</v>
      </c>
    </row>
    <row r="5" spans="1:7">
      <c r="B5" s="84" t="s">
        <v>992</v>
      </c>
      <c r="C5" s="93" t="s">
        <v>995</v>
      </c>
    </row>
    <row r="6" spans="1:7">
      <c r="B6" s="84" t="s">
        <v>996</v>
      </c>
      <c r="C6" s="93" t="str">
        <f>nMethod1!A2</f>
        <v>Lane-km elasticity approach used in Step 1 (Method 1)</v>
      </c>
    </row>
    <row r="7" spans="1:7">
      <c r="B7" s="84" t="s">
        <v>993</v>
      </c>
      <c r="C7" s="93" t="str">
        <f>aLanekmElas!A2</f>
        <v>Mapping of US lane-km elasticities to NZ default lane-km elasticities</v>
      </c>
    </row>
    <row r="8" spans="1:7">
      <c r="B8" s="84" t="s">
        <v>994</v>
      </c>
      <c r="C8" s="93" t="str">
        <f>pLanekmVKT!A2</f>
        <v>Existing NZ road statistics (2019/20)</v>
      </c>
    </row>
    <row r="10" spans="1:7">
      <c r="B10" t="s">
        <v>589</v>
      </c>
    </row>
    <row r="11" spans="1:7">
      <c r="B11" s="103" t="str">
        <f>Dashboard!D17</f>
        <v>Canterbury</v>
      </c>
    </row>
    <row r="12" spans="1:7" ht="30">
      <c r="B12" s="279" t="s">
        <v>1101</v>
      </c>
      <c r="C12" s="101" t="s">
        <v>312</v>
      </c>
      <c r="D12" s="101" t="s">
        <v>313</v>
      </c>
      <c r="E12" s="101" t="s">
        <v>376</v>
      </c>
      <c r="F12" s="101" t="s">
        <v>564</v>
      </c>
    </row>
    <row r="13" spans="1:7">
      <c r="B13" s="78" t="str">
        <f>G13&amp;" "&amp;$B$12&amp;" Roads "&amp;Dashboard!$D$17&amp;" Region"</f>
        <v>Transit Corridors NZTA Roads Canterbury Region</v>
      </c>
      <c r="C13" s="109">
        <f>MAX(0,SUMIF(pLanekmVKT!$B$16:$B$371,cLanekmElasticity!$B13,pLanekmVKT!$C$16:$C$371))</f>
        <v>91.98</v>
      </c>
      <c r="D13" s="109">
        <f>MAX(0,SUMIF(pLanekmVKT!$B$16:$B$371,cLanekmElasticity!$B13,pLanekmVKT!$D$16:$D$371))</f>
        <v>241.23</v>
      </c>
      <c r="E13" s="128">
        <f>D13*pLanekmVKT!$E$12/pLanekmVKT!$E$13</f>
        <v>660904.10958904109</v>
      </c>
      <c r="F13" s="109">
        <f>IFERROR(E13/C13,0)</f>
        <v>7185.3023438686787</v>
      </c>
      <c r="G13" s="180" t="s">
        <v>410</v>
      </c>
    </row>
    <row r="14" spans="1:7">
      <c r="B14" s="78" t="str">
        <f>G14&amp;" "&amp;$B$12&amp;" Roads "&amp;Dashboard!$D$17&amp;" Region"</f>
        <v>Urban Connectors NZTA Roads Canterbury Region</v>
      </c>
      <c r="C14" s="109">
        <f>MAX(0,SUMIF(pLanekmVKT!$B$16:$B$371,cLanekmElasticity!$B14,pLanekmVKT!$C$16:$C$371))</f>
        <v>240.57000000000002</v>
      </c>
      <c r="D14" s="109">
        <f>MAX(0,SUMIF(pLanekmVKT!$B$16:$B$371,cLanekmElasticity!$B14,pLanekmVKT!$D$16:$D$371))</f>
        <v>511.16</v>
      </c>
      <c r="E14" s="128">
        <f>D14*pLanekmVKT!$E$12/pLanekmVKT!$E$13</f>
        <v>1400438.3561643835</v>
      </c>
      <c r="F14" s="109">
        <f t="shared" ref="F14:F22" si="0">IFERROR(E14/C14,0)</f>
        <v>5821.3341487483203</v>
      </c>
      <c r="G14" s="180" t="s">
        <v>411</v>
      </c>
    </row>
    <row r="15" spans="1:7">
      <c r="B15" s="78" t="str">
        <f>G15&amp;" "&amp;$B$12&amp;" Roads "&amp;Dashboard!$D$17&amp;" Region"</f>
        <v>Interregional Connectors NZTA Roads Canterbury Region</v>
      </c>
      <c r="C15" s="109">
        <f>MAX(0,SUMIF(pLanekmVKT!$B$16:$B$371,cLanekmElasticity!$B15,pLanekmVKT!$C$16:$C$371))</f>
        <v>1203.17</v>
      </c>
      <c r="D15" s="109">
        <f>MAX(0,SUMIF(pLanekmVKT!$B$16:$B$371,cLanekmElasticity!$B15,pLanekmVKT!$D$16:$D$371))</f>
        <v>1370.86</v>
      </c>
      <c r="E15" s="128">
        <f>D15*pLanekmVKT!$E$12/pLanekmVKT!$E$13</f>
        <v>3755780.8219178081</v>
      </c>
      <c r="F15" s="109">
        <f t="shared" si="0"/>
        <v>3121.5712010088414</v>
      </c>
      <c r="G15" s="180" t="s">
        <v>404</v>
      </c>
    </row>
    <row r="16" spans="1:7">
      <c r="B16" s="78" t="str">
        <f>G16&amp;" "&amp;$B$12&amp;" Roads "&amp;Dashboard!$D$17&amp;" Region"</f>
        <v>Rural Connectors NZTA Roads Canterbury Region</v>
      </c>
      <c r="C16" s="109">
        <f>MAX(0,SUMIF(pLanekmVKT!$B$16:$B$371,cLanekmElasticity!$B16,pLanekmVKT!$C$16:$C$371))</f>
        <v>1243.9000000000001</v>
      </c>
      <c r="D16" s="109">
        <f>MAX(0,SUMIF(pLanekmVKT!$B$16:$B$371,cLanekmElasticity!$B16,pLanekmVKT!$D$16:$D$371))</f>
        <v>553.29</v>
      </c>
      <c r="E16" s="128">
        <f>D16*pLanekmVKT!$E$12/pLanekmVKT!$E$13</f>
        <v>1515863.01369863</v>
      </c>
      <c r="F16" s="109">
        <f t="shared" si="0"/>
        <v>1218.63736128196</v>
      </c>
      <c r="G16" s="180" t="s">
        <v>406</v>
      </c>
    </row>
    <row r="17" spans="2:7">
      <c r="B17" s="279" t="s">
        <v>597</v>
      </c>
      <c r="C17" s="109"/>
      <c r="D17" s="109"/>
      <c r="E17" s="128"/>
      <c r="F17" s="109"/>
      <c r="G17" s="180" t="s">
        <v>416</v>
      </c>
    </row>
    <row r="18" spans="2:7">
      <c r="B18" s="78" t="str">
        <f>G18&amp;" Local "&amp;$B$17&amp;" "&amp;Dashboard!$D$17&amp;" Region"</f>
        <v>City Hubs Local LTA Roads Canterbury Region</v>
      </c>
      <c r="C18" s="109">
        <f>MAX(0,SUMIF(pLanekmVKT!$B$16:$B$371,cLanekmElasticity!$B18,pLanekmVKT!$C$16:$C$371))</f>
        <v>3.09</v>
      </c>
      <c r="D18" s="109">
        <f>MAX(0,SUMIF(pLanekmVKT!$B$16:$B$371,cLanekmElasticity!$B18,pLanekmVKT!$D$16:$D$371))</f>
        <v>2.2799999999999998</v>
      </c>
      <c r="E18" s="128">
        <f>D18*pLanekmVKT!$E$12/pLanekmVKT!$E$13</f>
        <v>6246.5753424657532</v>
      </c>
      <c r="F18" s="109">
        <f t="shared" si="0"/>
        <v>2021.5454182737067</v>
      </c>
      <c r="G18" s="180" t="s">
        <v>416</v>
      </c>
    </row>
    <row r="19" spans="2:7">
      <c r="B19" s="78" t="str">
        <f>G19&amp;" Local "&amp;$B$17&amp;" "&amp;Dashboard!$D$17&amp;" Region"</f>
        <v>Urban Connectors Local LTA Roads Canterbury Region</v>
      </c>
      <c r="C19" s="109">
        <f>MAX(0,SUMIF(pLanekmVKT!$B$16:$B$371,cLanekmElasticity!$B19,pLanekmVKT!$C$16:$C$371))</f>
        <v>1180.82</v>
      </c>
      <c r="D19" s="109">
        <f>MAX(0,SUMIF(pLanekmVKT!$B$16:$B$371,cLanekmElasticity!$B19,pLanekmVKT!$D$16:$D$371))</f>
        <v>1730.3600000000001</v>
      </c>
      <c r="E19" s="128">
        <f>D19*pLanekmVKT!$E$12/pLanekmVKT!$E$13</f>
        <v>4740712.3287671236</v>
      </c>
      <c r="F19" s="109">
        <f t="shared" si="0"/>
        <v>4014.7629010070323</v>
      </c>
      <c r="G19" s="180" t="s">
        <v>411</v>
      </c>
    </row>
    <row r="20" spans="2:7">
      <c r="B20" s="78" t="str">
        <f>G20&amp;" Local "&amp;$B$17&amp;" "&amp;Dashboard!$D$17&amp;" Region"</f>
        <v>Activity Streets Local LTA Roads Canterbury Region</v>
      </c>
      <c r="C20" s="109">
        <f>MAX(0,SUMIF(pLanekmVKT!$B$16:$B$371,cLanekmElasticity!$B20,pLanekmVKT!$C$16:$C$371))</f>
        <v>196.07</v>
      </c>
      <c r="D20" s="109">
        <f>MAX(0,SUMIF(pLanekmVKT!$B$16:$B$371,cLanekmElasticity!$B20,pLanekmVKT!$D$16:$D$371))</f>
        <v>159.25</v>
      </c>
      <c r="E20" s="128">
        <f>D20*pLanekmVKT!$E$12/pLanekmVKT!$E$13</f>
        <v>436301.36986301368</v>
      </c>
      <c r="F20" s="109">
        <f t="shared" si="0"/>
        <v>2225.2326713062362</v>
      </c>
      <c r="G20" s="180" t="s">
        <v>408</v>
      </c>
    </row>
    <row r="21" spans="2:7">
      <c r="B21" s="78" t="str">
        <f>G21&amp;" Local "&amp;$B$17&amp;" "&amp;Dashboard!$D$17&amp;" Region"</f>
        <v>Interregional Connectors Local LTA Roads Canterbury Region</v>
      </c>
      <c r="C21" s="109">
        <f>MAX(0,SUMIF(pLanekmVKT!$B$16:$B$371,cLanekmElasticity!$B21,pLanekmVKT!$C$16:$C$371))</f>
        <v>0.36999999999989086</v>
      </c>
      <c r="D21" s="109">
        <f>MAX(0,SUMIF(pLanekmVKT!$B$16:$B$371,cLanekmElasticity!$B21,pLanekmVKT!$D$16:$D$371))</f>
        <v>0.35000000000013642</v>
      </c>
      <c r="E21" s="128">
        <f>D21*pLanekmVKT!$E$12/pLanekmVKT!$E$13</f>
        <v>958.90410958941493</v>
      </c>
      <c r="F21" s="109">
        <f t="shared" si="0"/>
        <v>2591.6327286208048</v>
      </c>
      <c r="G21" s="180" t="s">
        <v>404</v>
      </c>
    </row>
    <row r="22" spans="2:7">
      <c r="B22" s="78" t="str">
        <f>G22&amp;" Local "&amp;$B$17&amp;" "&amp;Dashboard!$D$17&amp;" Region"</f>
        <v>Rural Connectors Local LTA Roads Canterbury Region</v>
      </c>
      <c r="C22" s="109">
        <f>MAX(0,SUMIF(pLanekmVKT!$B$16:$B$371,cLanekmElasticity!$B22,pLanekmVKT!$C$16:$C$371))</f>
        <v>25064.49</v>
      </c>
      <c r="D22" s="109">
        <f>MAX(0,SUMIF(pLanekmVKT!$B$16:$B$371,cLanekmElasticity!$B22,pLanekmVKT!$D$16:$D$371))</f>
        <v>1836.88</v>
      </c>
      <c r="E22" s="128">
        <f>D22*pLanekmVKT!$E$12/pLanekmVKT!$E$13</f>
        <v>5032547.9452054799</v>
      </c>
      <c r="F22" s="109">
        <f t="shared" si="0"/>
        <v>200.78397546510939</v>
      </c>
      <c r="G22" s="180" t="s">
        <v>406</v>
      </c>
    </row>
    <row r="25" spans="2:7">
      <c r="B25" s="100" t="s">
        <v>604</v>
      </c>
      <c r="C25" s="101" t="s">
        <v>305</v>
      </c>
      <c r="D25" s="101" t="s">
        <v>306</v>
      </c>
    </row>
    <row r="26" spans="2:7">
      <c r="B26" s="103" t="str">
        <f>Dashboard!D19&amp;" "&amp;Dashboard!D18</f>
        <v>Urban Connectors NZTA</v>
      </c>
      <c r="C26" s="126">
        <f>INDEX(aLanekmElas!$D$17:D46,MATCH(B26,aLanekmElas!$B$17:B46,0))</f>
        <v>0.3</v>
      </c>
      <c r="D26" s="126">
        <f>INDEX(aLanekmElas!$E$17:$E$46,MATCH(B26,aLanekmElas!$B$17:$B$46,0))</f>
        <v>0.6</v>
      </c>
    </row>
    <row r="28" spans="2:7" ht="30">
      <c r="B28" s="100" t="s">
        <v>311</v>
      </c>
      <c r="C28" s="101" t="s">
        <v>312</v>
      </c>
      <c r="D28" s="101" t="s">
        <v>313</v>
      </c>
      <c r="E28" s="101" t="s">
        <v>376</v>
      </c>
      <c r="F28" s="101" t="s">
        <v>564</v>
      </c>
      <c r="G28" s="285" t="s">
        <v>549</v>
      </c>
    </row>
    <row r="29" spans="2:7">
      <c r="B29" s="103" t="str">
        <f>$B$26&amp;" Roads "&amp;Dashboard!$D$17&amp;" Region"</f>
        <v>Urban Connectors NZTA Roads Canterbury Region</v>
      </c>
      <c r="C29" s="109">
        <f>SUMIF(pLanekmVKT!$B$16:$B$371,cLanekmElasticity!$B29,pLanekmVKT!$C$16:$C$371)</f>
        <v>240.57000000000002</v>
      </c>
      <c r="D29" s="109">
        <f>SUMIF(pLanekmVKT!$B$16:$B$371,cLanekmElasticity!$B29,pLanekmVKT!$D$16:$D$371)</f>
        <v>511.16</v>
      </c>
      <c r="E29" s="128">
        <f>D29*pLanekmVKT!$E$12/pLanekmVKT!$E$13</f>
        <v>1400438.3561643835</v>
      </c>
      <c r="F29" s="109">
        <f>E29/C29</f>
        <v>5821.3341487483203</v>
      </c>
      <c r="G29" s="269">
        <f>MATCH(B29,B13:B22,0)</f>
        <v>2</v>
      </c>
    </row>
    <row r="30" spans="2:7">
      <c r="B30" s="112"/>
      <c r="C30" s="112"/>
    </row>
    <row r="31" spans="2:7">
      <c r="B31" s="114" t="s">
        <v>318</v>
      </c>
      <c r="C31" s="109">
        <f>Dashboard!I30</f>
        <v>2</v>
      </c>
      <c r="F31" s="108" t="s">
        <v>314</v>
      </c>
      <c r="G31" s="164" t="s">
        <v>315</v>
      </c>
    </row>
    <row r="32" spans="2:7">
      <c r="B32" s="114" t="s">
        <v>371</v>
      </c>
      <c r="C32" s="163">
        <f>C31/C29</f>
        <v>8.3135885605021397E-3</v>
      </c>
      <c r="F32" s="110" t="s">
        <v>316</v>
      </c>
      <c r="G32" s="111">
        <f>E29*G33</f>
        <v>6985.6009784980351</v>
      </c>
    </row>
    <row r="33" spans="2:7">
      <c r="B33" s="78"/>
      <c r="F33" s="110" t="s">
        <v>317</v>
      </c>
      <c r="G33" s="113">
        <f>C32*G53</f>
        <v>4.9881531363013204E-3</v>
      </c>
    </row>
    <row r="34" spans="2:7">
      <c r="B34" s="104" t="s">
        <v>319</v>
      </c>
      <c r="C34" s="120">
        <f>aLanekmElas!C12</f>
        <v>0.6</v>
      </c>
      <c r="D34" s="106" t="s">
        <v>310</v>
      </c>
      <c r="E34" s="107"/>
    </row>
    <row r="36" spans="2:7">
      <c r="B36" s="100" t="s">
        <v>605</v>
      </c>
      <c r="D36" s="101" t="s">
        <v>306</v>
      </c>
    </row>
    <row r="37" spans="2:7">
      <c r="B37" s="103" t="str">
        <f>B26</f>
        <v>Urban Connectors NZTA</v>
      </c>
      <c r="D37" s="468">
        <f>IF(Dashboard!$D$63="",IF(Dashboard!$J$62="",Dashboard!$I$61,Dashboard!$J$62),Dashboard!$D$63)</f>
        <v>0.6</v>
      </c>
    </row>
    <row r="39" spans="2:7">
      <c r="B39" s="122" t="s">
        <v>320</v>
      </c>
      <c r="C39" s="123"/>
      <c r="D39" s="123"/>
      <c r="E39" s="123"/>
      <c r="F39" s="123"/>
    </row>
    <row r="40" spans="2:7">
      <c r="B40" s="525" t="s">
        <v>290</v>
      </c>
      <c r="C40" s="525" t="s">
        <v>291</v>
      </c>
      <c r="D40" s="527" t="s">
        <v>292</v>
      </c>
      <c r="E40" s="528"/>
      <c r="F40" s="529"/>
    </row>
    <row r="41" spans="2:7" ht="75">
      <c r="B41" s="526"/>
      <c r="C41" s="526"/>
      <c r="D41" s="124" t="s">
        <v>321</v>
      </c>
      <c r="E41" s="124" t="s">
        <v>293</v>
      </c>
      <c r="F41" s="124" t="s">
        <v>322</v>
      </c>
    </row>
    <row r="42" spans="2:7">
      <c r="B42" s="125" t="str">
        <f>Dashboard!D66</f>
        <v>Low</v>
      </c>
      <c r="C42" s="309" t="s">
        <v>721</v>
      </c>
      <c r="D42" s="103" t="str">
        <f>Dashboard!D69</f>
        <v>Mid - within city but not CBD</v>
      </c>
      <c r="E42" s="103" t="str">
        <f>Dashboard!D70</f>
        <v>Mid - within city but not CBD</v>
      </c>
      <c r="F42" s="103" t="str">
        <f>Dashboard!D71</f>
        <v>Not strong</v>
      </c>
    </row>
    <row r="43" spans="2:7">
      <c r="B43" s="126">
        <f>INDEX(pMenus!C49:C51,MATCH(B42,pMenus!B49:B51,0))</f>
        <v>1</v>
      </c>
      <c r="C43" s="2"/>
      <c r="D43" s="2"/>
      <c r="E43" s="126" cm="1">
        <f t="array" ref="E43">INDEX(IF(F42="Strong", pMenus!C71:E73,pMenus!C77:E79), VLOOKUP(D42,pMenus!B60:C62,2,FALSE), VLOOKUP(E42,pMenus!B60:C62,2,FALSE))</f>
        <v>1</v>
      </c>
      <c r="F43" s="2"/>
    </row>
    <row r="45" spans="2:7" hidden="1">
      <c r="B45" s="324" t="s">
        <v>324</v>
      </c>
      <c r="C45" s="325">
        <f>B43*E43</f>
        <v>1</v>
      </c>
      <c r="D45" s="326" t="s">
        <v>723</v>
      </c>
    </row>
    <row r="46" spans="2:7" hidden="1"/>
    <row r="47" spans="2:7">
      <c r="B47" s="114" t="s">
        <v>724</v>
      </c>
      <c r="C47" s="154">
        <f>1-C26/D26</f>
        <v>0.5</v>
      </c>
      <c r="D47" s="78" t="s">
        <v>588</v>
      </c>
      <c r="E47" s="154">
        <f>IF(Dashboard!$D$81="",F58,Dashboard!D81)</f>
        <v>0.49999999999999634</v>
      </c>
      <c r="F47" s="93" t="s">
        <v>726</v>
      </c>
    </row>
    <row r="48" spans="2:7">
      <c r="C48" s="275"/>
    </row>
    <row r="49" spans="2:9">
      <c r="B49" s="122" t="s">
        <v>284</v>
      </c>
      <c r="C49" s="87" t="s">
        <v>369</v>
      </c>
      <c r="D49" s="87" t="s">
        <v>606</v>
      </c>
      <c r="E49" s="87" t="s">
        <v>742</v>
      </c>
      <c r="F49" s="87" t="s">
        <v>743</v>
      </c>
      <c r="G49" s="87" t="s">
        <v>368</v>
      </c>
    </row>
    <row r="50" spans="2:9">
      <c r="B50" s="70" t="s">
        <v>285</v>
      </c>
      <c r="C50" s="4"/>
      <c r="D50" s="4"/>
      <c r="E50" s="4"/>
      <c r="F50" s="4"/>
      <c r="G50" s="4"/>
    </row>
    <row r="51" spans="2:9">
      <c r="B51" s="117" t="s">
        <v>1046</v>
      </c>
      <c r="C51" s="159">
        <f t="shared" ref="C51" si="1">$D$26</f>
        <v>0.6</v>
      </c>
      <c r="D51" s="159">
        <f t="shared" ref="D51" si="2">$D$37</f>
        <v>0.6</v>
      </c>
      <c r="E51" s="159">
        <f t="shared" ref="E51" si="3">D51*$B$43</f>
        <v>0.6</v>
      </c>
      <c r="F51" s="159"/>
      <c r="G51" s="159"/>
    </row>
    <row r="52" spans="2:9">
      <c r="B52" s="117" t="s">
        <v>1047</v>
      </c>
      <c r="C52" s="159"/>
      <c r="D52" s="159"/>
      <c r="E52" s="159"/>
      <c r="F52" s="159">
        <f>D51*($E$43-1)</f>
        <v>0</v>
      </c>
      <c r="G52" s="159"/>
    </row>
    <row r="53" spans="2:9">
      <c r="B53" s="117" t="s">
        <v>1048</v>
      </c>
      <c r="C53" s="159">
        <f>C51</f>
        <v>0.6</v>
      </c>
      <c r="D53" s="159">
        <f t="shared" ref="D53:E53" si="4">D51</f>
        <v>0.6</v>
      </c>
      <c r="E53" s="159">
        <f t="shared" si="4"/>
        <v>0.6</v>
      </c>
      <c r="F53" s="470">
        <f>LOG(F64/$D$29+1) / LOG(($C$31+$C$29)/$C$29)</f>
        <v>0.60000000000000442</v>
      </c>
      <c r="G53" s="159">
        <f>IF(Dashboard!$D$74="",F53,Dashboard!$D$74)</f>
        <v>0.60000000000000442</v>
      </c>
      <c r="H53" s="93" t="s">
        <v>1049</v>
      </c>
      <c r="I53" s="93"/>
    </row>
    <row r="54" spans="2:9">
      <c r="B54" s="117"/>
      <c r="C54" s="159"/>
      <c r="D54" s="159"/>
      <c r="E54" s="159"/>
      <c r="F54" s="159"/>
      <c r="G54" s="159"/>
      <c r="H54" s="93" t="s">
        <v>1051</v>
      </c>
    </row>
    <row r="55" spans="2:9">
      <c r="B55" s="70" t="s">
        <v>287</v>
      </c>
      <c r="C55" s="4"/>
      <c r="D55" s="4"/>
      <c r="E55" s="4"/>
      <c r="F55" s="4"/>
      <c r="G55" s="4"/>
    </row>
    <row r="56" spans="2:9">
      <c r="B56" s="117" t="s">
        <v>286</v>
      </c>
      <c r="C56" s="159">
        <f>C53*(1-$C$47)</f>
        <v>0.3</v>
      </c>
      <c r="D56" s="159">
        <f>D53*(1-$C$47)</f>
        <v>0.3</v>
      </c>
      <c r="E56" s="159">
        <f>E53*(1-$C$47)</f>
        <v>0.3</v>
      </c>
      <c r="F56" s="159">
        <f>E56 + (F53-E53)</f>
        <v>0.30000000000000443</v>
      </c>
      <c r="G56" s="159">
        <f>G53*(1-$E$47)</f>
        <v>0.30000000000000443</v>
      </c>
    </row>
    <row r="57" spans="2:9">
      <c r="B57" s="117"/>
      <c r="C57" s="159"/>
      <c r="D57" s="159"/>
      <c r="E57" s="159"/>
      <c r="F57" s="159"/>
      <c r="G57" s="159"/>
      <c r="H57" s="93"/>
    </row>
    <row r="58" spans="2:9">
      <c r="B58" s="117" t="s">
        <v>722</v>
      </c>
      <c r="C58" s="323">
        <f>1-C56/C53</f>
        <v>0.5</v>
      </c>
      <c r="D58" s="323">
        <f t="shared" ref="D58:G58" si="5">1-D56/D53</f>
        <v>0.5</v>
      </c>
      <c r="E58" s="323">
        <f t="shared" ref="E58" si="6">1-E56/E53</f>
        <v>0.5</v>
      </c>
      <c r="F58" s="323">
        <f t="shared" si="5"/>
        <v>0.49999999999999634</v>
      </c>
      <c r="G58" s="323">
        <f t="shared" si="5"/>
        <v>0.49999999999999634</v>
      </c>
    </row>
    <row r="60" spans="2:9">
      <c r="B60" s="161" t="s">
        <v>326</v>
      </c>
      <c r="C60" s="88" t="str">
        <f>C$49</f>
        <v>Unadjusted</v>
      </c>
      <c r="D60" s="88" t="str">
        <f>D$49</f>
        <v>Adjusted for GC or Override</v>
      </c>
      <c r="E60" s="88"/>
      <c r="F60" s="88" t="str">
        <f t="shared" ref="F60:G60" si="7">F$49</f>
        <v>Adjusted for Land use</v>
      </c>
      <c r="G60" s="88" t="str">
        <f t="shared" si="7"/>
        <v>Incl overide if given</v>
      </c>
    </row>
    <row r="61" spans="2:9">
      <c r="B61" s="291" t="s">
        <v>285</v>
      </c>
      <c r="C61" s="292"/>
      <c r="D61" s="292"/>
      <c r="E61" s="292"/>
      <c r="F61" s="292"/>
      <c r="G61" s="293"/>
    </row>
    <row r="62" spans="2:9">
      <c r="B62" s="117" t="s">
        <v>1046</v>
      </c>
      <c r="C62" s="159">
        <f t="shared" ref="C62:E62" si="8">((($C$31+$C$29)/$C$29)^C51-1)*$D$29</f>
        <v>2.5455212183647067</v>
      </c>
      <c r="D62" s="159">
        <f t="shared" si="8"/>
        <v>2.5455212183647067</v>
      </c>
      <c r="E62" s="159">
        <f t="shared" si="8"/>
        <v>2.5455212183647067</v>
      </c>
      <c r="F62" s="159"/>
      <c r="G62" s="159"/>
    </row>
    <row r="63" spans="2:9">
      <c r="B63" s="117" t="s">
        <v>1047</v>
      </c>
      <c r="C63" s="159"/>
      <c r="D63" s="159"/>
      <c r="E63" s="159"/>
      <c r="F63" s="159">
        <f t="shared" ref="F63" si="9">((($C$31+$C$29)/$C$29)^F52-1)*$D$29</f>
        <v>0</v>
      </c>
      <c r="G63" s="159"/>
    </row>
    <row r="64" spans="2:9">
      <c r="B64" s="117" t="s">
        <v>1048</v>
      </c>
      <c r="C64" s="159">
        <f>SUM(C62:C63)</f>
        <v>2.5455212183647067</v>
      </c>
      <c r="D64" s="159">
        <f t="shared" ref="D64:E64" si="10">SUM(D62:D63)</f>
        <v>2.5455212183647067</v>
      </c>
      <c r="E64" s="159">
        <f t="shared" si="10"/>
        <v>2.5455212183647067</v>
      </c>
      <c r="F64" s="470">
        <f>E62+F63</f>
        <v>2.5455212183647067</v>
      </c>
      <c r="G64" s="470">
        <f>((($C$31+$C$29)/$C$29)^G53-1)*$D$29</f>
        <v>2.5455212183647067</v>
      </c>
    </row>
    <row r="65" spans="1:8">
      <c r="B65" s="117"/>
      <c r="C65" s="159"/>
      <c r="D65" s="159"/>
      <c r="E65" s="159"/>
      <c r="F65" s="159"/>
      <c r="G65" s="159"/>
    </row>
    <row r="66" spans="1:8">
      <c r="B66" s="70" t="s">
        <v>287</v>
      </c>
      <c r="C66" s="4"/>
      <c r="D66" s="4"/>
      <c r="E66" s="4"/>
      <c r="F66" s="4"/>
      <c r="G66" s="4"/>
    </row>
    <row r="67" spans="1:8">
      <c r="B67" s="117" t="s">
        <v>1046</v>
      </c>
      <c r="C67" s="159">
        <f t="shared" ref="C67:E67" si="11">((($C$31+$C$29)/$C$29)^C56-1)*$D$29</f>
        <v>1.2711799900346485</v>
      </c>
      <c r="D67" s="159">
        <f t="shared" si="11"/>
        <v>1.2711799900346485</v>
      </c>
      <c r="E67" s="159">
        <f t="shared" si="11"/>
        <v>1.2711799900346485</v>
      </c>
      <c r="F67" s="159"/>
      <c r="G67" s="470">
        <f>G69-G68</f>
        <v>1.2711799900346485</v>
      </c>
    </row>
    <row r="68" spans="1:8">
      <c r="B68" s="117" t="s">
        <v>1047</v>
      </c>
      <c r="C68" s="159"/>
      <c r="D68" s="159"/>
      <c r="E68" s="159"/>
      <c r="F68" s="159">
        <f>F63</f>
        <v>0</v>
      </c>
      <c r="G68" s="470">
        <f>F68</f>
        <v>0</v>
      </c>
    </row>
    <row r="69" spans="1:8">
      <c r="B69" s="117" t="s">
        <v>286</v>
      </c>
      <c r="C69" s="159">
        <f>SUM(C67:C68)</f>
        <v>1.2711799900346485</v>
      </c>
      <c r="D69" s="159">
        <f t="shared" ref="D69:E69" si="12">SUM(D67:D68)</f>
        <v>1.2711799900346485</v>
      </c>
      <c r="E69" s="159">
        <f t="shared" si="12"/>
        <v>1.2711799900346485</v>
      </c>
      <c r="F69" s="470">
        <f>E67+F68</f>
        <v>1.2711799900346485</v>
      </c>
      <c r="G69" s="159">
        <f>((($C$31+$C$29)/$C$29)^G56-1)*$D$29</f>
        <v>1.2711799900346485</v>
      </c>
      <c r="H69" s="93" t="s">
        <v>1050</v>
      </c>
    </row>
    <row r="70" spans="1:8">
      <c r="B70" s="117"/>
      <c r="C70" s="159"/>
      <c r="D70" s="159"/>
      <c r="E70" s="159"/>
      <c r="F70" s="159"/>
      <c r="G70" s="159"/>
    </row>
    <row r="73" spans="1:8">
      <c r="B73" s="160" t="s">
        <v>289</v>
      </c>
      <c r="C73" s="88" t="str">
        <f>C$49</f>
        <v>Unadjusted</v>
      </c>
      <c r="D73" s="88" t="str">
        <f>D$49</f>
        <v>Adjusted for GC or Override</v>
      </c>
      <c r="E73" s="88" t="str">
        <f>E$49</f>
        <v>Adjusted for PT</v>
      </c>
      <c r="F73" s="88" t="str">
        <f t="shared" ref="F73:G73" si="13">F$49</f>
        <v>Adjusted for Land use</v>
      </c>
      <c r="G73" s="88" t="str">
        <f t="shared" si="13"/>
        <v>Incl overide if given</v>
      </c>
    </row>
    <row r="74" spans="1:8">
      <c r="B74" s="46" t="s">
        <v>285</v>
      </c>
      <c r="C74" s="290"/>
      <c r="D74" s="290"/>
      <c r="E74" s="290"/>
      <c r="F74" s="290"/>
      <c r="G74" s="290"/>
    </row>
    <row r="75" spans="1:8">
      <c r="B75" s="117" t="s">
        <v>286</v>
      </c>
      <c r="C75" s="162">
        <f>C64*pLanekmVKT!$E$12/pLanekmVKT!$E$13</f>
        <v>6974.0307352457721</v>
      </c>
      <c r="D75" s="162">
        <f>D64*pLanekmVKT!$E$12/pLanekmVKT!$E$13</f>
        <v>6974.0307352457721</v>
      </c>
      <c r="E75" s="162">
        <f>E64*pLanekmVKT!$E$12/pLanekmVKT!$E$13</f>
        <v>6974.0307352457721</v>
      </c>
      <c r="F75" s="162">
        <f>F64*pLanekmVKT!$E$12/pLanekmVKT!$E$13</f>
        <v>6974.0307352457721</v>
      </c>
      <c r="G75" s="162">
        <f>G64*pLanekmVKT!$E$12/pLanekmVKT!$E$13</f>
        <v>6974.0307352457721</v>
      </c>
      <c r="H75" s="93" t="s">
        <v>1052</v>
      </c>
    </row>
    <row r="76" spans="1:8">
      <c r="B76" s="117"/>
      <c r="C76" s="162"/>
      <c r="D76" s="162"/>
      <c r="E76" s="162"/>
      <c r="F76" s="162"/>
      <c r="G76" s="162"/>
      <c r="H76" s="93"/>
    </row>
    <row r="77" spans="1:8">
      <c r="B77" s="70" t="s">
        <v>287</v>
      </c>
      <c r="C77" s="4"/>
      <c r="D77" s="4"/>
      <c r="E77" s="4"/>
      <c r="F77" s="4"/>
      <c r="G77" s="4"/>
    </row>
    <row r="78" spans="1:8">
      <c r="B78" s="117" t="s">
        <v>286</v>
      </c>
      <c r="C78" s="162">
        <f>C69*pLanekmVKT!$E$12/pLanekmVKT!$E$13</f>
        <v>3482.6849042045164</v>
      </c>
      <c r="D78" s="162">
        <f>D69*pLanekmVKT!$E$12/pLanekmVKT!$E$13</f>
        <v>3482.6849042045164</v>
      </c>
      <c r="E78" s="162">
        <f>E69*pLanekmVKT!$E$12/pLanekmVKT!$E$13</f>
        <v>3482.6849042045164</v>
      </c>
      <c r="F78" s="162">
        <f>F69*pLanekmVKT!$E$12/pLanekmVKT!$E$13</f>
        <v>3482.6849042045164</v>
      </c>
      <c r="G78" s="162">
        <f>G69*pLanekmVKT!$E$12/pLanekmVKT!$E$13</f>
        <v>3482.6849042045164</v>
      </c>
    </row>
    <row r="79" spans="1:8">
      <c r="B79" s="117"/>
      <c r="C79" s="162"/>
      <c r="D79" s="162"/>
      <c r="E79" s="162"/>
      <c r="F79" s="162"/>
      <c r="G79" s="162"/>
    </row>
    <row r="80" spans="1:8">
      <c r="A80" t="s">
        <v>297</v>
      </c>
    </row>
    <row r="81" spans="5:7">
      <c r="F81" s="181"/>
      <c r="G81" s="181"/>
    </row>
    <row r="82" spans="5:7">
      <c r="F82" s="181"/>
      <c r="G82" s="181"/>
    </row>
    <row r="85" spans="5:7">
      <c r="F85" s="181"/>
    </row>
    <row r="86" spans="5:7">
      <c r="F86" s="181"/>
    </row>
    <row r="87" spans="5:7">
      <c r="F87" s="181"/>
    </row>
    <row r="88" spans="5:7">
      <c r="F88" s="181"/>
    </row>
    <row r="89" spans="5:7">
      <c r="F89" s="181"/>
    </row>
    <row r="92" spans="5:7">
      <c r="F92" s="469"/>
    </row>
    <row r="93" spans="5:7">
      <c r="E93" s="469"/>
      <c r="F93" s="469"/>
    </row>
    <row r="94" spans="5:7">
      <c r="E94" s="469"/>
      <c r="F94" s="469"/>
    </row>
  </sheetData>
  <mergeCells count="4">
    <mergeCell ref="B40:B41"/>
    <mergeCell ref="C40:C41"/>
    <mergeCell ref="D40:F40"/>
    <mergeCell ref="A1:B1"/>
  </mergeCells>
  <hyperlinks>
    <hyperlink ref="A1" location="Dashboard!A1" display="Return to dashboard" xr:uid="{BD851E68-F6AC-4D59-99F4-CF82D1EEF208}"/>
    <hyperlink ref="B5" location="Dashboard!A1" display="Dashboard" xr:uid="{F1977534-E2E4-4A90-BD1F-6438A883A8D3}"/>
    <hyperlink ref="B7" location="aLanekmElas!A1" display="aLanekmElas!A1" xr:uid="{1A4F579F-1C45-43D9-A56E-71CFABB5DE0E}"/>
    <hyperlink ref="B8" location="pLanekmVKT!A1" display="pLanekmVKT!A1" xr:uid="{662B96F3-0395-40D6-87F5-04BD58E2AA55}"/>
    <hyperlink ref="B6" location="nMethod1!A1" display="nMethod1!A1" xr:uid="{349FB4C4-98EE-4B88-97BE-7261C766566A}"/>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D37B4-4F3A-45ED-9BC7-03EEC3684AE4}">
  <sheetPr codeName="Sheet9">
    <tabColor theme="9" tint="0.79998168889431442"/>
  </sheetPr>
  <dimension ref="A1:T63"/>
  <sheetViews>
    <sheetView zoomScaleNormal="100" workbookViewId="0">
      <selection activeCell="C3" sqref="C3"/>
    </sheetView>
  </sheetViews>
  <sheetFormatPr defaultRowHeight="15"/>
  <cols>
    <col min="1" max="1" width="1.5703125" customWidth="1"/>
    <col min="2" max="2" width="4.28515625" customWidth="1"/>
    <col min="3" max="3" width="13.7109375" customWidth="1"/>
    <col min="4" max="4" width="34" customWidth="1"/>
    <col min="5" max="5" width="12.140625" customWidth="1"/>
    <col min="6" max="6" width="2" customWidth="1"/>
    <col min="7" max="7" width="11.85546875" customWidth="1"/>
    <col min="8" max="8" width="12.140625" customWidth="1"/>
    <col min="9" max="9" width="11.7109375" customWidth="1"/>
    <col min="10" max="10" width="13" customWidth="1"/>
  </cols>
  <sheetData>
    <row r="1" spans="1:14">
      <c r="A1" s="515" t="s">
        <v>280</v>
      </c>
      <c r="B1" s="515"/>
      <c r="C1" s="515"/>
    </row>
    <row r="2" spans="1:14">
      <c r="A2" s="295" t="s">
        <v>1015</v>
      </c>
    </row>
    <row r="4" spans="1:14">
      <c r="B4" s="295" t="s">
        <v>984</v>
      </c>
    </row>
    <row r="5" spans="1:14">
      <c r="B5" s="84" t="s">
        <v>992</v>
      </c>
      <c r="D5" s="93" t="s">
        <v>995</v>
      </c>
    </row>
    <row r="6" spans="1:14">
      <c r="B6" s="84" t="s">
        <v>986</v>
      </c>
      <c r="D6" s="93" t="str">
        <f>nMethod2!A2</f>
        <v>Cost elasticity approach used in Step 2 (Method 2)</v>
      </c>
    </row>
    <row r="7" spans="1:14">
      <c r="B7" s="84" t="s">
        <v>987</v>
      </c>
      <c r="D7" s="93" t="str">
        <f>cConvergenceC1!A2</f>
        <v>Convergence calculations undertaken in Steps 2 for case study 1 (Modify existing road)</v>
      </c>
    </row>
    <row r="8" spans="1:14">
      <c r="B8" s="84" t="s">
        <v>988</v>
      </c>
      <c r="D8" s="93" t="str">
        <f>cConvergenceC2!A2</f>
        <v>Convergence calculations undertaken in Steps 2 for case study 2 (Add new road)</v>
      </c>
    </row>
    <row r="9" spans="1:14">
      <c r="B9" s="84" t="s">
        <v>989</v>
      </c>
      <c r="D9" s="93" t="str">
        <f>cVolDelay!A2</f>
        <v>Volume Delay calculations undertaken in Steps 2</v>
      </c>
    </row>
    <row r="10" spans="1:14">
      <c r="B10" s="84" t="s">
        <v>990</v>
      </c>
      <c r="D10" s="93" t="str">
        <f>aMBCMtables!A2</f>
        <v>Inputs from MBCM used in Step 2</v>
      </c>
    </row>
    <row r="11" spans="1:14">
      <c r="B11" s="84" t="s">
        <v>991</v>
      </c>
      <c r="D11" s="93" t="str">
        <f>aCASTCI!A2</f>
        <v>SATURN Vol/Delay Curves used in Step 2</v>
      </c>
    </row>
    <row r="13" spans="1:14">
      <c r="B13" s="4" t="s">
        <v>102</v>
      </c>
    </row>
    <row r="14" spans="1:14">
      <c r="B14" s="15"/>
      <c r="C14" s="16"/>
      <c r="D14" s="16"/>
      <c r="E14" s="16"/>
      <c r="F14" s="16"/>
      <c r="G14" s="16"/>
      <c r="H14" s="16"/>
      <c r="I14" s="16"/>
      <c r="J14" s="17"/>
    </row>
    <row r="15" spans="1:14">
      <c r="B15" s="18"/>
      <c r="C15" s="4" t="s">
        <v>621</v>
      </c>
      <c r="J15" s="19"/>
      <c r="N15" t="s">
        <v>622</v>
      </c>
    </row>
    <row r="16" spans="1:14">
      <c r="B16" s="18"/>
      <c r="D16">
        <f>Dashboard!D39</f>
        <v>0</v>
      </c>
      <c r="J16" s="19"/>
    </row>
    <row r="17" spans="2:20">
      <c r="B17" s="18"/>
      <c r="J17" s="19"/>
    </row>
    <row r="18" spans="2:20">
      <c r="B18" s="18"/>
      <c r="C18" s="4" t="s">
        <v>70</v>
      </c>
      <c r="J18" s="19"/>
      <c r="N18" t="s">
        <v>618</v>
      </c>
      <c r="T18" t="s">
        <v>619</v>
      </c>
    </row>
    <row r="19" spans="2:20" ht="15.75" thickBot="1">
      <c r="B19" s="18"/>
      <c r="D19" t="s">
        <v>87</v>
      </c>
      <c r="E19" s="270">
        <f>Dashboard!J40</f>
        <v>11642.668297496641</v>
      </c>
      <c r="H19" t="s">
        <v>275</v>
      </c>
      <c r="J19" s="19"/>
      <c r="N19" t="s">
        <v>614</v>
      </c>
      <c r="T19" t="s">
        <v>608</v>
      </c>
    </row>
    <row r="20" spans="2:20" ht="16.5" thickTop="1" thickBot="1">
      <c r="B20" s="18"/>
      <c r="D20" t="s">
        <v>16</v>
      </c>
      <c r="E20" s="271" t="str">
        <f>Dashboard!$D$41</f>
        <v>Christchurch Mid</v>
      </c>
      <c r="H20" t="s">
        <v>272</v>
      </c>
      <c r="J20" s="19"/>
      <c r="N20" t="s">
        <v>386</v>
      </c>
      <c r="T20" t="s">
        <v>386</v>
      </c>
    </row>
    <row r="21" spans="2:20" ht="16.5" thickTop="1" thickBot="1">
      <c r="B21" s="18"/>
      <c r="D21" t="s">
        <v>85</v>
      </c>
      <c r="E21" s="376" t="str">
        <f>Dashboard!J37</f>
        <v>NZTA_Urban Connectors</v>
      </c>
      <c r="H21" t="s">
        <v>273</v>
      </c>
      <c r="J21" s="19"/>
      <c r="N21" t="s">
        <v>616</v>
      </c>
      <c r="T21" t="s">
        <v>613</v>
      </c>
    </row>
    <row r="22" spans="2:20" ht="16.5" thickTop="1" thickBot="1">
      <c r="B22" s="18"/>
      <c r="D22" t="s">
        <v>95</v>
      </c>
      <c r="E22" s="271">
        <f>IF(Dashboard!D23=0,Dashboard!D43,Dashboard!D23)</f>
        <v>2</v>
      </c>
      <c r="H22" t="s">
        <v>89</v>
      </c>
      <c r="J22" s="19"/>
      <c r="N22" t="s">
        <v>375</v>
      </c>
      <c r="T22" t="s">
        <v>611</v>
      </c>
    </row>
    <row r="23" spans="2:20" ht="16.5" thickTop="1" thickBot="1">
      <c r="B23" s="18"/>
      <c r="D23" t="s">
        <v>88</v>
      </c>
      <c r="E23" s="472">
        <f>Dashboard!D44</f>
        <v>80</v>
      </c>
      <c r="G23" s="41"/>
      <c r="H23" t="s">
        <v>89</v>
      </c>
      <c r="J23" s="19"/>
      <c r="N23" t="s">
        <v>615</v>
      </c>
      <c r="T23" t="s">
        <v>610</v>
      </c>
    </row>
    <row r="24" spans="2:20" ht="15.75" thickTop="1">
      <c r="B24" s="18"/>
      <c r="C24" s="2"/>
      <c r="D24" t="s">
        <v>263</v>
      </c>
      <c r="E24" s="12">
        <f>Dashboard!D49/E26*60</f>
        <v>0</v>
      </c>
      <c r="H24" t="s">
        <v>620</v>
      </c>
      <c r="J24" s="19"/>
      <c r="N24" t="s">
        <v>624</v>
      </c>
      <c r="T24" t="s">
        <v>623</v>
      </c>
    </row>
    <row r="25" spans="2:20" ht="15.75" thickBot="1">
      <c r="B25" s="18"/>
      <c r="D25" s="58" t="s">
        <v>609</v>
      </c>
      <c r="E25" s="471">
        <f>Dashboard!D42</f>
        <v>0</v>
      </c>
      <c r="H25" t="s">
        <v>1053</v>
      </c>
      <c r="J25" s="19"/>
    </row>
    <row r="26" spans="2:20" ht="15.75" thickTop="1">
      <c r="B26" s="18"/>
      <c r="D26" t="s">
        <v>625</v>
      </c>
      <c r="E26" s="71">
        <f>_xlfn.XLOOKUP(E21,aMBCMtables!$D$25:$D$37,aMBCMtables!$F$25:$F$37)</f>
        <v>16.27</v>
      </c>
      <c r="J26" s="19"/>
    </row>
    <row r="27" spans="2:20">
      <c r="B27" s="18"/>
      <c r="E27" s="9"/>
      <c r="J27" s="19"/>
    </row>
    <row r="28" spans="2:20">
      <c r="B28" s="18"/>
      <c r="C28" s="4" t="s">
        <v>69</v>
      </c>
      <c r="E28" s="9"/>
      <c r="J28" s="19"/>
    </row>
    <row r="29" spans="2:20" ht="15.75" thickBot="1">
      <c r="B29" s="18"/>
      <c r="D29" t="s">
        <v>86</v>
      </c>
      <c r="E29" s="271">
        <f>Dashboard!D22</f>
        <v>1</v>
      </c>
      <c r="H29" t="s">
        <v>274</v>
      </c>
      <c r="J29" s="19"/>
    </row>
    <row r="30" spans="2:20" ht="16.5" thickTop="1" thickBot="1">
      <c r="B30" s="18"/>
      <c r="D30" t="s">
        <v>268</v>
      </c>
      <c r="E30" s="376" t="str">
        <f>Dashboard!J37</f>
        <v>NZTA_Urban Connectors</v>
      </c>
      <c r="H30" t="s">
        <v>273</v>
      </c>
      <c r="J30" s="19"/>
      <c r="N30" t="s">
        <v>617</v>
      </c>
      <c r="T30" t="s">
        <v>612</v>
      </c>
    </row>
    <row r="31" spans="2:20" ht="16.5" thickTop="1" thickBot="1">
      <c r="B31" s="18"/>
      <c r="D31" t="s">
        <v>95</v>
      </c>
      <c r="E31" s="271">
        <f>Dashboard!D24</f>
        <v>4</v>
      </c>
      <c r="H31" t="s">
        <v>89</v>
      </c>
      <c r="J31" s="19"/>
    </row>
    <row r="32" spans="2:20" ht="16.5" thickTop="1" thickBot="1">
      <c r="B32" s="18"/>
      <c r="D32" t="s">
        <v>88</v>
      </c>
      <c r="E32" s="271">
        <f>Dashboard!D45</f>
        <v>80</v>
      </c>
      <c r="G32" s="41"/>
      <c r="H32" t="s">
        <v>89</v>
      </c>
      <c r="J32" s="19"/>
      <c r="N32" t="s">
        <v>569</v>
      </c>
      <c r="T32" t="s">
        <v>569</v>
      </c>
    </row>
    <row r="33" spans="2:20" ht="15.75" thickTop="1">
      <c r="B33" s="18"/>
      <c r="D33" t="s">
        <v>261</v>
      </c>
      <c r="E33">
        <f>E31-E22</f>
        <v>2</v>
      </c>
      <c r="H33" t="s">
        <v>104</v>
      </c>
      <c r="J33" s="19"/>
    </row>
    <row r="34" spans="2:20">
      <c r="B34" s="18"/>
      <c r="D34" t="s">
        <v>103</v>
      </c>
      <c r="E34" s="26">
        <f>E29*(E31-E22)</f>
        <v>2</v>
      </c>
      <c r="H34" t="s">
        <v>104</v>
      </c>
      <c r="J34" s="19"/>
    </row>
    <row r="35" spans="2:20">
      <c r="B35" s="18"/>
      <c r="D35" t="s">
        <v>263</v>
      </c>
      <c r="E35" s="12">
        <f>Dashboard!D48/E36*60</f>
        <v>0</v>
      </c>
      <c r="H35" t="s">
        <v>620</v>
      </c>
      <c r="J35" s="19"/>
      <c r="N35" t="s">
        <v>607</v>
      </c>
      <c r="T35" t="s">
        <v>607</v>
      </c>
    </row>
    <row r="36" spans="2:20">
      <c r="B36" s="18"/>
      <c r="D36" t="s">
        <v>625</v>
      </c>
      <c r="E36" s="71">
        <f>_xlfn.XLOOKUP(E30,aMBCMtables!$D$25:$D$37,aMBCMtables!$F$25:$F$37)</f>
        <v>16.27</v>
      </c>
      <c r="J36" s="19"/>
    </row>
    <row r="37" spans="2:20">
      <c r="B37" s="18"/>
      <c r="C37" s="4" t="s">
        <v>96</v>
      </c>
      <c r="E37" s="9"/>
      <c r="J37" s="19"/>
    </row>
    <row r="38" spans="2:20">
      <c r="B38" s="18"/>
      <c r="D38" t="s">
        <v>71</v>
      </c>
      <c r="E38" s="12">
        <f>_xlfn.XLOOKUP(D38,aMBCMtables!$D$65:$D$67,aMBCMtables!$G$65:$G$67)</f>
        <v>-0.72272727272727277</v>
      </c>
      <c r="J38" s="19"/>
    </row>
    <row r="39" spans="2:20">
      <c r="B39" s="20"/>
      <c r="C39" s="21"/>
      <c r="D39" s="22"/>
      <c r="E39" s="25"/>
      <c r="F39" s="22"/>
      <c r="G39" s="22"/>
      <c r="H39" s="22"/>
      <c r="I39" s="22"/>
      <c r="J39" s="23"/>
    </row>
    <row r="40" spans="2:20">
      <c r="L40" t="s">
        <v>602</v>
      </c>
    </row>
    <row r="41" spans="2:20">
      <c r="B41" s="4" t="s">
        <v>231</v>
      </c>
      <c r="E41" s="11"/>
    </row>
    <row r="42" spans="2:20">
      <c r="B42" s="15"/>
      <c r="C42" s="16"/>
      <c r="D42" s="16"/>
      <c r="E42" s="16"/>
      <c r="F42" s="16"/>
      <c r="G42" s="16"/>
      <c r="H42" s="16"/>
      <c r="I42" s="16"/>
      <c r="J42" s="17"/>
    </row>
    <row r="43" spans="2:20">
      <c r="B43" s="18"/>
      <c r="C43" s="4" t="s">
        <v>242</v>
      </c>
      <c r="D43" s="47" t="s">
        <v>266</v>
      </c>
      <c r="E43" s="74" t="s">
        <v>238</v>
      </c>
      <c r="F43" s="75"/>
      <c r="G43" s="4" t="s">
        <v>239</v>
      </c>
      <c r="H43" s="4" t="s">
        <v>240</v>
      </c>
      <c r="I43" s="4" t="s">
        <v>241</v>
      </c>
      <c r="J43" s="19"/>
    </row>
    <row r="44" spans="2:20">
      <c r="B44" s="18"/>
      <c r="D44" s="76" t="s">
        <v>244</v>
      </c>
      <c r="E44" s="1">
        <f>IF(Dashboard!D23&gt;0,cConvergenceC1!E43,cConvergenceC2!E43)</f>
        <v>93723.479794847968</v>
      </c>
      <c r="F44" s="77"/>
      <c r="G44" s="1">
        <f>IF(Dashboard!D23&gt;0,cConvergenceC1!T43,cConvergenceC2!T43)</f>
        <v>94045.67391327965</v>
      </c>
      <c r="H44" s="1">
        <f>G44-E44</f>
        <v>322.194118431682</v>
      </c>
      <c r="I44" s="40">
        <f>H44/E44</f>
        <v>3.4377097301224319E-3</v>
      </c>
      <c r="J44" s="19"/>
    </row>
    <row r="45" spans="2:20">
      <c r="B45" s="18"/>
      <c r="D45" s="76" t="s">
        <v>3</v>
      </c>
      <c r="E45" s="1">
        <f>IF(Dashboard!D23&gt;0,cConvergenceC1!E12,cConvergenceC2!E12)</f>
        <v>11642.668297496641</v>
      </c>
      <c r="G45" s="1">
        <f>IF(Dashboard!D23&gt;0,cConvergenceC1!T12,cConvergenceC2!T12)</f>
        <v>11682.692411587534</v>
      </c>
      <c r="H45" s="1">
        <f>G45-E45</f>
        <v>40.024114090892908</v>
      </c>
      <c r="I45" s="40">
        <f>H45/E45</f>
        <v>3.4377097301224952E-3</v>
      </c>
      <c r="J45" s="19"/>
      <c r="K45" t="s">
        <v>246</v>
      </c>
    </row>
    <row r="46" spans="2:20">
      <c r="B46" s="18"/>
      <c r="D46" s="76"/>
      <c r="E46" s="1"/>
      <c r="G46" s="1"/>
      <c r="H46" s="1"/>
      <c r="I46" s="40"/>
      <c r="J46" s="19"/>
      <c r="M46" t="s">
        <v>247</v>
      </c>
    </row>
    <row r="47" spans="2:20">
      <c r="B47" s="18"/>
      <c r="D47" s="78" t="s">
        <v>267</v>
      </c>
      <c r="E47" s="79">
        <f>cVolDelay!D15*cConvergenceC1!$E$54*2</f>
        <v>28800</v>
      </c>
      <c r="F47" s="79"/>
      <c r="G47" s="79">
        <f>cVolDelay!S15*cConvergenceC1!$E$54*2</f>
        <v>68400</v>
      </c>
      <c r="J47" s="19"/>
      <c r="M47" t="s">
        <v>248</v>
      </c>
    </row>
    <row r="48" spans="2:20">
      <c r="B48" s="18"/>
      <c r="C48" s="4"/>
      <c r="D48" s="78" t="s">
        <v>265</v>
      </c>
      <c r="E48" s="80">
        <f>E45/E47</f>
        <v>0.40425931588530001</v>
      </c>
      <c r="G48" s="80">
        <f>G45/G47</f>
        <v>0.17079959666063646</v>
      </c>
      <c r="J48" s="19"/>
      <c r="M48" t="s">
        <v>249</v>
      </c>
    </row>
    <row r="49" spans="1:18">
      <c r="B49" s="18"/>
      <c r="D49" s="76"/>
      <c r="E49" s="81" t="str">
        <f>IF(E48&gt;1,"Do Min Capacity Exceeded!","")</f>
        <v/>
      </c>
      <c r="G49" s="82" t="str">
        <f>IF(G48&gt;1,"Option Capacity Exceeded!","")</f>
        <v/>
      </c>
      <c r="J49" s="19"/>
    </row>
    <row r="50" spans="1:18">
      <c r="B50" s="18"/>
      <c r="D50" s="78" t="s">
        <v>245</v>
      </c>
      <c r="E50" s="74">
        <f>H44</f>
        <v>322.194118431682</v>
      </c>
      <c r="G50" s="26" t="s">
        <v>378</v>
      </c>
      <c r="J50" s="19"/>
    </row>
    <row r="51" spans="1:18">
      <c r="B51" s="18"/>
      <c r="J51" s="19"/>
    </row>
    <row r="52" spans="1:18">
      <c r="B52" s="18"/>
      <c r="C52" s="4"/>
      <c r="J52" s="19"/>
    </row>
    <row r="53" spans="1:18">
      <c r="B53" s="18"/>
      <c r="J53" s="19"/>
    </row>
    <row r="54" spans="1:18">
      <c r="B54" s="18"/>
      <c r="J54" s="19"/>
    </row>
    <row r="55" spans="1:18">
      <c r="B55" s="18"/>
      <c r="J55" s="19"/>
    </row>
    <row r="56" spans="1:18">
      <c r="B56" s="18"/>
      <c r="J56" s="19"/>
    </row>
    <row r="57" spans="1:18">
      <c r="B57" s="18"/>
      <c r="J57" s="19"/>
    </row>
    <row r="58" spans="1:18">
      <c r="B58" s="20"/>
      <c r="C58" s="22"/>
      <c r="D58" s="22"/>
      <c r="E58" s="22"/>
      <c r="F58" s="22"/>
      <c r="G58" s="22"/>
      <c r="H58" s="22"/>
      <c r="I58" s="22"/>
      <c r="J58" s="23"/>
    </row>
    <row r="59" spans="1:18">
      <c r="A59" t="s">
        <v>297</v>
      </c>
    </row>
    <row r="63" spans="1:18">
      <c r="R63" s="5"/>
    </row>
  </sheetData>
  <mergeCells count="1">
    <mergeCell ref="A1:C1"/>
  </mergeCells>
  <hyperlinks>
    <hyperlink ref="A1" location="Dashboard!A1" display="Return to dashboard" xr:uid="{18411564-E54E-42BF-966F-1466CD72A5B8}"/>
    <hyperlink ref="B7" location="cConvergenceC1!A1" display="cConvergence" xr:uid="{EB87BB8E-9D09-4862-A6D0-0C83F39E0027}"/>
    <hyperlink ref="B8" location="cConvergenceC2!A1" display="cConvergenceC2!A1" xr:uid="{7C4AD075-2AC8-4261-BCB9-D9D7E7FA7CA3}"/>
    <hyperlink ref="B9" location="cVolDelay!A1" display="cVolDelay!A1" xr:uid="{0CE2E8C3-07DD-4C28-8AF0-1AB4F09719A3}"/>
    <hyperlink ref="B10" location="aMBCMtables!A1" display="aMBCMtables!A1" xr:uid="{D75A3402-4EA1-4939-A130-6C5A111490FC}"/>
    <hyperlink ref="B11" location="aCASTCI!A1" display="aCASTCI!A1" xr:uid="{9C0738AA-1600-4B2F-BC90-C73DB842CD9F}"/>
    <hyperlink ref="B6" location="nMethod2!A1" display="nMethod2" xr:uid="{D1C29314-3B6A-4E57-9ADF-AA6FF2F7AE26}"/>
    <hyperlink ref="B5" location="Dashboard!A1" display="Dashboard" xr:uid="{25614DB1-46F8-4A6A-8030-B72BC44FD3F7}"/>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F76D86BD-AEFE-4AC5-9C10-D42C58AB9379}">
          <x14:formula1>
            <xm:f>aMBCMtables!$D$65:$D$67</xm:f>
          </x14:formula1>
          <xm:sqref>D38</xm:sqref>
        </x14:dataValidation>
        <x14:dataValidation type="list" allowBlank="1" showInputMessage="1" showErrorMessage="1" xr:uid="{15922415-24C4-4E25-88A3-B8A64145D10D}">
          <x14:formula1>
            <xm:f>aMBCMtables!$E$64:$G$64</xm:f>
          </x14:formula1>
          <xm:sqref>D39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1ABCC-EC55-4781-9959-9049132934DF}">
  <sheetPr codeName="Sheet10">
    <tabColor theme="9" tint="0.79998168889431442"/>
  </sheetPr>
  <dimension ref="A1:W56"/>
  <sheetViews>
    <sheetView workbookViewId="0">
      <selection activeCell="B3" sqref="B3"/>
    </sheetView>
  </sheetViews>
  <sheetFormatPr defaultRowHeight="15" outlineLevelCol="1"/>
  <cols>
    <col min="1" max="1" width="1.5703125" customWidth="1"/>
    <col min="2" max="2" width="28.140625" customWidth="1"/>
    <col min="3" max="3" width="4.42578125" customWidth="1"/>
    <col min="4" max="4" width="13" customWidth="1"/>
    <col min="5" max="5" width="10.42578125" customWidth="1"/>
    <col min="6" max="19" width="10.42578125" customWidth="1" outlineLevel="1"/>
    <col min="20" max="20" width="10.42578125" customWidth="1"/>
  </cols>
  <sheetData>
    <row r="1" spans="1:23">
      <c r="A1" s="515" t="s">
        <v>280</v>
      </c>
      <c r="B1" s="515"/>
    </row>
    <row r="2" spans="1:23">
      <c r="A2" s="295" t="s">
        <v>978</v>
      </c>
    </row>
    <row r="4" spans="1:23" ht="14.45" customHeight="1">
      <c r="B4" s="295"/>
    </row>
    <row r="5" spans="1:23">
      <c r="B5" s="150"/>
    </row>
    <row r="6" spans="1:23">
      <c r="B6" s="278"/>
    </row>
    <row r="8" spans="1:23">
      <c r="B8" s="4" t="s">
        <v>277</v>
      </c>
      <c r="D8" s="4" t="s">
        <v>626</v>
      </c>
    </row>
    <row r="9" spans="1:23">
      <c r="A9" s="46"/>
      <c r="B9" s="16"/>
      <c r="C9" s="16"/>
      <c r="D9" s="16"/>
      <c r="E9" s="16"/>
      <c r="F9" s="16"/>
      <c r="G9" s="16"/>
      <c r="H9" s="16"/>
      <c r="I9" s="16"/>
      <c r="J9" s="16"/>
      <c r="K9" s="16"/>
      <c r="L9" s="16"/>
      <c r="M9" s="16"/>
      <c r="N9" s="16"/>
      <c r="O9" s="16"/>
      <c r="P9" s="16"/>
      <c r="Q9" s="16"/>
      <c r="R9" s="16"/>
      <c r="S9" s="16"/>
      <c r="T9" s="16"/>
      <c r="U9" s="17"/>
    </row>
    <row r="10" spans="1:23">
      <c r="A10" s="18"/>
      <c r="B10" s="4" t="s">
        <v>14</v>
      </c>
      <c r="C10" s="4" t="s">
        <v>15</v>
      </c>
      <c r="D10" s="4" t="s">
        <v>0</v>
      </c>
      <c r="E10" s="8" t="s">
        <v>243</v>
      </c>
      <c r="F10" s="530" t="s">
        <v>239</v>
      </c>
      <c r="G10" s="530"/>
      <c r="H10" s="530"/>
      <c r="I10" s="530"/>
      <c r="J10" s="530"/>
      <c r="K10" s="530"/>
      <c r="L10" s="530"/>
      <c r="M10" s="530"/>
      <c r="N10" s="530"/>
      <c r="O10" s="530"/>
      <c r="P10" s="530"/>
      <c r="Q10" s="530"/>
      <c r="R10" s="530"/>
      <c r="S10" s="530"/>
      <c r="T10" s="530"/>
      <c r="U10" s="48"/>
      <c r="V10" s="8"/>
      <c r="W10" s="8"/>
    </row>
    <row r="11" spans="1:23">
      <c r="A11" s="18"/>
      <c r="B11" t="s">
        <v>232</v>
      </c>
      <c r="E11">
        <v>0</v>
      </c>
      <c r="F11">
        <f t="shared" ref="F11:T11" si="0">E11+1</f>
        <v>1</v>
      </c>
      <c r="G11">
        <f t="shared" si="0"/>
        <v>2</v>
      </c>
      <c r="H11">
        <f t="shared" si="0"/>
        <v>3</v>
      </c>
      <c r="I11">
        <f t="shared" si="0"/>
        <v>4</v>
      </c>
      <c r="J11">
        <f t="shared" si="0"/>
        <v>5</v>
      </c>
      <c r="K11">
        <f t="shared" si="0"/>
        <v>6</v>
      </c>
      <c r="L11">
        <f t="shared" si="0"/>
        <v>7</v>
      </c>
      <c r="M11">
        <f t="shared" si="0"/>
        <v>8</v>
      </c>
      <c r="N11">
        <f t="shared" si="0"/>
        <v>9</v>
      </c>
      <c r="O11">
        <f t="shared" si="0"/>
        <v>10</v>
      </c>
      <c r="P11">
        <f t="shared" si="0"/>
        <v>11</v>
      </c>
      <c r="Q11">
        <f t="shared" si="0"/>
        <v>12</v>
      </c>
      <c r="R11">
        <f t="shared" si="0"/>
        <v>13</v>
      </c>
      <c r="S11">
        <f t="shared" si="0"/>
        <v>14</v>
      </c>
      <c r="T11">
        <f t="shared" si="0"/>
        <v>15</v>
      </c>
      <c r="U11" s="19"/>
    </row>
    <row r="12" spans="1:23">
      <c r="A12" s="18"/>
      <c r="B12" t="s">
        <v>264</v>
      </c>
      <c r="C12" t="s">
        <v>3</v>
      </c>
      <c r="D12" t="s">
        <v>63</v>
      </c>
      <c r="E12" s="24">
        <f>cGC!E19</f>
        <v>11642.668297496641</v>
      </c>
      <c r="F12" s="1">
        <f>E12</f>
        <v>11642.668297496641</v>
      </c>
      <c r="G12" s="1">
        <f>F12+F41</f>
        <v>11682.701313336242</v>
      </c>
      <c r="H12" s="1">
        <f t="shared" ref="H12:T12" si="1">G12+G41</f>
        <v>11682.692409595793</v>
      </c>
      <c r="I12" s="1">
        <f t="shared" si="1"/>
        <v>11682.692411587979</v>
      </c>
      <c r="J12" s="1">
        <f t="shared" si="1"/>
        <v>11682.692411587534</v>
      </c>
      <c r="K12" s="1">
        <f t="shared" si="1"/>
        <v>11682.692411587534</v>
      </c>
      <c r="L12" s="1">
        <f t="shared" si="1"/>
        <v>11682.692411587534</v>
      </c>
      <c r="M12" s="1">
        <f t="shared" si="1"/>
        <v>11682.692411587534</v>
      </c>
      <c r="N12" s="1">
        <f t="shared" si="1"/>
        <v>11682.692411587534</v>
      </c>
      <c r="O12" s="1">
        <f t="shared" si="1"/>
        <v>11682.692411587534</v>
      </c>
      <c r="P12" s="1">
        <f t="shared" si="1"/>
        <v>11682.692411587534</v>
      </c>
      <c r="Q12" s="1">
        <f t="shared" si="1"/>
        <v>11682.692411587534</v>
      </c>
      <c r="R12" s="1">
        <f t="shared" si="1"/>
        <v>11682.692411587534</v>
      </c>
      <c r="S12" s="1">
        <f t="shared" si="1"/>
        <v>11682.692411587534</v>
      </c>
      <c r="T12" s="1">
        <f t="shared" si="1"/>
        <v>11682.692411587534</v>
      </c>
      <c r="U12" s="49"/>
      <c r="V12" s="1"/>
      <c r="W12" s="1"/>
    </row>
    <row r="13" spans="1:23">
      <c r="A13" s="18"/>
      <c r="B13" t="s">
        <v>24</v>
      </c>
      <c r="C13" t="s">
        <v>27</v>
      </c>
      <c r="D13" t="s">
        <v>1</v>
      </c>
      <c r="E13">
        <f>F13</f>
        <v>1</v>
      </c>
      <c r="F13" s="9">
        <f>cGC!E29</f>
        <v>1</v>
      </c>
      <c r="G13">
        <f t="shared" ref="G13:T13" si="2">F13</f>
        <v>1</v>
      </c>
      <c r="H13">
        <f t="shared" si="2"/>
        <v>1</v>
      </c>
      <c r="I13">
        <f t="shared" si="2"/>
        <v>1</v>
      </c>
      <c r="J13">
        <f t="shared" si="2"/>
        <v>1</v>
      </c>
      <c r="K13">
        <f t="shared" si="2"/>
        <v>1</v>
      </c>
      <c r="L13">
        <f t="shared" si="2"/>
        <v>1</v>
      </c>
      <c r="M13">
        <f t="shared" si="2"/>
        <v>1</v>
      </c>
      <c r="N13">
        <f t="shared" si="2"/>
        <v>1</v>
      </c>
      <c r="O13">
        <f t="shared" si="2"/>
        <v>1</v>
      </c>
      <c r="P13">
        <f t="shared" si="2"/>
        <v>1</v>
      </c>
      <c r="Q13">
        <f t="shared" si="2"/>
        <v>1</v>
      </c>
      <c r="R13">
        <f t="shared" si="2"/>
        <v>1</v>
      </c>
      <c r="S13">
        <f t="shared" si="2"/>
        <v>1</v>
      </c>
      <c r="T13">
        <f t="shared" si="2"/>
        <v>1</v>
      </c>
      <c r="U13" s="19"/>
    </row>
    <row r="14" spans="1:23">
      <c r="A14" s="18"/>
      <c r="B14" t="s">
        <v>25</v>
      </c>
      <c r="C14" t="s">
        <v>19</v>
      </c>
      <c r="D14" t="s">
        <v>2</v>
      </c>
      <c r="E14" s="50">
        <f>IFERROR(cVolDelay!D21,cGC!E23)</f>
        <v>66.01141091097162</v>
      </c>
      <c r="F14" s="50">
        <f>IFERROR(cVolDelay!E21,cGC!$E$32)</f>
        <v>81.79603827875728</v>
      </c>
      <c r="G14" s="50">
        <f>IFERROR(cVolDelay!F21,cGC!$E$32)</f>
        <v>81.792871326743395</v>
      </c>
      <c r="H14" s="50">
        <f>IFERROR(cVolDelay!G21,cGC!$E$32)</f>
        <v>81.792872035313749</v>
      </c>
      <c r="I14" s="50">
        <f>IFERROR(cVolDelay!H21,cGC!$E$32)</f>
        <v>81.792872035155213</v>
      </c>
      <c r="J14" s="50">
        <f>IFERROR(cVolDelay!I21,cGC!$E$32)</f>
        <v>81.792872035155256</v>
      </c>
      <c r="K14" s="50">
        <f>IFERROR(cVolDelay!J21,cGC!$E$32)</f>
        <v>81.792872035155256</v>
      </c>
      <c r="L14" s="50">
        <f>IFERROR(cVolDelay!K21,cGC!$E$32)</f>
        <v>81.792872035155256</v>
      </c>
      <c r="M14" s="50">
        <f>IFERROR(cVolDelay!L21,cGC!$E$32)</f>
        <v>81.792872035155256</v>
      </c>
      <c r="N14" s="50">
        <f>IFERROR(cVolDelay!M21,cGC!$E$32)</f>
        <v>81.792872035155256</v>
      </c>
      <c r="O14" s="50">
        <f>IFERROR(cVolDelay!N21,cGC!$E$32)</f>
        <v>81.792872035155256</v>
      </c>
      <c r="P14" s="50">
        <f>IFERROR(cVolDelay!O21,cGC!$E$32)</f>
        <v>81.792872035155256</v>
      </c>
      <c r="Q14" s="50">
        <f>IFERROR(cVolDelay!P21,cGC!$E$32)</f>
        <v>81.792872035155256</v>
      </c>
      <c r="R14" s="50">
        <f>IFERROR(cVolDelay!Q21,cGC!$E$32)</f>
        <v>81.792872035155256</v>
      </c>
      <c r="S14" s="50">
        <f>IFERROR(cVolDelay!R21,cGC!$E$32)</f>
        <v>81.792872035155256</v>
      </c>
      <c r="T14" s="50">
        <f>IFERROR(cVolDelay!S21,cGC!$E$32)</f>
        <v>81.792872035155256</v>
      </c>
      <c r="U14" s="51"/>
      <c r="V14" s="37"/>
      <c r="W14" s="37"/>
    </row>
    <row r="15" spans="1:23">
      <c r="A15" s="18"/>
      <c r="B15" t="s">
        <v>26</v>
      </c>
      <c r="C15" t="s">
        <v>28</v>
      </c>
      <c r="D15" t="s">
        <v>38</v>
      </c>
      <c r="E15" s="10">
        <f>_xlfn.XLOOKUP(E14,aMBCMtables!$D$49:$D$53,aMBCMtables!$G$49:$G$53,,-1)</f>
        <v>33.349999999999994</v>
      </c>
      <c r="F15" s="10">
        <f>_xlfn.XLOOKUP(F14,aMBCMtables!$D$49:$D$53,aMBCMtables!$G$49:$G$53,,-1)</f>
        <v>34.614999999999995</v>
      </c>
      <c r="G15" s="10">
        <f>_xlfn.XLOOKUP(G14,aMBCMtables!$D$49:$D$53,aMBCMtables!$G$49:$G$53,,-1)</f>
        <v>34.614999999999995</v>
      </c>
      <c r="H15" s="10">
        <f>_xlfn.XLOOKUP(H14,aMBCMtables!$D$49:$D$53,aMBCMtables!$G$49:$G$53,,-1)</f>
        <v>34.614999999999995</v>
      </c>
      <c r="I15" s="10">
        <f>_xlfn.XLOOKUP(I14,aMBCMtables!$D$49:$D$53,aMBCMtables!$G$49:$G$53,,-1)</f>
        <v>34.614999999999995</v>
      </c>
      <c r="J15" s="10">
        <f>_xlfn.XLOOKUP(J14,aMBCMtables!$D$49:$D$53,aMBCMtables!$G$49:$G$53,,-1)</f>
        <v>34.614999999999995</v>
      </c>
      <c r="K15" s="10">
        <f>_xlfn.XLOOKUP(K14,aMBCMtables!$D$49:$D$53,aMBCMtables!$G$49:$G$53,,-1)</f>
        <v>34.614999999999995</v>
      </c>
      <c r="L15" s="10">
        <f>_xlfn.XLOOKUP(L14,aMBCMtables!$D$49:$D$53,aMBCMtables!$G$49:$G$53,,-1)</f>
        <v>34.614999999999995</v>
      </c>
      <c r="M15" s="10">
        <f>_xlfn.XLOOKUP(M14,aMBCMtables!$D$49:$D$53,aMBCMtables!$G$49:$G$53,,-1)</f>
        <v>34.614999999999995</v>
      </c>
      <c r="N15" s="10">
        <f>_xlfn.XLOOKUP(N14,aMBCMtables!$D$49:$D$53,aMBCMtables!$G$49:$G$53,,-1)</f>
        <v>34.614999999999995</v>
      </c>
      <c r="O15" s="10">
        <f>_xlfn.XLOOKUP(O14,aMBCMtables!$D$49:$D$53,aMBCMtables!$G$49:$G$53,,-1)</f>
        <v>34.614999999999995</v>
      </c>
      <c r="P15" s="10">
        <f>_xlfn.XLOOKUP(P14,aMBCMtables!$D$49:$D$53,aMBCMtables!$G$49:$G$53,,-1)</f>
        <v>34.614999999999995</v>
      </c>
      <c r="Q15" s="10">
        <f>_xlfn.XLOOKUP(Q14,aMBCMtables!$D$49:$D$53,aMBCMtables!$G$49:$G$53,,-1)</f>
        <v>34.614999999999995</v>
      </c>
      <c r="R15" s="10">
        <f>_xlfn.XLOOKUP(R14,aMBCMtables!$D$49:$D$53,aMBCMtables!$G$49:$G$53,,-1)</f>
        <v>34.614999999999995</v>
      </c>
      <c r="S15" s="10">
        <f>_xlfn.XLOOKUP(S14,aMBCMtables!$D$49:$D$53,aMBCMtables!$G$49:$G$53,,-1)</f>
        <v>34.614999999999995</v>
      </c>
      <c r="T15" s="10">
        <f>_xlfn.XLOOKUP(T14,aMBCMtables!$D$49:$D$53,aMBCMtables!$G$49:$G$53,,-1)</f>
        <v>34.614999999999995</v>
      </c>
      <c r="U15" s="52"/>
      <c r="V15" s="10"/>
      <c r="W15" s="10"/>
    </row>
    <row r="16" spans="1:23">
      <c r="A16" s="18"/>
      <c r="E16" s="10"/>
      <c r="F16" s="10"/>
      <c r="G16" s="7"/>
      <c r="H16" s="7"/>
      <c r="I16" s="7"/>
      <c r="J16" s="7"/>
      <c r="K16" s="7"/>
      <c r="L16" s="7"/>
      <c r="M16" s="7"/>
      <c r="N16" s="7"/>
      <c r="O16" s="7"/>
      <c r="P16" s="7"/>
      <c r="Q16" s="7"/>
      <c r="R16" s="7"/>
      <c r="S16" s="7"/>
      <c r="T16" s="7"/>
      <c r="U16" s="53"/>
      <c r="V16" s="7"/>
      <c r="W16" s="7"/>
    </row>
    <row r="17" spans="1:23">
      <c r="A17" s="18"/>
      <c r="U17" s="19"/>
    </row>
    <row r="18" spans="1:23">
      <c r="A18" s="18"/>
      <c r="B18" t="s">
        <v>33</v>
      </c>
      <c r="C18" t="s">
        <v>29</v>
      </c>
      <c r="D18" t="s">
        <v>7</v>
      </c>
      <c r="E18" s="2">
        <f>E13/E14*60</f>
        <v>0.908933761178365</v>
      </c>
      <c r="F18" s="2">
        <f t="shared" ref="F18:T18" si="3">F13/F14*60</f>
        <v>0.73353185878664018</v>
      </c>
      <c r="G18" s="2">
        <f t="shared" si="3"/>
        <v>0.73356026053070111</v>
      </c>
      <c r="H18" s="2">
        <f t="shared" si="3"/>
        <v>0.73356025417588022</v>
      </c>
      <c r="I18" s="2">
        <f t="shared" si="3"/>
        <v>0.73356025417730208</v>
      </c>
      <c r="J18" s="2">
        <f t="shared" si="3"/>
        <v>0.73356025417730164</v>
      </c>
      <c r="K18" s="2">
        <f t="shared" si="3"/>
        <v>0.73356025417730164</v>
      </c>
      <c r="L18" s="2">
        <f t="shared" si="3"/>
        <v>0.73356025417730164</v>
      </c>
      <c r="M18" s="2">
        <f t="shared" si="3"/>
        <v>0.73356025417730164</v>
      </c>
      <c r="N18" s="2">
        <f t="shared" si="3"/>
        <v>0.73356025417730164</v>
      </c>
      <c r="O18" s="2">
        <f t="shared" si="3"/>
        <v>0.73356025417730164</v>
      </c>
      <c r="P18" s="2">
        <f t="shared" si="3"/>
        <v>0.73356025417730164</v>
      </c>
      <c r="Q18" s="2">
        <f t="shared" si="3"/>
        <v>0.73356025417730164</v>
      </c>
      <c r="R18" s="2">
        <f t="shared" si="3"/>
        <v>0.73356025417730164</v>
      </c>
      <c r="S18" s="2">
        <f t="shared" si="3"/>
        <v>0.73356025417730164</v>
      </c>
      <c r="T18" s="2">
        <f t="shared" si="3"/>
        <v>0.73356025417730164</v>
      </c>
      <c r="U18" s="54"/>
      <c r="V18" s="2"/>
      <c r="W18" s="2"/>
    </row>
    <row r="19" spans="1:23">
      <c r="A19" s="18"/>
      <c r="B19" t="s">
        <v>30</v>
      </c>
      <c r="C19" t="s">
        <v>39</v>
      </c>
      <c r="D19" t="s">
        <v>32</v>
      </c>
      <c r="E19" s="55">
        <f t="shared" ref="E19:T19" si="4">E13*E15/100</f>
        <v>0.33349999999999996</v>
      </c>
      <c r="F19" s="55">
        <f t="shared" si="4"/>
        <v>0.34614999999999996</v>
      </c>
      <c r="G19" s="55">
        <f t="shared" si="4"/>
        <v>0.34614999999999996</v>
      </c>
      <c r="H19" s="55">
        <f t="shared" si="4"/>
        <v>0.34614999999999996</v>
      </c>
      <c r="I19" s="55">
        <f t="shared" si="4"/>
        <v>0.34614999999999996</v>
      </c>
      <c r="J19" s="55">
        <f t="shared" si="4"/>
        <v>0.34614999999999996</v>
      </c>
      <c r="K19" s="55">
        <f t="shared" si="4"/>
        <v>0.34614999999999996</v>
      </c>
      <c r="L19" s="55">
        <f t="shared" si="4"/>
        <v>0.34614999999999996</v>
      </c>
      <c r="M19" s="55">
        <f t="shared" si="4"/>
        <v>0.34614999999999996</v>
      </c>
      <c r="N19" s="55">
        <f t="shared" si="4"/>
        <v>0.34614999999999996</v>
      </c>
      <c r="O19" s="55">
        <f t="shared" si="4"/>
        <v>0.34614999999999996</v>
      </c>
      <c r="P19" s="55">
        <f t="shared" si="4"/>
        <v>0.34614999999999996</v>
      </c>
      <c r="Q19" s="55">
        <f t="shared" si="4"/>
        <v>0.34614999999999996</v>
      </c>
      <c r="R19" s="55">
        <f t="shared" si="4"/>
        <v>0.34614999999999996</v>
      </c>
      <c r="S19" s="55">
        <f t="shared" si="4"/>
        <v>0.34614999999999996</v>
      </c>
      <c r="T19" s="55">
        <f t="shared" si="4"/>
        <v>0.34614999999999996</v>
      </c>
      <c r="U19" s="56"/>
      <c r="V19" s="11"/>
      <c r="W19" s="11"/>
    </row>
    <row r="20" spans="1:23">
      <c r="A20" s="18"/>
      <c r="B20" t="s">
        <v>34</v>
      </c>
      <c r="C20" t="s">
        <v>31</v>
      </c>
      <c r="D20" t="s">
        <v>7</v>
      </c>
      <c r="E20" s="2">
        <f>E19/$E$52*60</f>
        <v>1.2298709280885063</v>
      </c>
      <c r="F20" s="2">
        <f t="shared" ref="F20:T20" si="5">F19/$E$52*60</f>
        <v>1.2765212046711738</v>
      </c>
      <c r="G20" s="2">
        <f t="shared" si="5"/>
        <v>1.2765212046711738</v>
      </c>
      <c r="H20" s="2">
        <f t="shared" si="5"/>
        <v>1.2765212046711738</v>
      </c>
      <c r="I20" s="2">
        <f t="shared" si="5"/>
        <v>1.2765212046711738</v>
      </c>
      <c r="J20" s="2">
        <f t="shared" si="5"/>
        <v>1.2765212046711738</v>
      </c>
      <c r="K20" s="2">
        <f t="shared" si="5"/>
        <v>1.2765212046711738</v>
      </c>
      <c r="L20" s="2">
        <f t="shared" si="5"/>
        <v>1.2765212046711738</v>
      </c>
      <c r="M20" s="2">
        <f t="shared" si="5"/>
        <v>1.2765212046711738</v>
      </c>
      <c r="N20" s="2">
        <f t="shared" si="5"/>
        <v>1.2765212046711738</v>
      </c>
      <c r="O20" s="2">
        <f t="shared" si="5"/>
        <v>1.2765212046711738</v>
      </c>
      <c r="P20" s="2">
        <f t="shared" si="5"/>
        <v>1.2765212046711738</v>
      </c>
      <c r="Q20" s="2">
        <f t="shared" si="5"/>
        <v>1.2765212046711738</v>
      </c>
      <c r="R20" s="2">
        <f t="shared" si="5"/>
        <v>1.2765212046711738</v>
      </c>
      <c r="S20" s="2">
        <f t="shared" si="5"/>
        <v>1.2765212046711738</v>
      </c>
      <c r="T20" s="2">
        <f t="shared" si="5"/>
        <v>1.2765212046711738</v>
      </c>
      <c r="U20" s="54"/>
      <c r="V20" s="2"/>
      <c r="W20" s="2"/>
    </row>
    <row r="21" spans="1:23">
      <c r="A21" s="18"/>
      <c r="B21" t="s">
        <v>42</v>
      </c>
      <c r="C21" t="s">
        <v>43</v>
      </c>
      <c r="D21" t="s">
        <v>7</v>
      </c>
      <c r="E21" s="12">
        <f>cGC!E24</f>
        <v>0</v>
      </c>
      <c r="F21" s="12">
        <f>cGC!E35</f>
        <v>0</v>
      </c>
      <c r="G21" s="34">
        <f t="shared" ref="G21:T21" si="6">F21</f>
        <v>0</v>
      </c>
      <c r="H21" s="34">
        <f t="shared" si="6"/>
        <v>0</v>
      </c>
      <c r="I21" s="34">
        <f t="shared" si="6"/>
        <v>0</v>
      </c>
      <c r="J21" s="34">
        <f t="shared" si="6"/>
        <v>0</v>
      </c>
      <c r="K21" s="34">
        <f t="shared" si="6"/>
        <v>0</v>
      </c>
      <c r="L21" s="34">
        <f t="shared" si="6"/>
        <v>0</v>
      </c>
      <c r="M21" s="34">
        <f t="shared" si="6"/>
        <v>0</v>
      </c>
      <c r="N21" s="34">
        <f t="shared" si="6"/>
        <v>0</v>
      </c>
      <c r="O21" s="34">
        <f t="shared" si="6"/>
        <v>0</v>
      </c>
      <c r="P21" s="34">
        <f t="shared" si="6"/>
        <v>0</v>
      </c>
      <c r="Q21" s="34">
        <f t="shared" si="6"/>
        <v>0</v>
      </c>
      <c r="R21" s="34">
        <f t="shared" si="6"/>
        <v>0</v>
      </c>
      <c r="S21" s="34">
        <f t="shared" si="6"/>
        <v>0</v>
      </c>
      <c r="T21" s="34">
        <f t="shared" si="6"/>
        <v>0</v>
      </c>
      <c r="U21" s="57"/>
      <c r="V21" s="12"/>
      <c r="W21" s="12"/>
    </row>
    <row r="22" spans="1:23">
      <c r="A22" s="18"/>
      <c r="B22" t="s">
        <v>40</v>
      </c>
      <c r="C22" t="s">
        <v>41</v>
      </c>
      <c r="D22" t="s">
        <v>7</v>
      </c>
      <c r="E22" s="2">
        <f t="shared" ref="E22:T22" si="7">E18+E20+E21</f>
        <v>2.1388046892668715</v>
      </c>
      <c r="F22" s="2">
        <f t="shared" si="7"/>
        <v>2.0100530634578142</v>
      </c>
      <c r="G22" s="2">
        <f t="shared" si="7"/>
        <v>2.0100814652018748</v>
      </c>
      <c r="H22" s="2">
        <f t="shared" si="7"/>
        <v>2.0100814588470541</v>
      </c>
      <c r="I22" s="2">
        <f t="shared" si="7"/>
        <v>2.0100814588484761</v>
      </c>
      <c r="J22" s="2">
        <f t="shared" si="7"/>
        <v>2.0100814588484752</v>
      </c>
      <c r="K22" s="2">
        <f t="shared" si="7"/>
        <v>2.0100814588484752</v>
      </c>
      <c r="L22" s="2">
        <f t="shared" si="7"/>
        <v>2.0100814588484752</v>
      </c>
      <c r="M22" s="2">
        <f t="shared" si="7"/>
        <v>2.0100814588484752</v>
      </c>
      <c r="N22" s="2">
        <f t="shared" si="7"/>
        <v>2.0100814588484752</v>
      </c>
      <c r="O22" s="2">
        <f t="shared" si="7"/>
        <v>2.0100814588484752</v>
      </c>
      <c r="P22" s="2">
        <f t="shared" si="7"/>
        <v>2.0100814588484752</v>
      </c>
      <c r="Q22" s="2">
        <f t="shared" si="7"/>
        <v>2.0100814588484752</v>
      </c>
      <c r="R22" s="2">
        <f t="shared" si="7"/>
        <v>2.0100814588484752</v>
      </c>
      <c r="S22" s="2">
        <f t="shared" si="7"/>
        <v>2.0100814588484752</v>
      </c>
      <c r="T22" s="2">
        <f t="shared" si="7"/>
        <v>2.0100814588484752</v>
      </c>
      <c r="U22" s="54"/>
      <c r="V22" s="2"/>
      <c r="W22" s="2"/>
    </row>
    <row r="23" spans="1:23">
      <c r="A23" s="18"/>
      <c r="U23" s="19"/>
    </row>
    <row r="24" spans="1:23">
      <c r="A24" s="18"/>
      <c r="B24" t="s">
        <v>66</v>
      </c>
      <c r="C24" t="s">
        <v>67</v>
      </c>
      <c r="D24" t="s">
        <v>1</v>
      </c>
      <c r="E24">
        <f>E30-E13</f>
        <v>7.0500000000000007</v>
      </c>
      <c r="F24" s="58">
        <f t="shared" ref="F24:T24" si="8">F30-F13</f>
        <v>7.0500000000000007</v>
      </c>
      <c r="G24" s="34">
        <f t="shared" si="8"/>
        <v>7.0500000000000007</v>
      </c>
      <c r="H24" s="34">
        <f t="shared" si="8"/>
        <v>7.0500000000000007</v>
      </c>
      <c r="I24" s="34">
        <f t="shared" si="8"/>
        <v>7.0500000000000007</v>
      </c>
      <c r="J24" s="34">
        <f t="shared" si="8"/>
        <v>7.0500000000000007</v>
      </c>
      <c r="K24" s="34">
        <f t="shared" si="8"/>
        <v>7.0500000000000007</v>
      </c>
      <c r="L24" s="34">
        <f t="shared" si="8"/>
        <v>7.0500000000000007</v>
      </c>
      <c r="M24" s="34">
        <f t="shared" si="8"/>
        <v>7.0500000000000007</v>
      </c>
      <c r="N24" s="34">
        <f t="shared" si="8"/>
        <v>7.0500000000000007</v>
      </c>
      <c r="O24" s="34">
        <f t="shared" si="8"/>
        <v>7.0500000000000007</v>
      </c>
      <c r="P24" s="34">
        <f t="shared" si="8"/>
        <v>7.0500000000000007</v>
      </c>
      <c r="Q24" s="34">
        <f t="shared" si="8"/>
        <v>7.0500000000000007</v>
      </c>
      <c r="R24" s="34">
        <f t="shared" si="8"/>
        <v>7.0500000000000007</v>
      </c>
      <c r="S24" s="34">
        <f t="shared" si="8"/>
        <v>7.0500000000000007</v>
      </c>
      <c r="T24" s="34">
        <f t="shared" si="8"/>
        <v>7.0500000000000007</v>
      </c>
      <c r="U24" s="59"/>
      <c r="V24" s="34"/>
      <c r="W24" s="34"/>
    </row>
    <row r="25" spans="1:23">
      <c r="A25" s="18"/>
      <c r="B25" t="s">
        <v>48</v>
      </c>
      <c r="C25" t="s">
        <v>44</v>
      </c>
      <c r="D25" t="s">
        <v>7</v>
      </c>
      <c r="E25" s="2">
        <f>E24/E32*60</f>
        <v>14.100000000000001</v>
      </c>
      <c r="F25" s="34">
        <f t="shared" ref="F25:T25" si="9">E25</f>
        <v>14.100000000000001</v>
      </c>
      <c r="G25" s="34">
        <f t="shared" si="9"/>
        <v>14.100000000000001</v>
      </c>
      <c r="H25" s="34">
        <f t="shared" si="9"/>
        <v>14.100000000000001</v>
      </c>
      <c r="I25" s="34">
        <f t="shared" si="9"/>
        <v>14.100000000000001</v>
      </c>
      <c r="J25" s="34">
        <f t="shared" si="9"/>
        <v>14.100000000000001</v>
      </c>
      <c r="K25" s="34">
        <f t="shared" si="9"/>
        <v>14.100000000000001</v>
      </c>
      <c r="L25" s="34">
        <f t="shared" si="9"/>
        <v>14.100000000000001</v>
      </c>
      <c r="M25" s="34">
        <f t="shared" si="9"/>
        <v>14.100000000000001</v>
      </c>
      <c r="N25" s="34">
        <f t="shared" si="9"/>
        <v>14.100000000000001</v>
      </c>
      <c r="O25" s="34">
        <f t="shared" si="9"/>
        <v>14.100000000000001</v>
      </c>
      <c r="P25" s="34">
        <f t="shared" si="9"/>
        <v>14.100000000000001</v>
      </c>
      <c r="Q25" s="34">
        <f t="shared" si="9"/>
        <v>14.100000000000001</v>
      </c>
      <c r="R25" s="34">
        <f t="shared" si="9"/>
        <v>14.100000000000001</v>
      </c>
      <c r="S25" s="34">
        <f t="shared" si="9"/>
        <v>14.100000000000001</v>
      </c>
      <c r="T25" s="34">
        <f t="shared" si="9"/>
        <v>14.100000000000001</v>
      </c>
      <c r="U25" s="59"/>
      <c r="V25" s="34"/>
      <c r="W25" s="34"/>
    </row>
    <row r="26" spans="1:23">
      <c r="A26" s="18"/>
      <c r="B26" t="s">
        <v>49</v>
      </c>
      <c r="C26" t="s">
        <v>45</v>
      </c>
      <c r="D26" t="s">
        <v>32</v>
      </c>
      <c r="E26" s="55">
        <f>(E30-E13)*E33/100</f>
        <v>2.9349149999999997</v>
      </c>
      <c r="F26" s="60">
        <f t="shared" ref="F26:T26" si="10">E26</f>
        <v>2.9349149999999997</v>
      </c>
      <c r="G26" s="60">
        <f t="shared" si="10"/>
        <v>2.9349149999999997</v>
      </c>
      <c r="H26" s="60">
        <f t="shared" si="10"/>
        <v>2.9349149999999997</v>
      </c>
      <c r="I26" s="60">
        <f t="shared" si="10"/>
        <v>2.9349149999999997</v>
      </c>
      <c r="J26" s="60">
        <f t="shared" si="10"/>
        <v>2.9349149999999997</v>
      </c>
      <c r="K26" s="60">
        <f t="shared" si="10"/>
        <v>2.9349149999999997</v>
      </c>
      <c r="L26" s="60">
        <f t="shared" si="10"/>
        <v>2.9349149999999997</v>
      </c>
      <c r="M26" s="60">
        <f t="shared" si="10"/>
        <v>2.9349149999999997</v>
      </c>
      <c r="N26" s="60">
        <f t="shared" si="10"/>
        <v>2.9349149999999997</v>
      </c>
      <c r="O26" s="60">
        <f t="shared" si="10"/>
        <v>2.9349149999999997</v>
      </c>
      <c r="P26" s="60">
        <f t="shared" si="10"/>
        <v>2.9349149999999997</v>
      </c>
      <c r="Q26" s="60">
        <f t="shared" si="10"/>
        <v>2.9349149999999997</v>
      </c>
      <c r="R26" s="60">
        <f t="shared" si="10"/>
        <v>2.9349149999999997</v>
      </c>
      <c r="S26" s="60">
        <f t="shared" si="10"/>
        <v>2.9349149999999997</v>
      </c>
      <c r="T26" s="60">
        <f t="shared" si="10"/>
        <v>2.9349149999999997</v>
      </c>
      <c r="U26" s="61"/>
      <c r="V26" s="35"/>
      <c r="W26" s="35"/>
    </row>
    <row r="27" spans="1:23">
      <c r="A27" s="18"/>
      <c r="B27" t="s">
        <v>50</v>
      </c>
      <c r="C27" t="s">
        <v>46</v>
      </c>
      <c r="D27" t="s">
        <v>7</v>
      </c>
      <c r="E27" s="2">
        <f>E26/$E$52*60</f>
        <v>10.823288260602336</v>
      </c>
      <c r="F27" s="34">
        <f t="shared" ref="F27:T27" si="11">E27</f>
        <v>10.823288260602336</v>
      </c>
      <c r="G27" s="34">
        <f t="shared" si="11"/>
        <v>10.823288260602336</v>
      </c>
      <c r="H27" s="34">
        <f t="shared" si="11"/>
        <v>10.823288260602336</v>
      </c>
      <c r="I27" s="34">
        <f t="shared" si="11"/>
        <v>10.823288260602336</v>
      </c>
      <c r="J27" s="34">
        <f t="shared" si="11"/>
        <v>10.823288260602336</v>
      </c>
      <c r="K27" s="34">
        <f t="shared" si="11"/>
        <v>10.823288260602336</v>
      </c>
      <c r="L27" s="34">
        <f t="shared" si="11"/>
        <v>10.823288260602336</v>
      </c>
      <c r="M27" s="34">
        <f t="shared" si="11"/>
        <v>10.823288260602336</v>
      </c>
      <c r="N27" s="34">
        <f t="shared" si="11"/>
        <v>10.823288260602336</v>
      </c>
      <c r="O27" s="34">
        <f t="shared" si="11"/>
        <v>10.823288260602336</v>
      </c>
      <c r="P27" s="34">
        <f t="shared" si="11"/>
        <v>10.823288260602336</v>
      </c>
      <c r="Q27" s="34">
        <f t="shared" si="11"/>
        <v>10.823288260602336</v>
      </c>
      <c r="R27" s="34">
        <f t="shared" si="11"/>
        <v>10.823288260602336</v>
      </c>
      <c r="S27" s="34">
        <f t="shared" si="11"/>
        <v>10.823288260602336</v>
      </c>
      <c r="T27" s="34">
        <f t="shared" si="11"/>
        <v>10.823288260602336</v>
      </c>
      <c r="U27" s="59"/>
      <c r="V27" s="34"/>
      <c r="W27" s="34"/>
    </row>
    <row r="28" spans="1:23">
      <c r="A28" s="18"/>
      <c r="B28" t="s">
        <v>51</v>
      </c>
      <c r="C28" t="s">
        <v>47</v>
      </c>
      <c r="D28" t="s">
        <v>7</v>
      </c>
      <c r="E28" s="2">
        <f>E25+E27</f>
        <v>24.923288260602337</v>
      </c>
      <c r="F28" s="34">
        <f t="shared" ref="F28:T28" si="12">E28</f>
        <v>24.923288260602337</v>
      </c>
      <c r="G28" s="34">
        <f t="shared" si="12"/>
        <v>24.923288260602337</v>
      </c>
      <c r="H28" s="34">
        <f t="shared" si="12"/>
        <v>24.923288260602337</v>
      </c>
      <c r="I28" s="34">
        <f t="shared" si="12"/>
        <v>24.923288260602337</v>
      </c>
      <c r="J28" s="34">
        <f t="shared" si="12"/>
        <v>24.923288260602337</v>
      </c>
      <c r="K28" s="34">
        <f t="shared" si="12"/>
        <v>24.923288260602337</v>
      </c>
      <c r="L28" s="34">
        <f t="shared" si="12"/>
        <v>24.923288260602337</v>
      </c>
      <c r="M28" s="34">
        <f t="shared" si="12"/>
        <v>24.923288260602337</v>
      </c>
      <c r="N28" s="34">
        <f t="shared" si="12"/>
        <v>24.923288260602337</v>
      </c>
      <c r="O28" s="34">
        <f t="shared" si="12"/>
        <v>24.923288260602337</v>
      </c>
      <c r="P28" s="34">
        <f t="shared" si="12"/>
        <v>24.923288260602337</v>
      </c>
      <c r="Q28" s="34">
        <f t="shared" si="12"/>
        <v>24.923288260602337</v>
      </c>
      <c r="R28" s="34">
        <f t="shared" si="12"/>
        <v>24.923288260602337</v>
      </c>
      <c r="S28" s="34">
        <f t="shared" si="12"/>
        <v>24.923288260602337</v>
      </c>
      <c r="T28" s="34">
        <f t="shared" si="12"/>
        <v>24.923288260602337</v>
      </c>
      <c r="U28" s="59"/>
      <c r="V28" s="34"/>
      <c r="W28" s="34"/>
    </row>
    <row r="29" spans="1:23">
      <c r="A29" s="18"/>
      <c r="U29" s="19"/>
    </row>
    <row r="30" spans="1:23">
      <c r="A30" s="18"/>
      <c r="B30" t="s">
        <v>17</v>
      </c>
      <c r="C30" t="s">
        <v>18</v>
      </c>
      <c r="D30" t="s">
        <v>1</v>
      </c>
      <c r="E30" s="10">
        <f>MAX(_xlfn.XLOOKUP(cGC!$E$20,aMBCMtables!$D$12:$D$21,aMBCMtables!$E$12:$E$21),E13)</f>
        <v>8.0500000000000007</v>
      </c>
      <c r="F30" s="58">
        <f>E30+F13-E13</f>
        <v>8.0500000000000007</v>
      </c>
      <c r="G30" s="36">
        <f t="shared" ref="G30:T30" si="13">F30</f>
        <v>8.0500000000000007</v>
      </c>
      <c r="H30" s="36">
        <f t="shared" si="13"/>
        <v>8.0500000000000007</v>
      </c>
      <c r="I30" s="36">
        <f t="shared" si="13"/>
        <v>8.0500000000000007</v>
      </c>
      <c r="J30" s="36">
        <f t="shared" si="13"/>
        <v>8.0500000000000007</v>
      </c>
      <c r="K30" s="36">
        <f t="shared" si="13"/>
        <v>8.0500000000000007</v>
      </c>
      <c r="L30" s="36">
        <f t="shared" si="13"/>
        <v>8.0500000000000007</v>
      </c>
      <c r="M30" s="36">
        <f t="shared" si="13"/>
        <v>8.0500000000000007</v>
      </c>
      <c r="N30" s="36">
        <f t="shared" si="13"/>
        <v>8.0500000000000007</v>
      </c>
      <c r="O30" s="36">
        <f t="shared" si="13"/>
        <v>8.0500000000000007</v>
      </c>
      <c r="P30" s="36">
        <f t="shared" si="13"/>
        <v>8.0500000000000007</v>
      </c>
      <c r="Q30" s="36">
        <f t="shared" si="13"/>
        <v>8.0500000000000007</v>
      </c>
      <c r="R30" s="36">
        <f t="shared" si="13"/>
        <v>8.0500000000000007</v>
      </c>
      <c r="S30" s="36">
        <f t="shared" si="13"/>
        <v>8.0500000000000007</v>
      </c>
      <c r="T30" s="36">
        <f t="shared" si="13"/>
        <v>8.0500000000000007</v>
      </c>
      <c r="U30" s="62"/>
      <c r="V30" s="13" t="s">
        <v>831</v>
      </c>
      <c r="W30" s="36"/>
    </row>
    <row r="31" spans="1:23">
      <c r="A31" s="18"/>
      <c r="B31" t="s">
        <v>56</v>
      </c>
      <c r="C31" t="s">
        <v>68</v>
      </c>
      <c r="D31" t="s">
        <v>7</v>
      </c>
      <c r="E31" s="13">
        <f>E18+E25</f>
        <v>15.008933761178366</v>
      </c>
      <c r="F31" s="13">
        <f t="shared" ref="F31:T31" si="14">F18+F25</f>
        <v>14.833531858786642</v>
      </c>
      <c r="G31" s="13">
        <f t="shared" si="14"/>
        <v>14.833560260530703</v>
      </c>
      <c r="H31" s="13">
        <f t="shared" si="14"/>
        <v>14.833560254175882</v>
      </c>
      <c r="I31" s="13">
        <f t="shared" si="14"/>
        <v>14.833560254177304</v>
      </c>
      <c r="J31" s="13">
        <f t="shared" si="14"/>
        <v>14.833560254177304</v>
      </c>
      <c r="K31" s="13">
        <f t="shared" si="14"/>
        <v>14.833560254177304</v>
      </c>
      <c r="L31" s="13">
        <f t="shared" si="14"/>
        <v>14.833560254177304</v>
      </c>
      <c r="M31" s="13">
        <f t="shared" si="14"/>
        <v>14.833560254177304</v>
      </c>
      <c r="N31" s="13">
        <f t="shared" si="14"/>
        <v>14.833560254177304</v>
      </c>
      <c r="O31" s="13">
        <f t="shared" si="14"/>
        <v>14.833560254177304</v>
      </c>
      <c r="P31" s="13">
        <f t="shared" si="14"/>
        <v>14.833560254177304</v>
      </c>
      <c r="Q31" s="13">
        <f t="shared" si="14"/>
        <v>14.833560254177304</v>
      </c>
      <c r="R31" s="13">
        <f t="shared" si="14"/>
        <v>14.833560254177304</v>
      </c>
      <c r="S31" s="13">
        <f t="shared" si="14"/>
        <v>14.833560254177304</v>
      </c>
      <c r="T31" s="13">
        <f t="shared" si="14"/>
        <v>14.833560254177304</v>
      </c>
      <c r="U31" s="63"/>
      <c r="V31" s="13"/>
      <c r="W31" s="13"/>
    </row>
    <row r="32" spans="1:23">
      <c r="A32" s="18"/>
      <c r="B32" t="s">
        <v>22</v>
      </c>
      <c r="C32" t="s">
        <v>21</v>
      </c>
      <c r="D32" t="s">
        <v>2</v>
      </c>
      <c r="E32" s="10">
        <f>_xlfn.XLOOKUP(cGC!$E$20,aMBCMtables!$D$12:$D$21,aMBCMtables!$F$12:$F$21)</f>
        <v>30</v>
      </c>
      <c r="F32" s="14">
        <f>F30/F31*60</f>
        <v>32.561361960057745</v>
      </c>
      <c r="G32" s="14">
        <f t="shared" ref="G32:T32" si="15">G30/G31*60</f>
        <v>32.561299614979937</v>
      </c>
      <c r="H32" s="14">
        <f t="shared" si="15"/>
        <v>32.561299628929468</v>
      </c>
      <c r="I32" s="14">
        <f t="shared" si="15"/>
        <v>32.561299628926349</v>
      </c>
      <c r="J32" s="14">
        <f t="shared" si="15"/>
        <v>32.561299628926349</v>
      </c>
      <c r="K32" s="14">
        <f t="shared" si="15"/>
        <v>32.561299628926349</v>
      </c>
      <c r="L32" s="14">
        <f t="shared" si="15"/>
        <v>32.561299628926349</v>
      </c>
      <c r="M32" s="14">
        <f t="shared" si="15"/>
        <v>32.561299628926349</v>
      </c>
      <c r="N32" s="14">
        <f t="shared" si="15"/>
        <v>32.561299628926349</v>
      </c>
      <c r="O32" s="14">
        <f t="shared" si="15"/>
        <v>32.561299628926349</v>
      </c>
      <c r="P32" s="14">
        <f t="shared" si="15"/>
        <v>32.561299628926349</v>
      </c>
      <c r="Q32" s="14">
        <f t="shared" si="15"/>
        <v>32.561299628926349</v>
      </c>
      <c r="R32" s="14">
        <f t="shared" si="15"/>
        <v>32.561299628926349</v>
      </c>
      <c r="S32" s="14">
        <f t="shared" si="15"/>
        <v>32.561299628926349</v>
      </c>
      <c r="T32" s="14">
        <f t="shared" si="15"/>
        <v>32.561299628926349</v>
      </c>
      <c r="U32" s="64"/>
      <c r="V32" s="14"/>
      <c r="W32" s="14"/>
    </row>
    <row r="33" spans="1:23">
      <c r="A33" s="18"/>
      <c r="B33" t="s">
        <v>23</v>
      </c>
      <c r="C33" t="s">
        <v>20</v>
      </c>
      <c r="D33" t="s">
        <v>38</v>
      </c>
      <c r="E33" s="10">
        <f>_xlfn.XLOOKUP(E32,aMBCMtables!$D$49:$D$53,aMBCMtables!$G$49:$G$53,,-1)</f>
        <v>41.629999999999988</v>
      </c>
      <c r="F33" s="10">
        <f>_xlfn.XLOOKUP(F32,aMBCMtables!$D$49:$D$53,aMBCMtables!$G$49:$G$53,,-1)</f>
        <v>34.154999999999994</v>
      </c>
      <c r="G33" s="10">
        <f>_xlfn.XLOOKUP(G32,aMBCMtables!$D$49:$D$53,aMBCMtables!$G$49:$G$53,,-1)</f>
        <v>34.154999999999994</v>
      </c>
      <c r="H33" s="10">
        <f>_xlfn.XLOOKUP(H32,aMBCMtables!$D$49:$D$53,aMBCMtables!$G$49:$G$53,,-1)</f>
        <v>34.154999999999994</v>
      </c>
      <c r="I33" s="10">
        <f>_xlfn.XLOOKUP(I32,aMBCMtables!$D$49:$D$53,aMBCMtables!$G$49:$G$53,,-1)</f>
        <v>34.154999999999994</v>
      </c>
      <c r="J33" s="10">
        <f>_xlfn.XLOOKUP(J32,aMBCMtables!$D$49:$D$53,aMBCMtables!$G$49:$G$53,,-1)</f>
        <v>34.154999999999994</v>
      </c>
      <c r="K33" s="10">
        <f>_xlfn.XLOOKUP(K32,aMBCMtables!$D$49:$D$53,aMBCMtables!$G$49:$G$53,,-1)</f>
        <v>34.154999999999994</v>
      </c>
      <c r="L33" s="10">
        <f>_xlfn.XLOOKUP(L32,aMBCMtables!$D$49:$D$53,aMBCMtables!$G$49:$G$53,,-1)</f>
        <v>34.154999999999994</v>
      </c>
      <c r="M33" s="10">
        <f>_xlfn.XLOOKUP(M32,aMBCMtables!$D$49:$D$53,aMBCMtables!$G$49:$G$53,,-1)</f>
        <v>34.154999999999994</v>
      </c>
      <c r="N33" s="10">
        <f>_xlfn.XLOOKUP(N32,aMBCMtables!$D$49:$D$53,aMBCMtables!$G$49:$G$53,,-1)</f>
        <v>34.154999999999994</v>
      </c>
      <c r="O33" s="10">
        <f>_xlfn.XLOOKUP(O32,aMBCMtables!$D$49:$D$53,aMBCMtables!$G$49:$G$53,,-1)</f>
        <v>34.154999999999994</v>
      </c>
      <c r="P33" s="10">
        <f>_xlfn.XLOOKUP(P32,aMBCMtables!$D$49:$D$53,aMBCMtables!$G$49:$G$53,,-1)</f>
        <v>34.154999999999994</v>
      </c>
      <c r="Q33" s="10">
        <f>_xlfn.XLOOKUP(Q32,aMBCMtables!$D$49:$D$53,aMBCMtables!$G$49:$G$53,,-1)</f>
        <v>34.154999999999994</v>
      </c>
      <c r="R33" s="10">
        <f>_xlfn.XLOOKUP(R32,aMBCMtables!$D$49:$D$53,aMBCMtables!$G$49:$G$53,,-1)</f>
        <v>34.154999999999994</v>
      </c>
      <c r="S33" s="10">
        <f>_xlfn.XLOOKUP(S32,aMBCMtables!$D$49:$D$53,aMBCMtables!$G$49:$G$53,,-1)</f>
        <v>34.154999999999994</v>
      </c>
      <c r="T33" s="10">
        <f>_xlfn.XLOOKUP(T32,aMBCMtables!$D$49:$D$53,aMBCMtables!$G$49:$G$53,,-1)</f>
        <v>34.154999999999994</v>
      </c>
      <c r="U33" s="52"/>
      <c r="V33" s="10"/>
      <c r="W33" s="10"/>
    </row>
    <row r="34" spans="1:23">
      <c r="A34" s="65"/>
      <c r="E34" s="10"/>
      <c r="F34" s="10"/>
      <c r="G34" s="7"/>
      <c r="H34" s="7"/>
      <c r="I34" s="7"/>
      <c r="J34" s="7"/>
      <c r="K34" s="7"/>
      <c r="L34" s="7"/>
      <c r="M34" s="7"/>
      <c r="N34" s="7"/>
      <c r="O34" s="7"/>
      <c r="P34" s="7"/>
      <c r="Q34" s="7"/>
      <c r="R34" s="7"/>
      <c r="S34" s="7"/>
      <c r="T34" s="7"/>
      <c r="U34" s="53"/>
      <c r="V34" s="7"/>
      <c r="W34" s="7"/>
    </row>
    <row r="35" spans="1:23">
      <c r="A35" s="18"/>
      <c r="E35" s="10"/>
      <c r="U35" s="19"/>
    </row>
    <row r="36" spans="1:23">
      <c r="A36" s="18"/>
      <c r="B36" t="s">
        <v>52</v>
      </c>
      <c r="C36" t="s">
        <v>53</v>
      </c>
      <c r="D36" t="s">
        <v>7</v>
      </c>
      <c r="E36" s="2">
        <f>E28+E22</f>
        <v>27.062092949869211</v>
      </c>
      <c r="F36" s="2">
        <f>F28+F22</f>
        <v>26.933341324060152</v>
      </c>
      <c r="G36" s="2">
        <f>G28+G22</f>
        <v>26.933369725804212</v>
      </c>
      <c r="H36" s="2">
        <f t="shared" ref="H36:S36" si="16">H28+H22</f>
        <v>26.933369719449392</v>
      </c>
      <c r="I36" s="2">
        <f t="shared" si="16"/>
        <v>26.933369719450813</v>
      </c>
      <c r="J36" s="2">
        <f t="shared" si="16"/>
        <v>26.933369719450813</v>
      </c>
      <c r="K36" s="2">
        <f t="shared" si="16"/>
        <v>26.933369719450813</v>
      </c>
      <c r="L36" s="2">
        <f t="shared" si="16"/>
        <v>26.933369719450813</v>
      </c>
      <c r="M36" s="2">
        <f t="shared" si="16"/>
        <v>26.933369719450813</v>
      </c>
      <c r="N36" s="2">
        <f t="shared" si="16"/>
        <v>26.933369719450813</v>
      </c>
      <c r="O36" s="2">
        <f t="shared" si="16"/>
        <v>26.933369719450813</v>
      </c>
      <c r="P36" s="2">
        <f t="shared" si="16"/>
        <v>26.933369719450813</v>
      </c>
      <c r="Q36" s="2">
        <f t="shared" si="16"/>
        <v>26.933369719450813</v>
      </c>
      <c r="R36" s="2">
        <f t="shared" si="16"/>
        <v>26.933369719450813</v>
      </c>
      <c r="S36" s="2">
        <f t="shared" si="16"/>
        <v>26.933369719450813</v>
      </c>
      <c r="T36" s="2">
        <f>T28+T22</f>
        <v>26.933369719450813</v>
      </c>
      <c r="U36" s="54"/>
      <c r="V36" s="2"/>
      <c r="W36" s="2"/>
    </row>
    <row r="37" spans="1:23">
      <c r="A37" s="18"/>
      <c r="B37" t="s">
        <v>236</v>
      </c>
      <c r="E37" s="2"/>
      <c r="F37" s="2">
        <f>F36-$E36</f>
        <v>-0.12875162580905908</v>
      </c>
      <c r="G37" s="2">
        <f>G36-F36</f>
        <v>2.8401744060602141E-5</v>
      </c>
      <c r="H37" s="2">
        <f>H36-G36</f>
        <v>-6.3548206696850684E-9</v>
      </c>
      <c r="I37" s="2">
        <f>I36-H36</f>
        <v>1.4210854715202004E-12</v>
      </c>
      <c r="J37" s="2">
        <f t="shared" ref="J37:S37" si="17">J36-I36</f>
        <v>0</v>
      </c>
      <c r="K37" s="2">
        <f t="shared" si="17"/>
        <v>0</v>
      </c>
      <c r="L37" s="2">
        <f t="shared" si="17"/>
        <v>0</v>
      </c>
      <c r="M37" s="2">
        <f t="shared" si="17"/>
        <v>0</v>
      </c>
      <c r="N37" s="2">
        <f t="shared" si="17"/>
        <v>0</v>
      </c>
      <c r="O37" s="2">
        <f t="shared" si="17"/>
        <v>0</v>
      </c>
      <c r="P37" s="2">
        <f t="shared" si="17"/>
        <v>0</v>
      </c>
      <c r="Q37" s="2">
        <f t="shared" si="17"/>
        <v>0</v>
      </c>
      <c r="R37" s="2">
        <f t="shared" si="17"/>
        <v>0</v>
      </c>
      <c r="S37" s="2">
        <f t="shared" si="17"/>
        <v>0</v>
      </c>
      <c r="T37" s="2">
        <f>T36-S36</f>
        <v>0</v>
      </c>
      <c r="U37" s="54"/>
      <c r="V37" s="2"/>
      <c r="W37" s="2"/>
    </row>
    <row r="38" spans="1:23">
      <c r="A38" s="18"/>
      <c r="B38" t="s">
        <v>235</v>
      </c>
      <c r="C38" s="66" t="s">
        <v>54</v>
      </c>
      <c r="D38" t="s">
        <v>55</v>
      </c>
      <c r="F38" s="40">
        <f>F37/E36</f>
        <v>-4.7576374099210731E-3</v>
      </c>
      <c r="G38" s="40">
        <f>G37/F36</f>
        <v>1.0545198874092252E-6</v>
      </c>
      <c r="H38" s="40">
        <f>H37/G36</f>
        <v>-2.3594599318170977E-10</v>
      </c>
      <c r="I38" s="40">
        <f t="shared" ref="I38:T38" si="18">I37/H36</f>
        <v>5.2763003156414996E-14</v>
      </c>
      <c r="J38" s="40">
        <f t="shared" si="18"/>
        <v>0</v>
      </c>
      <c r="K38" s="40">
        <f t="shared" si="18"/>
        <v>0</v>
      </c>
      <c r="L38" s="40">
        <f t="shared" si="18"/>
        <v>0</v>
      </c>
      <c r="M38" s="40">
        <f t="shared" si="18"/>
        <v>0</v>
      </c>
      <c r="N38" s="40">
        <f t="shared" si="18"/>
        <v>0</v>
      </c>
      <c r="O38" s="40">
        <f t="shared" si="18"/>
        <v>0</v>
      </c>
      <c r="P38" s="40">
        <f t="shared" si="18"/>
        <v>0</v>
      </c>
      <c r="Q38" s="40">
        <f t="shared" si="18"/>
        <v>0</v>
      </c>
      <c r="R38" s="40">
        <f t="shared" si="18"/>
        <v>0</v>
      </c>
      <c r="S38" s="40">
        <f t="shared" si="18"/>
        <v>0</v>
      </c>
      <c r="T38" s="40">
        <f t="shared" si="18"/>
        <v>0</v>
      </c>
      <c r="U38" s="67"/>
      <c r="V38" s="5"/>
      <c r="W38" s="5"/>
    </row>
    <row r="39" spans="1:23">
      <c r="A39" s="18"/>
      <c r="B39" t="s">
        <v>8</v>
      </c>
      <c r="F39" s="2">
        <f>E53</f>
        <v>-0.72272727272727277</v>
      </c>
      <c r="G39" s="34">
        <f t="shared" ref="G39:T39" si="19">F39</f>
        <v>-0.72272727272727277</v>
      </c>
      <c r="H39" s="34">
        <f>G39</f>
        <v>-0.72272727272727277</v>
      </c>
      <c r="I39" s="34">
        <f t="shared" si="19"/>
        <v>-0.72272727272727277</v>
      </c>
      <c r="J39" s="34">
        <f t="shared" si="19"/>
        <v>-0.72272727272727277</v>
      </c>
      <c r="K39" s="34">
        <f t="shared" si="19"/>
        <v>-0.72272727272727277</v>
      </c>
      <c r="L39" s="34">
        <f t="shared" si="19"/>
        <v>-0.72272727272727277</v>
      </c>
      <c r="M39" s="34">
        <f t="shared" si="19"/>
        <v>-0.72272727272727277</v>
      </c>
      <c r="N39" s="34">
        <f t="shared" si="19"/>
        <v>-0.72272727272727277</v>
      </c>
      <c r="O39" s="34">
        <f t="shared" si="19"/>
        <v>-0.72272727272727277</v>
      </c>
      <c r="P39" s="34">
        <f t="shared" si="19"/>
        <v>-0.72272727272727277</v>
      </c>
      <c r="Q39" s="34">
        <f t="shared" si="19"/>
        <v>-0.72272727272727277</v>
      </c>
      <c r="R39" s="34">
        <f t="shared" si="19"/>
        <v>-0.72272727272727277</v>
      </c>
      <c r="S39" s="34">
        <f t="shared" si="19"/>
        <v>-0.72272727272727277</v>
      </c>
      <c r="T39" s="34">
        <f t="shared" si="19"/>
        <v>-0.72272727272727277</v>
      </c>
      <c r="U39" s="59"/>
      <c r="V39" s="34"/>
      <c r="W39" s="34"/>
    </row>
    <row r="40" spans="1:23">
      <c r="A40" s="18"/>
      <c r="B40" t="s">
        <v>234</v>
      </c>
      <c r="C40" t="s">
        <v>65</v>
      </c>
      <c r="D40" t="s">
        <v>55</v>
      </c>
      <c r="F40" s="68">
        <f>F38*F39</f>
        <v>3.438474309897503E-3</v>
      </c>
      <c r="G40" s="68">
        <f t="shared" ref="G40:T40" si="20">G38*G39</f>
        <v>-7.6213028226394005E-7</v>
      </c>
      <c r="H40" s="68">
        <f t="shared" si="20"/>
        <v>1.705246041631448E-10</v>
      </c>
      <c r="I40" s="68">
        <f t="shared" si="20"/>
        <v>-3.8133261372136294E-14</v>
      </c>
      <c r="J40" s="68">
        <f t="shared" si="20"/>
        <v>0</v>
      </c>
      <c r="K40" s="68">
        <f t="shared" si="20"/>
        <v>0</v>
      </c>
      <c r="L40" s="68">
        <f t="shared" si="20"/>
        <v>0</v>
      </c>
      <c r="M40" s="68">
        <f t="shared" si="20"/>
        <v>0</v>
      </c>
      <c r="N40" s="68">
        <f t="shared" si="20"/>
        <v>0</v>
      </c>
      <c r="O40" s="68">
        <f t="shared" si="20"/>
        <v>0</v>
      </c>
      <c r="P40" s="68">
        <f t="shared" si="20"/>
        <v>0</v>
      </c>
      <c r="Q40" s="68">
        <f t="shared" si="20"/>
        <v>0</v>
      </c>
      <c r="R40" s="68">
        <f t="shared" si="20"/>
        <v>0</v>
      </c>
      <c r="S40" s="68">
        <f t="shared" si="20"/>
        <v>0</v>
      </c>
      <c r="T40" s="68">
        <f t="shared" si="20"/>
        <v>0</v>
      </c>
      <c r="U40" s="69"/>
      <c r="V40" s="6"/>
      <c r="W40" s="6"/>
    </row>
    <row r="41" spans="1:23">
      <c r="A41" s="18"/>
      <c r="B41" t="s">
        <v>234</v>
      </c>
      <c r="C41" t="s">
        <v>64</v>
      </c>
      <c r="D41" t="s">
        <v>63</v>
      </c>
      <c r="F41" s="1">
        <f>F40*F12</f>
        <v>40.033015839600296</v>
      </c>
      <c r="G41" s="1">
        <f t="shared" ref="G41:T41" si="21">G40*G12</f>
        <v>-8.9037404495382524E-3</v>
      </c>
      <c r="H41" s="1">
        <f t="shared" si="21"/>
        <v>1.9921864987060991E-6</v>
      </c>
      <c r="I41" s="1">
        <f t="shared" si="21"/>
        <v>-4.4549916326135772E-10</v>
      </c>
      <c r="J41" s="1">
        <f t="shared" si="21"/>
        <v>0</v>
      </c>
      <c r="K41" s="1">
        <f t="shared" si="21"/>
        <v>0</v>
      </c>
      <c r="L41" s="1">
        <f t="shared" si="21"/>
        <v>0</v>
      </c>
      <c r="M41" s="1">
        <f t="shared" si="21"/>
        <v>0</v>
      </c>
      <c r="N41" s="1">
        <f t="shared" si="21"/>
        <v>0</v>
      </c>
      <c r="O41" s="1">
        <f t="shared" si="21"/>
        <v>0</v>
      </c>
      <c r="P41" s="1">
        <f t="shared" si="21"/>
        <v>0</v>
      </c>
      <c r="Q41" s="1">
        <f t="shared" si="21"/>
        <v>0</v>
      </c>
      <c r="R41" s="1">
        <f t="shared" si="21"/>
        <v>0</v>
      </c>
      <c r="S41" s="1">
        <f t="shared" si="21"/>
        <v>0</v>
      </c>
      <c r="T41" s="1">
        <f t="shared" si="21"/>
        <v>0</v>
      </c>
      <c r="U41" s="49"/>
      <c r="V41" s="1"/>
      <c r="W41" s="1"/>
    </row>
    <row r="42" spans="1:23">
      <c r="A42" s="18"/>
      <c r="U42" s="19"/>
    </row>
    <row r="43" spans="1:23">
      <c r="A43" s="18"/>
      <c r="B43" t="s">
        <v>59</v>
      </c>
      <c r="C43" t="s">
        <v>60</v>
      </c>
      <c r="D43" t="s">
        <v>58</v>
      </c>
      <c r="E43" s="1">
        <f>E12*E30</f>
        <v>93723.479794847968</v>
      </c>
      <c r="F43" s="1">
        <f>(F12+F41)*F30</f>
        <v>94045.745572356755</v>
      </c>
      <c r="G43" s="1">
        <f>(G12+G41)*G30</f>
        <v>94045.673897246146</v>
      </c>
      <c r="H43" s="1">
        <f t="shared" ref="H43:T43" si="22">(H12+H41)*H30</f>
        <v>94045.673913283244</v>
      </c>
      <c r="I43" s="1">
        <f t="shared" si="22"/>
        <v>94045.67391327965</v>
      </c>
      <c r="J43" s="1">
        <f t="shared" si="22"/>
        <v>94045.67391327965</v>
      </c>
      <c r="K43" s="1">
        <f t="shared" si="22"/>
        <v>94045.67391327965</v>
      </c>
      <c r="L43" s="1">
        <f t="shared" si="22"/>
        <v>94045.67391327965</v>
      </c>
      <c r="M43" s="1">
        <f t="shared" si="22"/>
        <v>94045.67391327965</v>
      </c>
      <c r="N43" s="1">
        <f t="shared" si="22"/>
        <v>94045.67391327965</v>
      </c>
      <c r="O43" s="1">
        <f t="shared" si="22"/>
        <v>94045.67391327965</v>
      </c>
      <c r="P43" s="1">
        <f t="shared" si="22"/>
        <v>94045.67391327965</v>
      </c>
      <c r="Q43" s="1">
        <f t="shared" si="22"/>
        <v>94045.67391327965</v>
      </c>
      <c r="R43" s="1">
        <f t="shared" si="22"/>
        <v>94045.67391327965</v>
      </c>
      <c r="S43" s="1">
        <f t="shared" si="22"/>
        <v>94045.67391327965</v>
      </c>
      <c r="T43" s="1">
        <f t="shared" si="22"/>
        <v>94045.67391327965</v>
      </c>
      <c r="U43" s="49"/>
      <c r="V43" s="1"/>
      <c r="W43" s="1"/>
    </row>
    <row r="44" spans="1:23">
      <c r="A44" s="18"/>
      <c r="B44" t="s">
        <v>61</v>
      </c>
      <c r="C44" t="s">
        <v>62</v>
      </c>
      <c r="D44" t="s">
        <v>58</v>
      </c>
      <c r="E44" s="1"/>
      <c r="F44" s="1">
        <f>F43-E43</f>
        <v>322.26577750878641</v>
      </c>
      <c r="G44" s="1">
        <f t="shared" ref="G44:T44" si="23">G43-$E43</f>
        <v>322.19410239817807</v>
      </c>
      <c r="H44" s="1">
        <f t="shared" si="23"/>
        <v>322.19411843527632</v>
      </c>
      <c r="I44" s="1">
        <f t="shared" si="23"/>
        <v>322.194118431682</v>
      </c>
      <c r="J44" s="1">
        <f t="shared" si="23"/>
        <v>322.194118431682</v>
      </c>
      <c r="K44" s="1">
        <f t="shared" si="23"/>
        <v>322.194118431682</v>
      </c>
      <c r="L44" s="1">
        <f t="shared" si="23"/>
        <v>322.194118431682</v>
      </c>
      <c r="M44" s="1">
        <f t="shared" si="23"/>
        <v>322.194118431682</v>
      </c>
      <c r="N44" s="1">
        <f t="shared" si="23"/>
        <v>322.194118431682</v>
      </c>
      <c r="O44" s="1">
        <f t="shared" si="23"/>
        <v>322.194118431682</v>
      </c>
      <c r="P44" s="1">
        <f t="shared" si="23"/>
        <v>322.194118431682</v>
      </c>
      <c r="Q44" s="1">
        <f t="shared" si="23"/>
        <v>322.194118431682</v>
      </c>
      <c r="R44" s="1">
        <f t="shared" si="23"/>
        <v>322.194118431682</v>
      </c>
      <c r="S44" s="1">
        <f t="shared" si="23"/>
        <v>322.194118431682</v>
      </c>
      <c r="T44" s="1">
        <f t="shared" si="23"/>
        <v>322.194118431682</v>
      </c>
      <c r="U44" s="49"/>
      <c r="V44" s="1"/>
      <c r="W44" s="1"/>
    </row>
    <row r="45" spans="1:23">
      <c r="A45" s="18"/>
      <c r="B45" t="s">
        <v>237</v>
      </c>
      <c r="D45" t="s">
        <v>55</v>
      </c>
      <c r="E45" s="1"/>
      <c r="F45" s="40">
        <f t="shared" ref="F45:T45" si="24">F44/$E43</f>
        <v>3.4384743098975455E-3</v>
      </c>
      <c r="G45" s="40">
        <f t="shared" si="24"/>
        <v>3.4377095590499966E-3</v>
      </c>
      <c r="H45" s="40">
        <f t="shared" si="24"/>
        <v>3.4377097301607823E-3</v>
      </c>
      <c r="I45" s="40">
        <f t="shared" si="24"/>
        <v>3.4377097301224319E-3</v>
      </c>
      <c r="J45" s="40">
        <f t="shared" si="24"/>
        <v>3.4377097301224319E-3</v>
      </c>
      <c r="K45" s="40">
        <f t="shared" si="24"/>
        <v>3.4377097301224319E-3</v>
      </c>
      <c r="L45" s="40">
        <f t="shared" si="24"/>
        <v>3.4377097301224319E-3</v>
      </c>
      <c r="M45" s="40">
        <f t="shared" si="24"/>
        <v>3.4377097301224319E-3</v>
      </c>
      <c r="N45" s="40">
        <f t="shared" si="24"/>
        <v>3.4377097301224319E-3</v>
      </c>
      <c r="O45" s="40">
        <f t="shared" si="24"/>
        <v>3.4377097301224319E-3</v>
      </c>
      <c r="P45" s="40">
        <f t="shared" si="24"/>
        <v>3.4377097301224319E-3</v>
      </c>
      <c r="Q45" s="40">
        <f t="shared" si="24"/>
        <v>3.4377097301224319E-3</v>
      </c>
      <c r="R45" s="40">
        <f t="shared" si="24"/>
        <v>3.4377097301224319E-3</v>
      </c>
      <c r="S45" s="40">
        <f t="shared" si="24"/>
        <v>3.4377097301224319E-3</v>
      </c>
      <c r="T45" s="40">
        <f t="shared" si="24"/>
        <v>3.4377097301224319E-3</v>
      </c>
      <c r="U45" s="49"/>
      <c r="V45" s="1"/>
      <c r="W45" s="1"/>
    </row>
    <row r="46" spans="1:23">
      <c r="A46" s="18"/>
      <c r="E46" s="1"/>
      <c r="F46" s="1"/>
      <c r="G46" s="1"/>
      <c r="H46" s="1"/>
      <c r="I46" s="1"/>
      <c r="J46" s="1"/>
      <c r="K46" s="1"/>
      <c r="L46" s="1"/>
      <c r="M46" s="1"/>
      <c r="N46" s="1"/>
      <c r="O46" s="1"/>
      <c r="P46" s="1"/>
      <c r="Q46" s="1"/>
      <c r="R46" s="1"/>
      <c r="S46" s="1"/>
      <c r="T46" s="1"/>
      <c r="U46" s="49"/>
      <c r="V46" s="1"/>
      <c r="W46" s="1"/>
    </row>
    <row r="47" spans="1:23">
      <c r="A47" s="18"/>
      <c r="B47" t="s">
        <v>57</v>
      </c>
      <c r="C47" t="s">
        <v>64</v>
      </c>
      <c r="D47" t="s">
        <v>63</v>
      </c>
      <c r="F47" s="1">
        <f t="shared" ref="F47:T47" si="25">F12-$E12</f>
        <v>0</v>
      </c>
      <c r="G47" s="1">
        <f t="shared" si="25"/>
        <v>40.033015839600921</v>
      </c>
      <c r="H47" s="1">
        <f t="shared" si="25"/>
        <v>40.024112099152262</v>
      </c>
      <c r="I47" s="1">
        <f t="shared" si="25"/>
        <v>40.024114091338561</v>
      </c>
      <c r="J47" s="1">
        <f t="shared" si="25"/>
        <v>40.024114090892908</v>
      </c>
      <c r="K47" s="1">
        <f t="shared" si="25"/>
        <v>40.024114090892908</v>
      </c>
      <c r="L47" s="1">
        <f t="shared" si="25"/>
        <v>40.024114090892908</v>
      </c>
      <c r="M47" s="1">
        <f t="shared" si="25"/>
        <v>40.024114090892908</v>
      </c>
      <c r="N47" s="1">
        <f t="shared" si="25"/>
        <v>40.024114090892908</v>
      </c>
      <c r="O47" s="1">
        <f t="shared" si="25"/>
        <v>40.024114090892908</v>
      </c>
      <c r="P47" s="1">
        <f t="shared" si="25"/>
        <v>40.024114090892908</v>
      </c>
      <c r="Q47" s="1">
        <f t="shared" si="25"/>
        <v>40.024114090892908</v>
      </c>
      <c r="R47" s="1">
        <f t="shared" si="25"/>
        <v>40.024114090892908</v>
      </c>
      <c r="S47" s="1">
        <f t="shared" si="25"/>
        <v>40.024114090892908</v>
      </c>
      <c r="T47" s="1">
        <f t="shared" si="25"/>
        <v>40.024114090892908</v>
      </c>
      <c r="U47" s="19"/>
    </row>
    <row r="48" spans="1:23">
      <c r="A48" s="18"/>
      <c r="B48" t="s">
        <v>57</v>
      </c>
      <c r="C48" t="s">
        <v>65</v>
      </c>
      <c r="D48" t="s">
        <v>55</v>
      </c>
      <c r="E48" s="1"/>
      <c r="F48" s="40">
        <f t="shared" ref="F48:T48" si="26">F47/$E12</f>
        <v>0</v>
      </c>
      <c r="G48" s="40">
        <f t="shared" si="26"/>
        <v>3.4384743098975564E-3</v>
      </c>
      <c r="H48" s="40">
        <f t="shared" si="26"/>
        <v>3.4377095590499718E-3</v>
      </c>
      <c r="I48" s="40">
        <f t="shared" si="26"/>
        <v>3.4377097301607727E-3</v>
      </c>
      <c r="J48" s="40">
        <f t="shared" si="26"/>
        <v>3.4377097301224952E-3</v>
      </c>
      <c r="K48" s="40">
        <f t="shared" si="26"/>
        <v>3.4377097301224952E-3</v>
      </c>
      <c r="L48" s="40">
        <f t="shared" si="26"/>
        <v>3.4377097301224952E-3</v>
      </c>
      <c r="M48" s="40">
        <f t="shared" si="26"/>
        <v>3.4377097301224952E-3</v>
      </c>
      <c r="N48" s="40">
        <f t="shared" si="26"/>
        <v>3.4377097301224952E-3</v>
      </c>
      <c r="O48" s="40">
        <f t="shared" si="26"/>
        <v>3.4377097301224952E-3</v>
      </c>
      <c r="P48" s="40">
        <f t="shared" si="26"/>
        <v>3.4377097301224952E-3</v>
      </c>
      <c r="Q48" s="40">
        <f t="shared" si="26"/>
        <v>3.4377097301224952E-3</v>
      </c>
      <c r="R48" s="40">
        <f t="shared" si="26"/>
        <v>3.4377097301224952E-3</v>
      </c>
      <c r="S48" s="40">
        <f t="shared" si="26"/>
        <v>3.4377097301224952E-3</v>
      </c>
      <c r="T48" s="40">
        <f t="shared" si="26"/>
        <v>3.4377097301224952E-3</v>
      </c>
      <c r="U48" s="19"/>
    </row>
    <row r="49" spans="1:21">
      <c r="A49" s="18"/>
      <c r="E49" s="1"/>
      <c r="F49" s="1"/>
      <c r="U49" s="19"/>
    </row>
    <row r="50" spans="1:21">
      <c r="A50" s="18"/>
      <c r="U50" s="19"/>
    </row>
    <row r="51" spans="1:21">
      <c r="A51" s="70" t="s">
        <v>776</v>
      </c>
      <c r="U51" s="19"/>
    </row>
    <row r="52" spans="1:21">
      <c r="A52" s="18"/>
      <c r="B52" t="s">
        <v>37</v>
      </c>
      <c r="C52" t="s">
        <v>6</v>
      </c>
      <c r="D52" t="s">
        <v>36</v>
      </c>
      <c r="E52" s="71">
        <f>_xlfn.XLOOKUP(cGC!E21,aMBCMtables!D25:D37,aMBCMtables!F25:F37)</f>
        <v>16.27</v>
      </c>
      <c r="F52" t="str">
        <f>cGC!E21</f>
        <v>NZTA_Urban Connectors</v>
      </c>
      <c r="G52" s="7"/>
      <c r="U52" s="19"/>
    </row>
    <row r="53" spans="1:21">
      <c r="A53" s="18"/>
      <c r="B53" t="s">
        <v>8</v>
      </c>
      <c r="D53" s="39" t="str">
        <f>cGC!D38</f>
        <v>Mid</v>
      </c>
      <c r="E53" s="13">
        <f>cGC!E38</f>
        <v>-0.72272727272727277</v>
      </c>
      <c r="T53" t="s">
        <v>250</v>
      </c>
      <c r="U53" s="19"/>
    </row>
    <row r="54" spans="1:21">
      <c r="A54" s="18"/>
      <c r="B54" t="s">
        <v>230</v>
      </c>
      <c r="E54" s="489">
        <v>9</v>
      </c>
      <c r="F54" s="86" t="s">
        <v>1093</v>
      </c>
      <c r="U54" s="19"/>
    </row>
    <row r="55" spans="1:21">
      <c r="A55" s="20"/>
      <c r="B55" s="22"/>
      <c r="C55" s="22"/>
      <c r="D55" s="22"/>
      <c r="E55" s="22"/>
      <c r="F55" s="22"/>
      <c r="G55" s="22"/>
      <c r="H55" s="22"/>
      <c r="I55" s="22"/>
      <c r="J55" s="22"/>
      <c r="K55" s="22"/>
      <c r="L55" s="22"/>
      <c r="M55" s="22"/>
      <c r="N55" s="22"/>
      <c r="O55" s="22"/>
      <c r="P55" s="22"/>
      <c r="Q55" s="22"/>
      <c r="R55" s="22"/>
      <c r="S55" s="22"/>
      <c r="T55" s="22"/>
      <c r="U55" s="23"/>
    </row>
    <row r="56" spans="1:21">
      <c r="A56" t="s">
        <v>297</v>
      </c>
      <c r="E56" s="11"/>
    </row>
  </sheetData>
  <mergeCells count="2">
    <mergeCell ref="F10:T10"/>
    <mergeCell ref="A1:B1"/>
  </mergeCells>
  <hyperlinks>
    <hyperlink ref="A1" location="Dashboard!A1" display="Return to dashboard" xr:uid="{5F58489B-B259-45FF-9AAF-828ADF1C3D24}"/>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7103E-B344-4604-A920-25C58ECBE010}">
  <sheetPr codeName="Sheet11">
    <tabColor theme="9" tint="0.79998168889431442"/>
  </sheetPr>
  <dimension ref="A1:W56"/>
  <sheetViews>
    <sheetView workbookViewId="0">
      <selection activeCell="B3" sqref="B3"/>
    </sheetView>
  </sheetViews>
  <sheetFormatPr defaultRowHeight="15" outlineLevelCol="1"/>
  <cols>
    <col min="1" max="1" width="1.5703125" customWidth="1"/>
    <col min="2" max="2" width="28.140625" customWidth="1"/>
    <col min="3" max="3" width="4.42578125" hidden="1" customWidth="1"/>
    <col min="4" max="4" width="13" customWidth="1"/>
    <col min="5" max="5" width="10.42578125" customWidth="1"/>
    <col min="6" max="19" width="10.42578125" customWidth="1" outlineLevel="1"/>
    <col min="20" max="20" width="10.42578125" customWidth="1"/>
  </cols>
  <sheetData>
    <row r="1" spans="1:23">
      <c r="A1" s="515" t="s">
        <v>280</v>
      </c>
      <c r="B1" s="515"/>
    </row>
    <row r="2" spans="1:23">
      <c r="A2" s="295" t="s">
        <v>979</v>
      </c>
    </row>
    <row r="5" spans="1:23" ht="14.45" customHeight="1">
      <c r="B5" s="83"/>
    </row>
    <row r="8" spans="1:23">
      <c r="B8" s="4" t="s">
        <v>277</v>
      </c>
      <c r="D8" s="4" t="s">
        <v>627</v>
      </c>
    </row>
    <row r="9" spans="1:23">
      <c r="A9" s="46"/>
      <c r="B9" s="16"/>
      <c r="C9" s="16"/>
      <c r="D9" s="16"/>
      <c r="E9" s="16"/>
      <c r="F9" s="16"/>
      <c r="G9" s="16"/>
      <c r="H9" s="16"/>
      <c r="I9" s="16"/>
      <c r="J9" s="16"/>
      <c r="K9" s="16"/>
      <c r="L9" s="16"/>
      <c r="M9" s="16"/>
      <c r="N9" s="16"/>
      <c r="O9" s="16"/>
      <c r="P9" s="16"/>
      <c r="Q9" s="16"/>
      <c r="R9" s="16"/>
      <c r="S9" s="16"/>
      <c r="T9" s="16"/>
      <c r="U9" s="17"/>
    </row>
    <row r="10" spans="1:23">
      <c r="A10" s="18"/>
      <c r="B10" s="4" t="s">
        <v>14</v>
      </c>
      <c r="C10" s="4" t="s">
        <v>15</v>
      </c>
      <c r="D10" s="4" t="s">
        <v>0</v>
      </c>
      <c r="E10" s="8" t="s">
        <v>243</v>
      </c>
      <c r="F10" s="530" t="s">
        <v>239</v>
      </c>
      <c r="G10" s="530"/>
      <c r="H10" s="530"/>
      <c r="I10" s="530"/>
      <c r="J10" s="530"/>
      <c r="K10" s="530"/>
      <c r="L10" s="530"/>
      <c r="M10" s="530"/>
      <c r="N10" s="530"/>
      <c r="O10" s="530"/>
      <c r="P10" s="530"/>
      <c r="Q10" s="530"/>
      <c r="R10" s="530"/>
      <c r="S10" s="530"/>
      <c r="T10" s="530"/>
      <c r="U10" s="48"/>
      <c r="V10" s="8"/>
      <c r="W10" s="8"/>
    </row>
    <row r="11" spans="1:23">
      <c r="A11" s="18"/>
      <c r="B11" t="s">
        <v>232</v>
      </c>
      <c r="E11">
        <v>0</v>
      </c>
      <c r="F11">
        <f t="shared" ref="F11:T11" si="0">E11+1</f>
        <v>1</v>
      </c>
      <c r="G11">
        <f t="shared" si="0"/>
        <v>2</v>
      </c>
      <c r="H11">
        <f t="shared" si="0"/>
        <v>3</v>
      </c>
      <c r="I11">
        <f t="shared" si="0"/>
        <v>4</v>
      </c>
      <c r="J11">
        <f t="shared" si="0"/>
        <v>5</v>
      </c>
      <c r="K11">
        <f t="shared" si="0"/>
        <v>6</v>
      </c>
      <c r="L11">
        <f t="shared" si="0"/>
        <v>7</v>
      </c>
      <c r="M11">
        <f t="shared" si="0"/>
        <v>8</v>
      </c>
      <c r="N11">
        <f t="shared" si="0"/>
        <v>9</v>
      </c>
      <c r="O11">
        <f t="shared" si="0"/>
        <v>10</v>
      </c>
      <c r="P11">
        <f t="shared" si="0"/>
        <v>11</v>
      </c>
      <c r="Q11">
        <f t="shared" si="0"/>
        <v>12</v>
      </c>
      <c r="R11">
        <f t="shared" si="0"/>
        <v>13</v>
      </c>
      <c r="S11">
        <f t="shared" si="0"/>
        <v>14</v>
      </c>
      <c r="T11">
        <f t="shared" si="0"/>
        <v>15</v>
      </c>
      <c r="U11" s="19"/>
    </row>
    <row r="12" spans="1:23">
      <c r="A12" s="18"/>
      <c r="B12" t="s">
        <v>264</v>
      </c>
      <c r="C12" t="s">
        <v>3</v>
      </c>
      <c r="D12" t="s">
        <v>63</v>
      </c>
      <c r="E12" s="24">
        <f>cGC!E19</f>
        <v>11642.668297496641</v>
      </c>
      <c r="F12" s="1">
        <f>E12</f>
        <v>11642.668297496641</v>
      </c>
      <c r="G12" s="1">
        <f t="shared" ref="G12:T12" si="1">MAX(F12+F41,$E12)</f>
        <v>11682.701313336242</v>
      </c>
      <c r="H12" s="1">
        <f t="shared" si="1"/>
        <v>11682.692409595793</v>
      </c>
      <c r="I12" s="1">
        <f t="shared" si="1"/>
        <v>11682.692411587979</v>
      </c>
      <c r="J12" s="1">
        <f t="shared" si="1"/>
        <v>11682.692411587534</v>
      </c>
      <c r="K12" s="1">
        <f t="shared" si="1"/>
        <v>11682.692411587534</v>
      </c>
      <c r="L12" s="1">
        <f t="shared" si="1"/>
        <v>11682.692411587534</v>
      </c>
      <c r="M12" s="1">
        <f t="shared" si="1"/>
        <v>11682.692411587534</v>
      </c>
      <c r="N12" s="1">
        <f t="shared" si="1"/>
        <v>11682.692411587534</v>
      </c>
      <c r="O12" s="1">
        <f t="shared" si="1"/>
        <v>11682.692411587534</v>
      </c>
      <c r="P12" s="1">
        <f t="shared" si="1"/>
        <v>11682.692411587534</v>
      </c>
      <c r="Q12" s="1">
        <f t="shared" si="1"/>
        <v>11682.692411587534</v>
      </c>
      <c r="R12" s="1">
        <f t="shared" si="1"/>
        <v>11682.692411587534</v>
      </c>
      <c r="S12" s="1">
        <f t="shared" si="1"/>
        <v>11682.692411587534</v>
      </c>
      <c r="T12" s="1">
        <f t="shared" si="1"/>
        <v>11682.692411587534</v>
      </c>
      <c r="U12" s="49"/>
      <c r="V12" s="12" t="s">
        <v>1054</v>
      </c>
      <c r="W12" s="1"/>
    </row>
    <row r="13" spans="1:23">
      <c r="A13" s="18"/>
      <c r="B13" t="s">
        <v>24</v>
      </c>
      <c r="C13" t="s">
        <v>27</v>
      </c>
      <c r="D13" t="s">
        <v>1</v>
      </c>
      <c r="E13" s="26">
        <f>F13</f>
        <v>1</v>
      </c>
      <c r="F13" s="9">
        <f>cGC!E29</f>
        <v>1</v>
      </c>
      <c r="G13">
        <f t="shared" ref="G13:T13" si="2">F13</f>
        <v>1</v>
      </c>
      <c r="H13">
        <f t="shared" si="2"/>
        <v>1</v>
      </c>
      <c r="I13">
        <f t="shared" si="2"/>
        <v>1</v>
      </c>
      <c r="J13">
        <f t="shared" si="2"/>
        <v>1</v>
      </c>
      <c r="K13">
        <f t="shared" si="2"/>
        <v>1</v>
      </c>
      <c r="L13">
        <f t="shared" si="2"/>
        <v>1</v>
      </c>
      <c r="M13">
        <f t="shared" si="2"/>
        <v>1</v>
      </c>
      <c r="N13">
        <f t="shared" si="2"/>
        <v>1</v>
      </c>
      <c r="O13">
        <f t="shared" si="2"/>
        <v>1</v>
      </c>
      <c r="P13">
        <f t="shared" si="2"/>
        <v>1</v>
      </c>
      <c r="Q13">
        <f t="shared" si="2"/>
        <v>1</v>
      </c>
      <c r="R13">
        <f t="shared" si="2"/>
        <v>1</v>
      </c>
      <c r="S13">
        <f t="shared" si="2"/>
        <v>1</v>
      </c>
      <c r="T13">
        <f t="shared" si="2"/>
        <v>1</v>
      </c>
      <c r="U13" s="19"/>
    </row>
    <row r="14" spans="1:23">
      <c r="A14" s="18"/>
      <c r="B14" t="s">
        <v>25</v>
      </c>
      <c r="C14" t="s">
        <v>19</v>
      </c>
      <c r="D14" t="s">
        <v>2</v>
      </c>
      <c r="E14" s="50">
        <f>IFERROR(cVolDelay!D21,cGC!E23)</f>
        <v>66.01141091097162</v>
      </c>
      <c r="F14" s="50">
        <f>IFERROR(cVolDelay!E21,cGC!$E$32)</f>
        <v>81.79603827875728</v>
      </c>
      <c r="G14" s="50">
        <f>IFERROR(cVolDelay!F21,cGC!$E$32)</f>
        <v>81.792871326743395</v>
      </c>
      <c r="H14" s="50">
        <f>IFERROR(cVolDelay!G21,cGC!$E$32)</f>
        <v>81.792872035313749</v>
      </c>
      <c r="I14" s="50">
        <f>IFERROR(cVolDelay!H21,cGC!$E$32)</f>
        <v>81.792872035155213</v>
      </c>
      <c r="J14" s="50">
        <f>IFERROR(cVolDelay!I21,cGC!$E$32)</f>
        <v>81.792872035155256</v>
      </c>
      <c r="K14" s="50">
        <f>IFERROR(cVolDelay!J21,cGC!$E$32)</f>
        <v>81.792872035155256</v>
      </c>
      <c r="L14" s="50">
        <f>IFERROR(cVolDelay!K21,cGC!$E$32)</f>
        <v>81.792872035155256</v>
      </c>
      <c r="M14" s="50">
        <f>IFERROR(cVolDelay!L21,cGC!$E$32)</f>
        <v>81.792872035155256</v>
      </c>
      <c r="N14" s="50">
        <f>IFERROR(cVolDelay!M21,cGC!$E$32)</f>
        <v>81.792872035155256</v>
      </c>
      <c r="O14" s="50">
        <f>IFERROR(cVolDelay!N21,cGC!$E$32)</f>
        <v>81.792872035155256</v>
      </c>
      <c r="P14" s="50">
        <f>IFERROR(cVolDelay!O21,cGC!$E$32)</f>
        <v>81.792872035155256</v>
      </c>
      <c r="Q14" s="50">
        <f>IFERROR(cVolDelay!P21,cGC!$E$32)</f>
        <v>81.792872035155256</v>
      </c>
      <c r="R14" s="50">
        <f>IFERROR(cVolDelay!Q21,cGC!$E$32)</f>
        <v>81.792872035155256</v>
      </c>
      <c r="S14" s="50">
        <f>IFERROR(cVolDelay!R21,cGC!$E$32)</f>
        <v>81.792872035155256</v>
      </c>
      <c r="T14" s="50">
        <f>IFERROR(cVolDelay!S21,cGC!$E$32)</f>
        <v>81.792872035155256</v>
      </c>
      <c r="U14" s="51"/>
      <c r="V14" s="37"/>
      <c r="W14" s="37"/>
    </row>
    <row r="15" spans="1:23">
      <c r="A15" s="18"/>
      <c r="B15" t="s">
        <v>26</v>
      </c>
      <c r="C15" t="s">
        <v>28</v>
      </c>
      <c r="D15" t="s">
        <v>38</v>
      </c>
      <c r="E15" s="10">
        <f>_xlfn.XLOOKUP(E14,aMBCMtables!$D$49:$D$53,aMBCMtables!$G$49:$G$53,,-1)</f>
        <v>33.349999999999994</v>
      </c>
      <c r="F15" s="10">
        <f>_xlfn.XLOOKUP(F14,aMBCMtables!$D$49:$D$53,aMBCMtables!$G$49:$G$53,,-1)</f>
        <v>34.614999999999995</v>
      </c>
      <c r="G15" s="10">
        <f>_xlfn.XLOOKUP(G14,aMBCMtables!$D$49:$D$53,aMBCMtables!$G$49:$G$53,,-1)</f>
        <v>34.614999999999995</v>
      </c>
      <c r="H15" s="10">
        <f>_xlfn.XLOOKUP(H14,aMBCMtables!$D$49:$D$53,aMBCMtables!$G$49:$G$53,,-1)</f>
        <v>34.614999999999995</v>
      </c>
      <c r="I15" s="10">
        <f>_xlfn.XLOOKUP(I14,aMBCMtables!$D$49:$D$53,aMBCMtables!$G$49:$G$53,,-1)</f>
        <v>34.614999999999995</v>
      </c>
      <c r="J15" s="10">
        <f>_xlfn.XLOOKUP(J14,aMBCMtables!$D$49:$D$53,aMBCMtables!$G$49:$G$53,,-1)</f>
        <v>34.614999999999995</v>
      </c>
      <c r="K15" s="10">
        <f>_xlfn.XLOOKUP(K14,aMBCMtables!$D$49:$D$53,aMBCMtables!$G$49:$G$53,,-1)</f>
        <v>34.614999999999995</v>
      </c>
      <c r="L15" s="10">
        <f>_xlfn.XLOOKUP(L14,aMBCMtables!$D$49:$D$53,aMBCMtables!$G$49:$G$53,,-1)</f>
        <v>34.614999999999995</v>
      </c>
      <c r="M15" s="10">
        <f>_xlfn.XLOOKUP(M14,aMBCMtables!$D$49:$D$53,aMBCMtables!$G$49:$G$53,,-1)</f>
        <v>34.614999999999995</v>
      </c>
      <c r="N15" s="10">
        <f>_xlfn.XLOOKUP(N14,aMBCMtables!$D$49:$D$53,aMBCMtables!$G$49:$G$53,,-1)</f>
        <v>34.614999999999995</v>
      </c>
      <c r="O15" s="10">
        <f>_xlfn.XLOOKUP(O14,aMBCMtables!$D$49:$D$53,aMBCMtables!$G$49:$G$53,,-1)</f>
        <v>34.614999999999995</v>
      </c>
      <c r="P15" s="10">
        <f>_xlfn.XLOOKUP(P14,aMBCMtables!$D$49:$D$53,aMBCMtables!$G$49:$G$53,,-1)</f>
        <v>34.614999999999995</v>
      </c>
      <c r="Q15" s="10">
        <f>_xlfn.XLOOKUP(Q14,aMBCMtables!$D$49:$D$53,aMBCMtables!$G$49:$G$53,,-1)</f>
        <v>34.614999999999995</v>
      </c>
      <c r="R15" s="10">
        <f>_xlfn.XLOOKUP(R14,aMBCMtables!$D$49:$D$53,aMBCMtables!$G$49:$G$53,,-1)</f>
        <v>34.614999999999995</v>
      </c>
      <c r="S15" s="10">
        <f>_xlfn.XLOOKUP(S14,aMBCMtables!$D$49:$D$53,aMBCMtables!$G$49:$G$53,,-1)</f>
        <v>34.614999999999995</v>
      </c>
      <c r="T15" s="10">
        <f>_xlfn.XLOOKUP(T14,aMBCMtables!$D$49:$D$53,aMBCMtables!$G$49:$G$53,,-1)</f>
        <v>34.614999999999995</v>
      </c>
      <c r="U15" s="52"/>
      <c r="V15" s="10"/>
      <c r="W15" s="10"/>
    </row>
    <row r="16" spans="1:23">
      <c r="A16" s="18"/>
      <c r="E16" s="10"/>
      <c r="F16" s="10"/>
      <c r="G16" s="7"/>
      <c r="H16" s="7"/>
      <c r="I16" s="7"/>
      <c r="J16" s="7"/>
      <c r="K16" s="7"/>
      <c r="L16" s="7"/>
      <c r="M16" s="7"/>
      <c r="N16" s="7"/>
      <c r="O16" s="7"/>
      <c r="P16" s="7"/>
      <c r="Q16" s="7"/>
      <c r="R16" s="7"/>
      <c r="S16" s="7"/>
      <c r="T16" s="7"/>
      <c r="U16" s="53"/>
      <c r="V16" s="7"/>
      <c r="W16" s="7"/>
    </row>
    <row r="17" spans="1:23">
      <c r="A17" s="18"/>
      <c r="U17" s="19"/>
    </row>
    <row r="18" spans="1:23">
      <c r="A18" s="18"/>
      <c r="B18" t="s">
        <v>33</v>
      </c>
      <c r="C18" t="s">
        <v>29</v>
      </c>
      <c r="D18" t="s">
        <v>7</v>
      </c>
      <c r="E18" s="2">
        <f t="shared" ref="E18:T18" si="3">E13/E14*60</f>
        <v>0.908933761178365</v>
      </c>
      <c r="F18" s="2">
        <f t="shared" si="3"/>
        <v>0.73353185878664018</v>
      </c>
      <c r="G18" s="2">
        <f t="shared" si="3"/>
        <v>0.73356026053070111</v>
      </c>
      <c r="H18" s="2">
        <f t="shared" si="3"/>
        <v>0.73356025417588022</v>
      </c>
      <c r="I18" s="2">
        <f t="shared" si="3"/>
        <v>0.73356025417730208</v>
      </c>
      <c r="J18" s="2">
        <f t="shared" si="3"/>
        <v>0.73356025417730164</v>
      </c>
      <c r="K18" s="2">
        <f t="shared" si="3"/>
        <v>0.73356025417730164</v>
      </c>
      <c r="L18" s="2">
        <f t="shared" si="3"/>
        <v>0.73356025417730164</v>
      </c>
      <c r="M18" s="2">
        <f t="shared" si="3"/>
        <v>0.73356025417730164</v>
      </c>
      <c r="N18" s="2">
        <f t="shared" si="3"/>
        <v>0.73356025417730164</v>
      </c>
      <c r="O18" s="2">
        <f t="shared" si="3"/>
        <v>0.73356025417730164</v>
      </c>
      <c r="P18" s="2">
        <f t="shared" si="3"/>
        <v>0.73356025417730164</v>
      </c>
      <c r="Q18" s="2">
        <f t="shared" si="3"/>
        <v>0.73356025417730164</v>
      </c>
      <c r="R18" s="2">
        <f t="shared" si="3"/>
        <v>0.73356025417730164</v>
      </c>
      <c r="S18" s="2">
        <f t="shared" si="3"/>
        <v>0.73356025417730164</v>
      </c>
      <c r="T18" s="2">
        <f t="shared" si="3"/>
        <v>0.73356025417730164</v>
      </c>
      <c r="U18" s="54"/>
      <c r="V18" s="2"/>
      <c r="W18" s="2"/>
    </row>
    <row r="19" spans="1:23">
      <c r="A19" s="18"/>
      <c r="B19" t="s">
        <v>30</v>
      </c>
      <c r="C19" t="s">
        <v>39</v>
      </c>
      <c r="D19" t="s">
        <v>32</v>
      </c>
      <c r="E19" s="55">
        <f t="shared" ref="E19:T19" si="4">E13*E15/100</f>
        <v>0.33349999999999996</v>
      </c>
      <c r="F19" s="55">
        <f t="shared" si="4"/>
        <v>0.34614999999999996</v>
      </c>
      <c r="G19" s="55">
        <f t="shared" si="4"/>
        <v>0.34614999999999996</v>
      </c>
      <c r="H19" s="55">
        <f t="shared" si="4"/>
        <v>0.34614999999999996</v>
      </c>
      <c r="I19" s="55">
        <f t="shared" si="4"/>
        <v>0.34614999999999996</v>
      </c>
      <c r="J19" s="55">
        <f t="shared" si="4"/>
        <v>0.34614999999999996</v>
      </c>
      <c r="K19" s="55">
        <f t="shared" si="4"/>
        <v>0.34614999999999996</v>
      </c>
      <c r="L19" s="55">
        <f t="shared" si="4"/>
        <v>0.34614999999999996</v>
      </c>
      <c r="M19" s="55">
        <f t="shared" si="4"/>
        <v>0.34614999999999996</v>
      </c>
      <c r="N19" s="55">
        <f t="shared" si="4"/>
        <v>0.34614999999999996</v>
      </c>
      <c r="O19" s="55">
        <f t="shared" si="4"/>
        <v>0.34614999999999996</v>
      </c>
      <c r="P19" s="55">
        <f t="shared" si="4"/>
        <v>0.34614999999999996</v>
      </c>
      <c r="Q19" s="55">
        <f t="shared" si="4"/>
        <v>0.34614999999999996</v>
      </c>
      <c r="R19" s="55">
        <f t="shared" si="4"/>
        <v>0.34614999999999996</v>
      </c>
      <c r="S19" s="55">
        <f t="shared" si="4"/>
        <v>0.34614999999999996</v>
      </c>
      <c r="T19" s="55">
        <f t="shared" si="4"/>
        <v>0.34614999999999996</v>
      </c>
      <c r="U19" s="56"/>
      <c r="V19" s="11"/>
      <c r="W19" s="11"/>
    </row>
    <row r="20" spans="1:23">
      <c r="A20" s="18"/>
      <c r="B20" t="s">
        <v>34</v>
      </c>
      <c r="C20" t="s">
        <v>31</v>
      </c>
      <c r="D20" t="s">
        <v>7</v>
      </c>
      <c r="E20" s="2">
        <f>E19/$E$52*60</f>
        <v>1.2298709280885063</v>
      </c>
      <c r="F20" s="2">
        <f t="shared" ref="F20:T20" si="5">F19/$E$52*60</f>
        <v>1.2765212046711738</v>
      </c>
      <c r="G20" s="2">
        <f t="shared" si="5"/>
        <v>1.2765212046711738</v>
      </c>
      <c r="H20" s="2">
        <f t="shared" si="5"/>
        <v>1.2765212046711738</v>
      </c>
      <c r="I20" s="2">
        <f t="shared" si="5"/>
        <v>1.2765212046711738</v>
      </c>
      <c r="J20" s="2">
        <f t="shared" si="5"/>
        <v>1.2765212046711738</v>
      </c>
      <c r="K20" s="2">
        <f t="shared" si="5"/>
        <v>1.2765212046711738</v>
      </c>
      <c r="L20" s="2">
        <f t="shared" si="5"/>
        <v>1.2765212046711738</v>
      </c>
      <c r="M20" s="2">
        <f t="shared" si="5"/>
        <v>1.2765212046711738</v>
      </c>
      <c r="N20" s="2">
        <f t="shared" si="5"/>
        <v>1.2765212046711738</v>
      </c>
      <c r="O20" s="2">
        <f t="shared" si="5"/>
        <v>1.2765212046711738</v>
      </c>
      <c r="P20" s="2">
        <f t="shared" si="5"/>
        <v>1.2765212046711738</v>
      </c>
      <c r="Q20" s="2">
        <f t="shared" si="5"/>
        <v>1.2765212046711738</v>
      </c>
      <c r="R20" s="2">
        <f t="shared" si="5"/>
        <v>1.2765212046711738</v>
      </c>
      <c r="S20" s="2">
        <f t="shared" si="5"/>
        <v>1.2765212046711738</v>
      </c>
      <c r="T20" s="2">
        <f t="shared" si="5"/>
        <v>1.2765212046711738</v>
      </c>
      <c r="U20" s="54"/>
      <c r="V20" s="2"/>
      <c r="W20" s="2"/>
    </row>
    <row r="21" spans="1:23">
      <c r="A21" s="18"/>
      <c r="B21" t="s">
        <v>42</v>
      </c>
      <c r="C21" t="s">
        <v>43</v>
      </c>
      <c r="D21" t="s">
        <v>7</v>
      </c>
      <c r="E21" s="12">
        <f>cGC!E24</f>
        <v>0</v>
      </c>
      <c r="F21" s="12">
        <f>cGC!E35</f>
        <v>0</v>
      </c>
      <c r="G21" s="34">
        <f t="shared" ref="G21:T21" si="6">F21</f>
        <v>0</v>
      </c>
      <c r="H21" s="34">
        <f t="shared" si="6"/>
        <v>0</v>
      </c>
      <c r="I21" s="34">
        <f t="shared" si="6"/>
        <v>0</v>
      </c>
      <c r="J21" s="34">
        <f t="shared" si="6"/>
        <v>0</v>
      </c>
      <c r="K21" s="34">
        <f t="shared" si="6"/>
        <v>0</v>
      </c>
      <c r="L21" s="34">
        <f t="shared" si="6"/>
        <v>0</v>
      </c>
      <c r="M21" s="34">
        <f t="shared" si="6"/>
        <v>0</v>
      </c>
      <c r="N21" s="34">
        <f t="shared" si="6"/>
        <v>0</v>
      </c>
      <c r="O21" s="34">
        <f t="shared" si="6"/>
        <v>0</v>
      </c>
      <c r="P21" s="34">
        <f t="shared" si="6"/>
        <v>0</v>
      </c>
      <c r="Q21" s="34">
        <f t="shared" si="6"/>
        <v>0</v>
      </c>
      <c r="R21" s="34">
        <f t="shared" si="6"/>
        <v>0</v>
      </c>
      <c r="S21" s="34">
        <f t="shared" si="6"/>
        <v>0</v>
      </c>
      <c r="T21" s="34">
        <f t="shared" si="6"/>
        <v>0</v>
      </c>
      <c r="U21" s="57"/>
      <c r="W21" s="12"/>
    </row>
    <row r="22" spans="1:23">
      <c r="A22" s="18"/>
      <c r="B22" t="s">
        <v>40</v>
      </c>
      <c r="C22" t="s">
        <v>41</v>
      </c>
      <c r="D22" t="s">
        <v>7</v>
      </c>
      <c r="E22" s="2">
        <f t="shared" ref="E22" si="7">E18+E20+E21</f>
        <v>2.1388046892668715</v>
      </c>
      <c r="F22" s="2">
        <f>MIN(F18+F20+F21,$E22)</f>
        <v>2.0100530634578142</v>
      </c>
      <c r="G22" s="2">
        <f t="shared" ref="G22:T22" si="8">MIN(G18+G20+G21,$E22)</f>
        <v>2.0100814652018748</v>
      </c>
      <c r="H22" s="2">
        <f t="shared" si="8"/>
        <v>2.0100814588470541</v>
      </c>
      <c r="I22" s="2">
        <f t="shared" si="8"/>
        <v>2.0100814588484761</v>
      </c>
      <c r="J22" s="2">
        <f t="shared" si="8"/>
        <v>2.0100814588484752</v>
      </c>
      <c r="K22" s="2">
        <f t="shared" si="8"/>
        <v>2.0100814588484752</v>
      </c>
      <c r="L22" s="2">
        <f t="shared" si="8"/>
        <v>2.0100814588484752</v>
      </c>
      <c r="M22" s="2">
        <f t="shared" si="8"/>
        <v>2.0100814588484752</v>
      </c>
      <c r="N22" s="2">
        <f t="shared" si="8"/>
        <v>2.0100814588484752</v>
      </c>
      <c r="O22" s="2">
        <f t="shared" si="8"/>
        <v>2.0100814588484752</v>
      </c>
      <c r="P22" s="2">
        <f t="shared" si="8"/>
        <v>2.0100814588484752</v>
      </c>
      <c r="Q22" s="2">
        <f t="shared" si="8"/>
        <v>2.0100814588484752</v>
      </c>
      <c r="R22" s="2">
        <f t="shared" si="8"/>
        <v>2.0100814588484752</v>
      </c>
      <c r="S22" s="2">
        <f t="shared" si="8"/>
        <v>2.0100814588484752</v>
      </c>
      <c r="T22" s="2">
        <f t="shared" si="8"/>
        <v>2.0100814588484752</v>
      </c>
      <c r="U22" s="54"/>
      <c r="V22" s="12" t="s">
        <v>767</v>
      </c>
      <c r="W22" s="2"/>
    </row>
    <row r="23" spans="1:23">
      <c r="A23" s="18"/>
      <c r="U23" s="19"/>
    </row>
    <row r="24" spans="1:23">
      <c r="A24" s="18"/>
      <c r="B24" t="s">
        <v>66</v>
      </c>
      <c r="C24" t="s">
        <v>67</v>
      </c>
      <c r="D24" t="s">
        <v>1</v>
      </c>
      <c r="E24">
        <f>E30-E13</f>
        <v>7.0500000000000007</v>
      </c>
      <c r="F24" s="58">
        <f t="shared" ref="F24:T24" si="9">F30-F13</f>
        <v>7.0500000000000007</v>
      </c>
      <c r="G24" s="34">
        <f t="shared" si="9"/>
        <v>7.0500000000000007</v>
      </c>
      <c r="H24" s="34">
        <f t="shared" si="9"/>
        <v>7.0500000000000007</v>
      </c>
      <c r="I24" s="34">
        <f t="shared" si="9"/>
        <v>7.0500000000000007</v>
      </c>
      <c r="J24" s="34">
        <f t="shared" si="9"/>
        <v>7.0500000000000007</v>
      </c>
      <c r="K24" s="34">
        <f t="shared" si="9"/>
        <v>7.0500000000000007</v>
      </c>
      <c r="L24" s="34">
        <f t="shared" si="9"/>
        <v>7.0500000000000007</v>
      </c>
      <c r="M24" s="34">
        <f t="shared" si="9"/>
        <v>7.0500000000000007</v>
      </c>
      <c r="N24" s="34">
        <f t="shared" si="9"/>
        <v>7.0500000000000007</v>
      </c>
      <c r="O24" s="34">
        <f t="shared" si="9"/>
        <v>7.0500000000000007</v>
      </c>
      <c r="P24" s="34">
        <f t="shared" si="9"/>
        <v>7.0500000000000007</v>
      </c>
      <c r="Q24" s="34">
        <f t="shared" si="9"/>
        <v>7.0500000000000007</v>
      </c>
      <c r="R24" s="34">
        <f t="shared" si="9"/>
        <v>7.0500000000000007</v>
      </c>
      <c r="S24" s="34">
        <f t="shared" si="9"/>
        <v>7.0500000000000007</v>
      </c>
      <c r="T24" s="34">
        <f t="shared" si="9"/>
        <v>7.0500000000000007</v>
      </c>
      <c r="U24" s="59"/>
      <c r="V24" s="34"/>
      <c r="W24" s="34"/>
    </row>
    <row r="25" spans="1:23">
      <c r="A25" s="18"/>
      <c r="B25" t="s">
        <v>48</v>
      </c>
      <c r="C25" t="s">
        <v>44</v>
      </c>
      <c r="D25" t="s">
        <v>7</v>
      </c>
      <c r="E25" s="2">
        <f>E24/E32*60</f>
        <v>14.100000000000001</v>
      </c>
      <c r="F25" s="34">
        <f t="shared" ref="F25:T28" si="10">E25</f>
        <v>14.100000000000001</v>
      </c>
      <c r="G25" s="34">
        <f t="shared" si="10"/>
        <v>14.100000000000001</v>
      </c>
      <c r="H25" s="34">
        <f t="shared" si="10"/>
        <v>14.100000000000001</v>
      </c>
      <c r="I25" s="34">
        <f t="shared" si="10"/>
        <v>14.100000000000001</v>
      </c>
      <c r="J25" s="34">
        <f t="shared" si="10"/>
        <v>14.100000000000001</v>
      </c>
      <c r="K25" s="34">
        <f t="shared" si="10"/>
        <v>14.100000000000001</v>
      </c>
      <c r="L25" s="34">
        <f t="shared" si="10"/>
        <v>14.100000000000001</v>
      </c>
      <c r="M25" s="34">
        <f t="shared" si="10"/>
        <v>14.100000000000001</v>
      </c>
      <c r="N25" s="34">
        <f t="shared" si="10"/>
        <v>14.100000000000001</v>
      </c>
      <c r="O25" s="34">
        <f t="shared" si="10"/>
        <v>14.100000000000001</v>
      </c>
      <c r="P25" s="34">
        <f t="shared" si="10"/>
        <v>14.100000000000001</v>
      </c>
      <c r="Q25" s="34">
        <f t="shared" si="10"/>
        <v>14.100000000000001</v>
      </c>
      <c r="R25" s="34">
        <f t="shared" si="10"/>
        <v>14.100000000000001</v>
      </c>
      <c r="S25" s="34">
        <f t="shared" si="10"/>
        <v>14.100000000000001</v>
      </c>
      <c r="T25" s="34">
        <f t="shared" si="10"/>
        <v>14.100000000000001</v>
      </c>
      <c r="U25" s="59"/>
      <c r="V25" s="34"/>
      <c r="W25" s="34"/>
    </row>
    <row r="26" spans="1:23">
      <c r="A26" s="18"/>
      <c r="B26" t="s">
        <v>49</v>
      </c>
      <c r="C26" t="s">
        <v>45</v>
      </c>
      <c r="D26" t="s">
        <v>32</v>
      </c>
      <c r="E26" s="55">
        <f>(E30-E13)*E33/100</f>
        <v>2.9349149999999997</v>
      </c>
      <c r="F26" s="60">
        <f t="shared" si="10"/>
        <v>2.9349149999999997</v>
      </c>
      <c r="G26" s="60">
        <f t="shared" si="10"/>
        <v>2.9349149999999997</v>
      </c>
      <c r="H26" s="60">
        <f t="shared" si="10"/>
        <v>2.9349149999999997</v>
      </c>
      <c r="I26" s="60">
        <f t="shared" si="10"/>
        <v>2.9349149999999997</v>
      </c>
      <c r="J26" s="60">
        <f t="shared" si="10"/>
        <v>2.9349149999999997</v>
      </c>
      <c r="K26" s="60">
        <f t="shared" si="10"/>
        <v>2.9349149999999997</v>
      </c>
      <c r="L26" s="60">
        <f t="shared" si="10"/>
        <v>2.9349149999999997</v>
      </c>
      <c r="M26" s="60">
        <f t="shared" si="10"/>
        <v>2.9349149999999997</v>
      </c>
      <c r="N26" s="60">
        <f t="shared" si="10"/>
        <v>2.9349149999999997</v>
      </c>
      <c r="O26" s="60">
        <f t="shared" si="10"/>
        <v>2.9349149999999997</v>
      </c>
      <c r="P26" s="60">
        <f t="shared" si="10"/>
        <v>2.9349149999999997</v>
      </c>
      <c r="Q26" s="60">
        <f t="shared" si="10"/>
        <v>2.9349149999999997</v>
      </c>
      <c r="R26" s="60">
        <f t="shared" si="10"/>
        <v>2.9349149999999997</v>
      </c>
      <c r="S26" s="60">
        <f t="shared" si="10"/>
        <v>2.9349149999999997</v>
      </c>
      <c r="T26" s="60">
        <f t="shared" si="10"/>
        <v>2.9349149999999997</v>
      </c>
      <c r="U26" s="61"/>
      <c r="V26" s="35"/>
      <c r="W26" s="35"/>
    </row>
    <row r="27" spans="1:23">
      <c r="A27" s="18"/>
      <c r="B27" t="s">
        <v>50</v>
      </c>
      <c r="C27" t="s">
        <v>46</v>
      </c>
      <c r="D27" t="s">
        <v>7</v>
      </c>
      <c r="E27" s="2">
        <f>E26/$E$52*60</f>
        <v>10.823288260602336</v>
      </c>
      <c r="F27" s="34">
        <f t="shared" si="10"/>
        <v>10.823288260602336</v>
      </c>
      <c r="G27" s="34">
        <f t="shared" si="10"/>
        <v>10.823288260602336</v>
      </c>
      <c r="H27" s="34">
        <f t="shared" si="10"/>
        <v>10.823288260602336</v>
      </c>
      <c r="I27" s="34">
        <f t="shared" si="10"/>
        <v>10.823288260602336</v>
      </c>
      <c r="J27" s="34">
        <f t="shared" si="10"/>
        <v>10.823288260602336</v>
      </c>
      <c r="K27" s="34">
        <f t="shared" si="10"/>
        <v>10.823288260602336</v>
      </c>
      <c r="L27" s="34">
        <f t="shared" si="10"/>
        <v>10.823288260602336</v>
      </c>
      <c r="M27" s="34">
        <f t="shared" si="10"/>
        <v>10.823288260602336</v>
      </c>
      <c r="N27" s="34">
        <f t="shared" si="10"/>
        <v>10.823288260602336</v>
      </c>
      <c r="O27" s="34">
        <f t="shared" si="10"/>
        <v>10.823288260602336</v>
      </c>
      <c r="P27" s="34">
        <f t="shared" si="10"/>
        <v>10.823288260602336</v>
      </c>
      <c r="Q27" s="34">
        <f t="shared" si="10"/>
        <v>10.823288260602336</v>
      </c>
      <c r="R27" s="34">
        <f t="shared" si="10"/>
        <v>10.823288260602336</v>
      </c>
      <c r="S27" s="34">
        <f t="shared" si="10"/>
        <v>10.823288260602336</v>
      </c>
      <c r="T27" s="34">
        <f t="shared" si="10"/>
        <v>10.823288260602336</v>
      </c>
      <c r="U27" s="59"/>
      <c r="V27" s="34"/>
      <c r="W27" s="34"/>
    </row>
    <row r="28" spans="1:23">
      <c r="A28" s="18"/>
      <c r="B28" t="s">
        <v>51</v>
      </c>
      <c r="C28" t="s">
        <v>47</v>
      </c>
      <c r="D28" t="s">
        <v>7</v>
      </c>
      <c r="E28" s="2">
        <f>E25+E27</f>
        <v>24.923288260602337</v>
      </c>
      <c r="F28" s="34">
        <f t="shared" si="10"/>
        <v>24.923288260602337</v>
      </c>
      <c r="G28" s="34">
        <f t="shared" si="10"/>
        <v>24.923288260602337</v>
      </c>
      <c r="H28" s="34">
        <f t="shared" si="10"/>
        <v>24.923288260602337</v>
      </c>
      <c r="I28" s="34">
        <f t="shared" si="10"/>
        <v>24.923288260602337</v>
      </c>
      <c r="J28" s="34">
        <f t="shared" si="10"/>
        <v>24.923288260602337</v>
      </c>
      <c r="K28" s="34">
        <f t="shared" si="10"/>
        <v>24.923288260602337</v>
      </c>
      <c r="L28" s="34">
        <f t="shared" si="10"/>
        <v>24.923288260602337</v>
      </c>
      <c r="M28" s="34">
        <f t="shared" si="10"/>
        <v>24.923288260602337</v>
      </c>
      <c r="N28" s="34">
        <f t="shared" si="10"/>
        <v>24.923288260602337</v>
      </c>
      <c r="O28" s="34">
        <f t="shared" si="10"/>
        <v>24.923288260602337</v>
      </c>
      <c r="P28" s="34">
        <f t="shared" si="10"/>
        <v>24.923288260602337</v>
      </c>
      <c r="Q28" s="34">
        <f t="shared" si="10"/>
        <v>24.923288260602337</v>
      </c>
      <c r="R28" s="34">
        <f t="shared" si="10"/>
        <v>24.923288260602337</v>
      </c>
      <c r="S28" s="34">
        <f t="shared" si="10"/>
        <v>24.923288260602337</v>
      </c>
      <c r="T28" s="34">
        <f t="shared" si="10"/>
        <v>24.923288260602337</v>
      </c>
      <c r="U28" s="59"/>
      <c r="V28" s="34"/>
      <c r="W28" s="34"/>
    </row>
    <row r="29" spans="1:23">
      <c r="A29" s="18"/>
      <c r="U29" s="19"/>
    </row>
    <row r="30" spans="1:23">
      <c r="A30" s="18"/>
      <c r="B30" t="s">
        <v>17</v>
      </c>
      <c r="C30" t="s">
        <v>18</v>
      </c>
      <c r="D30" t="s">
        <v>1</v>
      </c>
      <c r="E30" s="10">
        <f>MAX(_xlfn.XLOOKUP(cGC!$E$20,aMBCMtables!$D$12:$D$21,aMBCMtables!$E$12:$E$21),E13,F13)</f>
        <v>8.0500000000000007</v>
      </c>
      <c r="F30" s="58">
        <f>E30+F13-E13</f>
        <v>8.0500000000000007</v>
      </c>
      <c r="G30" s="36">
        <f t="shared" ref="G30:T30" si="11">F30</f>
        <v>8.0500000000000007</v>
      </c>
      <c r="H30" s="36">
        <f t="shared" si="11"/>
        <v>8.0500000000000007</v>
      </c>
      <c r="I30" s="36">
        <f t="shared" si="11"/>
        <v>8.0500000000000007</v>
      </c>
      <c r="J30" s="36">
        <f t="shared" si="11"/>
        <v>8.0500000000000007</v>
      </c>
      <c r="K30" s="36">
        <f t="shared" si="11"/>
        <v>8.0500000000000007</v>
      </c>
      <c r="L30" s="36">
        <f t="shared" si="11"/>
        <v>8.0500000000000007</v>
      </c>
      <c r="M30" s="36">
        <f t="shared" si="11"/>
        <v>8.0500000000000007</v>
      </c>
      <c r="N30" s="36">
        <f t="shared" si="11"/>
        <v>8.0500000000000007</v>
      </c>
      <c r="O30" s="36">
        <f t="shared" si="11"/>
        <v>8.0500000000000007</v>
      </c>
      <c r="P30" s="36">
        <f t="shared" si="11"/>
        <v>8.0500000000000007</v>
      </c>
      <c r="Q30" s="36">
        <f t="shared" si="11"/>
        <v>8.0500000000000007</v>
      </c>
      <c r="R30" s="36">
        <f t="shared" si="11"/>
        <v>8.0500000000000007</v>
      </c>
      <c r="S30" s="36">
        <f t="shared" si="11"/>
        <v>8.0500000000000007</v>
      </c>
      <c r="T30" s="36">
        <f t="shared" si="11"/>
        <v>8.0500000000000007</v>
      </c>
      <c r="U30" s="62"/>
      <c r="V30" s="12" t="s">
        <v>767</v>
      </c>
      <c r="W30" s="36"/>
    </row>
    <row r="31" spans="1:23">
      <c r="A31" s="18"/>
      <c r="B31" t="s">
        <v>56</v>
      </c>
      <c r="C31" t="s">
        <v>68</v>
      </c>
      <c r="D31" t="s">
        <v>7</v>
      </c>
      <c r="E31" s="13">
        <f>E18+E25</f>
        <v>15.008933761178366</v>
      </c>
      <c r="F31" s="13">
        <f t="shared" ref="F31:T31" si="12">F18+F25</f>
        <v>14.833531858786642</v>
      </c>
      <c r="G31" s="13">
        <f t="shared" si="12"/>
        <v>14.833560260530703</v>
      </c>
      <c r="H31" s="13">
        <f t="shared" si="12"/>
        <v>14.833560254175882</v>
      </c>
      <c r="I31" s="13">
        <f t="shared" si="12"/>
        <v>14.833560254177304</v>
      </c>
      <c r="J31" s="13">
        <f t="shared" si="12"/>
        <v>14.833560254177304</v>
      </c>
      <c r="K31" s="13">
        <f t="shared" si="12"/>
        <v>14.833560254177304</v>
      </c>
      <c r="L31" s="13">
        <f t="shared" si="12"/>
        <v>14.833560254177304</v>
      </c>
      <c r="M31" s="13">
        <f t="shared" si="12"/>
        <v>14.833560254177304</v>
      </c>
      <c r="N31" s="13">
        <f t="shared" si="12"/>
        <v>14.833560254177304</v>
      </c>
      <c r="O31" s="13">
        <f t="shared" si="12"/>
        <v>14.833560254177304</v>
      </c>
      <c r="P31" s="13">
        <f t="shared" si="12"/>
        <v>14.833560254177304</v>
      </c>
      <c r="Q31" s="13">
        <f t="shared" si="12"/>
        <v>14.833560254177304</v>
      </c>
      <c r="R31" s="13">
        <f t="shared" si="12"/>
        <v>14.833560254177304</v>
      </c>
      <c r="S31" s="13">
        <f t="shared" si="12"/>
        <v>14.833560254177304</v>
      </c>
      <c r="T31" s="13">
        <f t="shared" si="12"/>
        <v>14.833560254177304</v>
      </c>
      <c r="U31" s="63"/>
      <c r="V31" s="13"/>
      <c r="W31" s="13"/>
    </row>
    <row r="32" spans="1:23">
      <c r="A32" s="18"/>
      <c r="B32" t="s">
        <v>22</v>
      </c>
      <c r="C32" t="s">
        <v>21</v>
      </c>
      <c r="D32" t="s">
        <v>2</v>
      </c>
      <c r="E32" s="10">
        <f>_xlfn.XLOOKUP(cGC!$E$20,aMBCMtables!$D$12:$D$21,aMBCMtables!$F$12:$F$21)</f>
        <v>30</v>
      </c>
      <c r="F32" s="14">
        <f>F30/F31*60</f>
        <v>32.561361960057745</v>
      </c>
      <c r="G32" s="14">
        <f t="shared" ref="G32:T32" si="13">G30/G31*60</f>
        <v>32.561299614979937</v>
      </c>
      <c r="H32" s="14">
        <f t="shared" si="13"/>
        <v>32.561299628929468</v>
      </c>
      <c r="I32" s="14">
        <f t="shared" si="13"/>
        <v>32.561299628926349</v>
      </c>
      <c r="J32" s="14">
        <f t="shared" si="13"/>
        <v>32.561299628926349</v>
      </c>
      <c r="K32" s="14">
        <f t="shared" si="13"/>
        <v>32.561299628926349</v>
      </c>
      <c r="L32" s="14">
        <f t="shared" si="13"/>
        <v>32.561299628926349</v>
      </c>
      <c r="M32" s="14">
        <f t="shared" si="13"/>
        <v>32.561299628926349</v>
      </c>
      <c r="N32" s="14">
        <f t="shared" si="13"/>
        <v>32.561299628926349</v>
      </c>
      <c r="O32" s="14">
        <f t="shared" si="13"/>
        <v>32.561299628926349</v>
      </c>
      <c r="P32" s="14">
        <f t="shared" si="13"/>
        <v>32.561299628926349</v>
      </c>
      <c r="Q32" s="14">
        <f t="shared" si="13"/>
        <v>32.561299628926349</v>
      </c>
      <c r="R32" s="14">
        <f t="shared" si="13"/>
        <v>32.561299628926349</v>
      </c>
      <c r="S32" s="14">
        <f t="shared" si="13"/>
        <v>32.561299628926349</v>
      </c>
      <c r="T32" s="14">
        <f t="shared" si="13"/>
        <v>32.561299628926349</v>
      </c>
      <c r="U32" s="64"/>
      <c r="V32" s="14"/>
      <c r="W32" s="14"/>
    </row>
    <row r="33" spans="1:23">
      <c r="A33" s="18"/>
      <c r="B33" t="s">
        <v>23</v>
      </c>
      <c r="C33" t="s">
        <v>20</v>
      </c>
      <c r="D33" t="s">
        <v>38</v>
      </c>
      <c r="E33" s="10">
        <f>_xlfn.XLOOKUP(E32,aMBCMtables!$D$49:$D$53,aMBCMtables!$G$49:$G$53,,-1)</f>
        <v>41.629999999999988</v>
      </c>
      <c r="F33" s="10">
        <f>_xlfn.XLOOKUP(F32,aMBCMtables!$D$49:$D$53,aMBCMtables!$G$49:$G$53,,-1)</f>
        <v>34.154999999999994</v>
      </c>
      <c r="G33" s="10">
        <f>_xlfn.XLOOKUP(G32,aMBCMtables!$D$49:$D$53,aMBCMtables!$G$49:$G$53,,-1)</f>
        <v>34.154999999999994</v>
      </c>
      <c r="H33" s="10">
        <f>_xlfn.XLOOKUP(H32,aMBCMtables!$D$49:$D$53,aMBCMtables!$G$49:$G$53,,-1)</f>
        <v>34.154999999999994</v>
      </c>
      <c r="I33" s="10">
        <f>_xlfn.XLOOKUP(I32,aMBCMtables!$D$49:$D$53,aMBCMtables!$G$49:$G$53,,-1)</f>
        <v>34.154999999999994</v>
      </c>
      <c r="J33" s="10">
        <f>_xlfn.XLOOKUP(J32,aMBCMtables!$D$49:$D$53,aMBCMtables!$G$49:$G$53,,-1)</f>
        <v>34.154999999999994</v>
      </c>
      <c r="K33" s="10">
        <f>_xlfn.XLOOKUP(K32,aMBCMtables!$D$49:$D$53,aMBCMtables!$G$49:$G$53,,-1)</f>
        <v>34.154999999999994</v>
      </c>
      <c r="L33" s="10">
        <f>_xlfn.XLOOKUP(L32,aMBCMtables!$D$49:$D$53,aMBCMtables!$G$49:$G$53,,-1)</f>
        <v>34.154999999999994</v>
      </c>
      <c r="M33" s="10">
        <f>_xlfn.XLOOKUP(M32,aMBCMtables!$D$49:$D$53,aMBCMtables!$G$49:$G$53,,-1)</f>
        <v>34.154999999999994</v>
      </c>
      <c r="N33" s="10">
        <f>_xlfn.XLOOKUP(N32,aMBCMtables!$D$49:$D$53,aMBCMtables!$G$49:$G$53,,-1)</f>
        <v>34.154999999999994</v>
      </c>
      <c r="O33" s="10">
        <f>_xlfn.XLOOKUP(O32,aMBCMtables!$D$49:$D$53,aMBCMtables!$G$49:$G$53,,-1)</f>
        <v>34.154999999999994</v>
      </c>
      <c r="P33" s="10">
        <f>_xlfn.XLOOKUP(P32,aMBCMtables!$D$49:$D$53,aMBCMtables!$G$49:$G$53,,-1)</f>
        <v>34.154999999999994</v>
      </c>
      <c r="Q33" s="10">
        <f>_xlfn.XLOOKUP(Q32,aMBCMtables!$D$49:$D$53,aMBCMtables!$G$49:$G$53,,-1)</f>
        <v>34.154999999999994</v>
      </c>
      <c r="R33" s="10">
        <f>_xlfn.XLOOKUP(R32,aMBCMtables!$D$49:$D$53,aMBCMtables!$G$49:$G$53,,-1)</f>
        <v>34.154999999999994</v>
      </c>
      <c r="S33" s="10">
        <f>_xlfn.XLOOKUP(S32,aMBCMtables!$D$49:$D$53,aMBCMtables!$G$49:$G$53,,-1)</f>
        <v>34.154999999999994</v>
      </c>
      <c r="T33" s="10">
        <f>_xlfn.XLOOKUP(T32,aMBCMtables!$D$49:$D$53,aMBCMtables!$G$49:$G$53,,-1)</f>
        <v>34.154999999999994</v>
      </c>
      <c r="U33" s="52"/>
      <c r="V33" s="10"/>
      <c r="W33" s="10"/>
    </row>
    <row r="34" spans="1:23">
      <c r="A34" s="65"/>
      <c r="E34" s="10"/>
      <c r="F34" s="10"/>
      <c r="G34" s="7"/>
      <c r="H34" s="7"/>
      <c r="I34" s="7"/>
      <c r="J34" s="7"/>
      <c r="K34" s="7"/>
      <c r="L34" s="7"/>
      <c r="M34" s="7"/>
      <c r="N34" s="7"/>
      <c r="O34" s="7"/>
      <c r="P34" s="7"/>
      <c r="Q34" s="7"/>
      <c r="R34" s="7"/>
      <c r="S34" s="7"/>
      <c r="T34" s="7"/>
      <c r="U34" s="53"/>
      <c r="V34" s="7"/>
      <c r="W34" s="7"/>
    </row>
    <row r="35" spans="1:23">
      <c r="A35" s="18"/>
      <c r="E35" s="10"/>
      <c r="U35" s="19"/>
    </row>
    <row r="36" spans="1:23">
      <c r="A36" s="18"/>
      <c r="B36" t="s">
        <v>52</v>
      </c>
      <c r="C36" t="s">
        <v>53</v>
      </c>
      <c r="D36" t="s">
        <v>7</v>
      </c>
      <c r="E36" s="2">
        <f>E28+E22</f>
        <v>27.062092949869211</v>
      </c>
      <c r="F36" s="2">
        <f t="shared" ref="F36:T36" si="14">F28+F22</f>
        <v>26.933341324060152</v>
      </c>
      <c r="G36" s="2">
        <f>G28+G22</f>
        <v>26.933369725804212</v>
      </c>
      <c r="H36" s="2">
        <f t="shared" si="14"/>
        <v>26.933369719449392</v>
      </c>
      <c r="I36" s="2">
        <f t="shared" si="14"/>
        <v>26.933369719450813</v>
      </c>
      <c r="J36" s="2">
        <f t="shared" si="14"/>
        <v>26.933369719450813</v>
      </c>
      <c r="K36" s="2">
        <f t="shared" si="14"/>
        <v>26.933369719450813</v>
      </c>
      <c r="L36" s="2">
        <f t="shared" si="14"/>
        <v>26.933369719450813</v>
      </c>
      <c r="M36" s="2">
        <f t="shared" si="14"/>
        <v>26.933369719450813</v>
      </c>
      <c r="N36" s="2">
        <f t="shared" si="14"/>
        <v>26.933369719450813</v>
      </c>
      <c r="O36" s="2">
        <f t="shared" si="14"/>
        <v>26.933369719450813</v>
      </c>
      <c r="P36" s="2">
        <f t="shared" si="14"/>
        <v>26.933369719450813</v>
      </c>
      <c r="Q36" s="2">
        <f t="shared" si="14"/>
        <v>26.933369719450813</v>
      </c>
      <c r="R36" s="2">
        <f t="shared" si="14"/>
        <v>26.933369719450813</v>
      </c>
      <c r="S36" s="2">
        <f t="shared" si="14"/>
        <v>26.933369719450813</v>
      </c>
      <c r="T36" s="2">
        <f t="shared" si="14"/>
        <v>26.933369719450813</v>
      </c>
      <c r="U36" s="54"/>
      <c r="V36" s="2"/>
      <c r="W36" s="2"/>
    </row>
    <row r="37" spans="1:23">
      <c r="A37" s="18"/>
      <c r="B37" t="s">
        <v>236</v>
      </c>
      <c r="E37" s="2"/>
      <c r="F37" s="2">
        <f>F36-$E36</f>
        <v>-0.12875162580905908</v>
      </c>
      <c r="G37" s="2">
        <f>G36-F36</f>
        <v>2.8401744060602141E-5</v>
      </c>
      <c r="H37" s="2">
        <f>H36-G36</f>
        <v>-6.3548206696850684E-9</v>
      </c>
      <c r="I37" s="2">
        <f>I36-H36</f>
        <v>1.4210854715202004E-12</v>
      </c>
      <c r="J37" s="2">
        <f t="shared" ref="J37:T37" si="15">J36-I36</f>
        <v>0</v>
      </c>
      <c r="K37" s="2">
        <f t="shared" si="15"/>
        <v>0</v>
      </c>
      <c r="L37" s="2">
        <f t="shared" si="15"/>
        <v>0</v>
      </c>
      <c r="M37" s="2">
        <f t="shared" si="15"/>
        <v>0</v>
      </c>
      <c r="N37" s="2">
        <f t="shared" si="15"/>
        <v>0</v>
      </c>
      <c r="O37" s="2">
        <f t="shared" si="15"/>
        <v>0</v>
      </c>
      <c r="P37" s="2">
        <f t="shared" si="15"/>
        <v>0</v>
      </c>
      <c r="Q37" s="2">
        <f t="shared" si="15"/>
        <v>0</v>
      </c>
      <c r="R37" s="2">
        <f t="shared" si="15"/>
        <v>0</v>
      </c>
      <c r="S37" s="2">
        <f t="shared" si="15"/>
        <v>0</v>
      </c>
      <c r="T37" s="2">
        <f t="shared" si="15"/>
        <v>0</v>
      </c>
      <c r="U37" s="54"/>
      <c r="V37" s="2"/>
      <c r="W37" s="2"/>
    </row>
    <row r="38" spans="1:23">
      <c r="A38" s="18"/>
      <c r="B38" t="s">
        <v>235</v>
      </c>
      <c r="C38" s="66" t="s">
        <v>54</v>
      </c>
      <c r="D38" t="s">
        <v>55</v>
      </c>
      <c r="F38" s="40">
        <f t="shared" ref="F38:T38" si="16">F37/E36</f>
        <v>-4.7576374099210731E-3</v>
      </c>
      <c r="G38" s="40">
        <f>G37/F36</f>
        <v>1.0545198874092252E-6</v>
      </c>
      <c r="H38" s="40">
        <f>H37/G36</f>
        <v>-2.3594599318170977E-10</v>
      </c>
      <c r="I38" s="40">
        <f t="shared" si="16"/>
        <v>5.2763003156414996E-14</v>
      </c>
      <c r="J38" s="40">
        <f t="shared" si="16"/>
        <v>0</v>
      </c>
      <c r="K38" s="40">
        <f t="shared" si="16"/>
        <v>0</v>
      </c>
      <c r="L38" s="40">
        <f t="shared" si="16"/>
        <v>0</v>
      </c>
      <c r="M38" s="40">
        <f t="shared" si="16"/>
        <v>0</v>
      </c>
      <c r="N38" s="40">
        <f t="shared" si="16"/>
        <v>0</v>
      </c>
      <c r="O38" s="40">
        <f t="shared" si="16"/>
        <v>0</v>
      </c>
      <c r="P38" s="40">
        <f t="shared" si="16"/>
        <v>0</v>
      </c>
      <c r="Q38" s="40">
        <f t="shared" si="16"/>
        <v>0</v>
      </c>
      <c r="R38" s="40">
        <f t="shared" si="16"/>
        <v>0</v>
      </c>
      <c r="S38" s="40">
        <f t="shared" si="16"/>
        <v>0</v>
      </c>
      <c r="T38" s="40">
        <f t="shared" si="16"/>
        <v>0</v>
      </c>
      <c r="U38" s="67"/>
      <c r="V38" s="5"/>
      <c r="W38" s="5"/>
    </row>
    <row r="39" spans="1:23">
      <c r="A39" s="18"/>
      <c r="B39" t="s">
        <v>8</v>
      </c>
      <c r="F39" s="2">
        <f>E53</f>
        <v>-0.72272727272727277</v>
      </c>
      <c r="G39" s="34">
        <f t="shared" ref="G39:T39" si="17">F39</f>
        <v>-0.72272727272727277</v>
      </c>
      <c r="H39" s="34">
        <f>G39</f>
        <v>-0.72272727272727277</v>
      </c>
      <c r="I39" s="34">
        <f t="shared" si="17"/>
        <v>-0.72272727272727277</v>
      </c>
      <c r="J39" s="34">
        <f t="shared" si="17"/>
        <v>-0.72272727272727277</v>
      </c>
      <c r="K39" s="34">
        <f t="shared" si="17"/>
        <v>-0.72272727272727277</v>
      </c>
      <c r="L39" s="34">
        <f t="shared" si="17"/>
        <v>-0.72272727272727277</v>
      </c>
      <c r="M39" s="34">
        <f t="shared" si="17"/>
        <v>-0.72272727272727277</v>
      </c>
      <c r="N39" s="34">
        <f t="shared" si="17"/>
        <v>-0.72272727272727277</v>
      </c>
      <c r="O39" s="34">
        <f t="shared" si="17"/>
        <v>-0.72272727272727277</v>
      </c>
      <c r="P39" s="34">
        <f t="shared" si="17"/>
        <v>-0.72272727272727277</v>
      </c>
      <c r="Q39" s="34">
        <f t="shared" si="17"/>
        <v>-0.72272727272727277</v>
      </c>
      <c r="R39" s="34">
        <f t="shared" si="17"/>
        <v>-0.72272727272727277</v>
      </c>
      <c r="S39" s="34">
        <f t="shared" si="17"/>
        <v>-0.72272727272727277</v>
      </c>
      <c r="T39" s="34">
        <f t="shared" si="17"/>
        <v>-0.72272727272727277</v>
      </c>
      <c r="U39" s="59"/>
      <c r="V39" s="34"/>
      <c r="W39" s="34"/>
    </row>
    <row r="40" spans="1:23">
      <c r="A40" s="18"/>
      <c r="B40" t="s">
        <v>234</v>
      </c>
      <c r="C40" t="s">
        <v>65</v>
      </c>
      <c r="D40" t="s">
        <v>55</v>
      </c>
      <c r="F40" s="68">
        <f t="shared" ref="F40:T40" si="18">F38*F39</f>
        <v>3.438474309897503E-3</v>
      </c>
      <c r="G40" s="68">
        <f t="shared" si="18"/>
        <v>-7.6213028226394005E-7</v>
      </c>
      <c r="H40" s="68">
        <f t="shared" si="18"/>
        <v>1.705246041631448E-10</v>
      </c>
      <c r="I40" s="68">
        <f t="shared" si="18"/>
        <v>-3.8133261372136294E-14</v>
      </c>
      <c r="J40" s="68">
        <f t="shared" si="18"/>
        <v>0</v>
      </c>
      <c r="K40" s="68">
        <f t="shared" si="18"/>
        <v>0</v>
      </c>
      <c r="L40" s="68">
        <f t="shared" si="18"/>
        <v>0</v>
      </c>
      <c r="M40" s="68">
        <f t="shared" si="18"/>
        <v>0</v>
      </c>
      <c r="N40" s="68">
        <f t="shared" si="18"/>
        <v>0</v>
      </c>
      <c r="O40" s="68">
        <f t="shared" si="18"/>
        <v>0</v>
      </c>
      <c r="P40" s="68">
        <f t="shared" si="18"/>
        <v>0</v>
      </c>
      <c r="Q40" s="68">
        <f t="shared" si="18"/>
        <v>0</v>
      </c>
      <c r="R40" s="68">
        <f t="shared" si="18"/>
        <v>0</v>
      </c>
      <c r="S40" s="68">
        <f t="shared" si="18"/>
        <v>0</v>
      </c>
      <c r="T40" s="68">
        <f t="shared" si="18"/>
        <v>0</v>
      </c>
      <c r="U40" s="69"/>
      <c r="V40" s="6"/>
      <c r="W40" s="6"/>
    </row>
    <row r="41" spans="1:23">
      <c r="A41" s="18"/>
      <c r="B41" t="s">
        <v>234</v>
      </c>
      <c r="C41" t="s">
        <v>64</v>
      </c>
      <c r="D41" t="s">
        <v>63</v>
      </c>
      <c r="F41" s="1">
        <f t="shared" ref="F41:T41" si="19">F40*F12</f>
        <v>40.033015839600296</v>
      </c>
      <c r="G41" s="1">
        <f t="shared" si="19"/>
        <v>-8.9037404495382524E-3</v>
      </c>
      <c r="H41" s="1">
        <f t="shared" si="19"/>
        <v>1.9921864987060991E-6</v>
      </c>
      <c r="I41" s="1">
        <f t="shared" si="19"/>
        <v>-4.4549916326135772E-10</v>
      </c>
      <c r="J41" s="1">
        <f t="shared" si="19"/>
        <v>0</v>
      </c>
      <c r="K41" s="1">
        <f t="shared" si="19"/>
        <v>0</v>
      </c>
      <c r="L41" s="1">
        <f t="shared" si="19"/>
        <v>0</v>
      </c>
      <c r="M41" s="1">
        <f t="shared" si="19"/>
        <v>0</v>
      </c>
      <c r="N41" s="1">
        <f t="shared" si="19"/>
        <v>0</v>
      </c>
      <c r="O41" s="1">
        <f t="shared" si="19"/>
        <v>0</v>
      </c>
      <c r="P41" s="1">
        <f t="shared" si="19"/>
        <v>0</v>
      </c>
      <c r="Q41" s="1">
        <f t="shared" si="19"/>
        <v>0</v>
      </c>
      <c r="R41" s="1">
        <f t="shared" si="19"/>
        <v>0</v>
      </c>
      <c r="S41" s="1">
        <f t="shared" si="19"/>
        <v>0</v>
      </c>
      <c r="T41" s="1">
        <f t="shared" si="19"/>
        <v>0</v>
      </c>
      <c r="U41" s="49"/>
      <c r="W41" s="1"/>
    </row>
    <row r="42" spans="1:23">
      <c r="A42" s="18"/>
      <c r="U42" s="19"/>
    </row>
    <row r="43" spans="1:23">
      <c r="A43" s="18"/>
      <c r="B43" t="s">
        <v>59</v>
      </c>
      <c r="C43" t="s">
        <v>60</v>
      </c>
      <c r="D43" t="s">
        <v>58</v>
      </c>
      <c r="E43" s="1">
        <f>E12*E30</f>
        <v>93723.479794847968</v>
      </c>
      <c r="F43" s="1">
        <f t="shared" ref="F43:T43" si="20">(F12+F41)*F30</f>
        <v>94045.745572356755</v>
      </c>
      <c r="G43" s="1">
        <f t="shared" si="20"/>
        <v>94045.673897246146</v>
      </c>
      <c r="H43" s="1">
        <f t="shared" si="20"/>
        <v>94045.673913283244</v>
      </c>
      <c r="I43" s="1">
        <f t="shared" si="20"/>
        <v>94045.67391327965</v>
      </c>
      <c r="J43" s="1">
        <f t="shared" si="20"/>
        <v>94045.67391327965</v>
      </c>
      <c r="K43" s="1">
        <f t="shared" si="20"/>
        <v>94045.67391327965</v>
      </c>
      <c r="L43" s="1">
        <f t="shared" si="20"/>
        <v>94045.67391327965</v>
      </c>
      <c r="M43" s="1">
        <f t="shared" si="20"/>
        <v>94045.67391327965</v>
      </c>
      <c r="N43" s="1">
        <f t="shared" si="20"/>
        <v>94045.67391327965</v>
      </c>
      <c r="O43" s="1">
        <f t="shared" si="20"/>
        <v>94045.67391327965</v>
      </c>
      <c r="P43" s="1">
        <f t="shared" si="20"/>
        <v>94045.67391327965</v>
      </c>
      <c r="Q43" s="1">
        <f t="shared" si="20"/>
        <v>94045.67391327965</v>
      </c>
      <c r="R43" s="1">
        <f t="shared" si="20"/>
        <v>94045.67391327965</v>
      </c>
      <c r="S43" s="1">
        <f t="shared" si="20"/>
        <v>94045.67391327965</v>
      </c>
      <c r="T43" s="1">
        <f t="shared" si="20"/>
        <v>94045.67391327965</v>
      </c>
      <c r="U43" s="49"/>
      <c r="V43" s="86" t="s">
        <v>768</v>
      </c>
      <c r="W43" s="1"/>
    </row>
    <row r="44" spans="1:23">
      <c r="A44" s="18"/>
      <c r="B44" t="s">
        <v>61</v>
      </c>
      <c r="C44" t="s">
        <v>62</v>
      </c>
      <c r="D44" t="s">
        <v>58</v>
      </c>
      <c r="E44" s="1"/>
      <c r="F44" s="1">
        <f>F43-E43</f>
        <v>322.26577750878641</v>
      </c>
      <c r="G44" s="1">
        <f>G43-F43</f>
        <v>-7.167511060833931E-2</v>
      </c>
      <c r="H44" s="1">
        <f t="shared" ref="H44:T44" si="21">H43-G43</f>
        <v>1.6037098248489201E-5</v>
      </c>
      <c r="I44" s="1">
        <f t="shared" si="21"/>
        <v>-3.5943230614066124E-9</v>
      </c>
      <c r="J44" s="1">
        <f t="shared" si="21"/>
        <v>0</v>
      </c>
      <c r="K44" s="1">
        <f t="shared" si="21"/>
        <v>0</v>
      </c>
      <c r="L44" s="1">
        <f t="shared" si="21"/>
        <v>0</v>
      </c>
      <c r="M44" s="1">
        <f t="shared" si="21"/>
        <v>0</v>
      </c>
      <c r="N44" s="1">
        <f t="shared" si="21"/>
        <v>0</v>
      </c>
      <c r="O44" s="1">
        <f t="shared" si="21"/>
        <v>0</v>
      </c>
      <c r="P44" s="1">
        <f t="shared" si="21"/>
        <v>0</v>
      </c>
      <c r="Q44" s="1">
        <f t="shared" si="21"/>
        <v>0</v>
      </c>
      <c r="R44" s="1">
        <f t="shared" si="21"/>
        <v>0</v>
      </c>
      <c r="S44" s="1">
        <f t="shared" si="21"/>
        <v>0</v>
      </c>
      <c r="T44" s="1">
        <f t="shared" si="21"/>
        <v>0</v>
      </c>
      <c r="U44" s="49"/>
      <c r="V44" s="1"/>
      <c r="W44" s="1"/>
    </row>
    <row r="45" spans="1:23">
      <c r="A45" s="18"/>
      <c r="B45" t="s">
        <v>237</v>
      </c>
      <c r="D45" t="s">
        <v>55</v>
      </c>
      <c r="E45" s="1"/>
      <c r="F45" s="40">
        <f>F44/$E43</f>
        <v>3.4384743098975455E-3</v>
      </c>
      <c r="G45" s="40">
        <f>G44/$E43</f>
        <v>-7.6475084754886927E-7</v>
      </c>
      <c r="H45" s="40">
        <f t="shared" ref="H45:T45" si="22">H44/$E43</f>
        <v>1.7111078551066313E-10</v>
      </c>
      <c r="I45" s="40">
        <f t="shared" si="22"/>
        <v>-3.8350294603596164E-14</v>
      </c>
      <c r="J45" s="40">
        <f t="shared" si="22"/>
        <v>0</v>
      </c>
      <c r="K45" s="40">
        <f t="shared" si="22"/>
        <v>0</v>
      </c>
      <c r="L45" s="40">
        <f t="shared" si="22"/>
        <v>0</v>
      </c>
      <c r="M45" s="40">
        <f t="shared" si="22"/>
        <v>0</v>
      </c>
      <c r="N45" s="40">
        <f t="shared" si="22"/>
        <v>0</v>
      </c>
      <c r="O45" s="40">
        <f t="shared" si="22"/>
        <v>0</v>
      </c>
      <c r="P45" s="40">
        <f t="shared" si="22"/>
        <v>0</v>
      </c>
      <c r="Q45" s="40">
        <f t="shared" si="22"/>
        <v>0</v>
      </c>
      <c r="R45" s="40">
        <f t="shared" si="22"/>
        <v>0</v>
      </c>
      <c r="S45" s="40">
        <f t="shared" si="22"/>
        <v>0</v>
      </c>
      <c r="T45" s="40">
        <f t="shared" si="22"/>
        <v>0</v>
      </c>
      <c r="U45" s="49"/>
      <c r="V45" s="1"/>
      <c r="W45" s="1"/>
    </row>
    <row r="46" spans="1:23">
      <c r="A46" s="18"/>
      <c r="E46" s="1"/>
      <c r="F46" s="1"/>
      <c r="G46" s="1"/>
      <c r="H46" s="1"/>
      <c r="I46" s="1"/>
      <c r="J46" s="1"/>
      <c r="K46" s="1"/>
      <c r="L46" s="1"/>
      <c r="M46" s="1"/>
      <c r="N46" s="1"/>
      <c r="O46" s="1"/>
      <c r="P46" s="1"/>
      <c r="Q46" s="1"/>
      <c r="R46" s="1"/>
      <c r="S46" s="1"/>
      <c r="T46" s="1"/>
      <c r="U46" s="49"/>
      <c r="V46" s="1"/>
      <c r="W46" s="1"/>
    </row>
    <row r="47" spans="1:23">
      <c r="A47" s="18"/>
      <c r="B47" t="s">
        <v>57</v>
      </c>
      <c r="C47" t="s">
        <v>64</v>
      </c>
      <c r="D47" t="s">
        <v>63</v>
      </c>
      <c r="F47" s="1">
        <f>F12-$E12</f>
        <v>0</v>
      </c>
      <c r="G47" s="1">
        <f>G12-$E12</f>
        <v>40.033015839600921</v>
      </c>
      <c r="H47" s="1">
        <f t="shared" ref="H47:T47" si="23">H12-$E12</f>
        <v>40.024112099152262</v>
      </c>
      <c r="I47" s="1">
        <f t="shared" si="23"/>
        <v>40.024114091338561</v>
      </c>
      <c r="J47" s="1">
        <f t="shared" si="23"/>
        <v>40.024114090892908</v>
      </c>
      <c r="K47" s="1">
        <f t="shared" si="23"/>
        <v>40.024114090892908</v>
      </c>
      <c r="L47" s="1">
        <f t="shared" si="23"/>
        <v>40.024114090892908</v>
      </c>
      <c r="M47" s="1">
        <f t="shared" si="23"/>
        <v>40.024114090892908</v>
      </c>
      <c r="N47" s="1">
        <f t="shared" si="23"/>
        <v>40.024114090892908</v>
      </c>
      <c r="O47" s="1">
        <f t="shared" si="23"/>
        <v>40.024114090892908</v>
      </c>
      <c r="P47" s="1">
        <f t="shared" si="23"/>
        <v>40.024114090892908</v>
      </c>
      <c r="Q47" s="1">
        <f t="shared" si="23"/>
        <v>40.024114090892908</v>
      </c>
      <c r="R47" s="1">
        <f t="shared" si="23"/>
        <v>40.024114090892908</v>
      </c>
      <c r="S47" s="1">
        <f t="shared" si="23"/>
        <v>40.024114090892908</v>
      </c>
      <c r="T47" s="1">
        <f t="shared" si="23"/>
        <v>40.024114090892908</v>
      </c>
      <c r="U47" s="19"/>
    </row>
    <row r="48" spans="1:23">
      <c r="A48" s="18"/>
      <c r="B48" t="s">
        <v>57</v>
      </c>
      <c r="C48" t="s">
        <v>65</v>
      </c>
      <c r="D48" t="s">
        <v>55</v>
      </c>
      <c r="E48" s="1"/>
      <c r="F48" s="40">
        <f>F47/$E12</f>
        <v>0</v>
      </c>
      <c r="G48" s="40">
        <f>G47/$E12</f>
        <v>3.4384743098975564E-3</v>
      </c>
      <c r="H48" s="40">
        <f t="shared" ref="H48:T48" si="24">H47/$E12</f>
        <v>3.4377095590499718E-3</v>
      </c>
      <c r="I48" s="40">
        <f t="shared" si="24"/>
        <v>3.4377097301607727E-3</v>
      </c>
      <c r="J48" s="40">
        <f t="shared" si="24"/>
        <v>3.4377097301224952E-3</v>
      </c>
      <c r="K48" s="40">
        <f t="shared" si="24"/>
        <v>3.4377097301224952E-3</v>
      </c>
      <c r="L48" s="40">
        <f t="shared" si="24"/>
        <v>3.4377097301224952E-3</v>
      </c>
      <c r="M48" s="40">
        <f t="shared" si="24"/>
        <v>3.4377097301224952E-3</v>
      </c>
      <c r="N48" s="40">
        <f t="shared" si="24"/>
        <v>3.4377097301224952E-3</v>
      </c>
      <c r="O48" s="40">
        <f t="shared" si="24"/>
        <v>3.4377097301224952E-3</v>
      </c>
      <c r="P48" s="40">
        <f t="shared" si="24"/>
        <v>3.4377097301224952E-3</v>
      </c>
      <c r="Q48" s="40">
        <f t="shared" si="24"/>
        <v>3.4377097301224952E-3</v>
      </c>
      <c r="R48" s="40">
        <f t="shared" si="24"/>
        <v>3.4377097301224952E-3</v>
      </c>
      <c r="S48" s="40">
        <f t="shared" si="24"/>
        <v>3.4377097301224952E-3</v>
      </c>
      <c r="T48" s="40">
        <f t="shared" si="24"/>
        <v>3.4377097301224952E-3</v>
      </c>
      <c r="U48" s="19"/>
    </row>
    <row r="49" spans="1:21">
      <c r="A49" s="18"/>
      <c r="E49" s="1"/>
      <c r="F49" s="1"/>
      <c r="U49" s="19"/>
    </row>
    <row r="50" spans="1:21">
      <c r="A50" s="18"/>
      <c r="U50" s="19"/>
    </row>
    <row r="51" spans="1:21">
      <c r="A51" s="70" t="s">
        <v>35</v>
      </c>
      <c r="U51" s="19"/>
    </row>
    <row r="52" spans="1:21">
      <c r="A52" s="18"/>
      <c r="B52" t="s">
        <v>37</v>
      </c>
      <c r="C52" t="s">
        <v>6</v>
      </c>
      <c r="D52" t="s">
        <v>36</v>
      </c>
      <c r="E52" s="71">
        <f>_xlfn.XLOOKUP(cGC!E21,aMBCMtables!D25:D37,aMBCMtables!F25:F37)</f>
        <v>16.27</v>
      </c>
      <c r="F52" t="str">
        <f>cGC!E21</f>
        <v>NZTA_Urban Connectors</v>
      </c>
      <c r="G52" s="7"/>
      <c r="U52" s="19"/>
    </row>
    <row r="53" spans="1:21">
      <c r="A53" s="18"/>
      <c r="B53" t="s">
        <v>8</v>
      </c>
      <c r="D53" s="39" t="str">
        <f>cGC!D38</f>
        <v>Mid</v>
      </c>
      <c r="E53" s="13">
        <f>cGC!E38</f>
        <v>-0.72272727272727277</v>
      </c>
      <c r="T53" t="s">
        <v>250</v>
      </c>
      <c r="U53" s="19"/>
    </row>
    <row r="54" spans="1:21">
      <c r="A54" s="18"/>
      <c r="B54" t="s">
        <v>230</v>
      </c>
      <c r="E54" s="9">
        <v>9</v>
      </c>
      <c r="U54" s="19"/>
    </row>
    <row r="55" spans="1:21">
      <c r="A55" s="20"/>
      <c r="B55" s="22"/>
      <c r="C55" s="22"/>
      <c r="D55" s="22"/>
      <c r="E55" s="22"/>
      <c r="F55" s="22"/>
      <c r="G55" s="22"/>
      <c r="H55" s="22"/>
      <c r="I55" s="22"/>
      <c r="J55" s="22"/>
      <c r="K55" s="22"/>
      <c r="L55" s="22"/>
      <c r="M55" s="22"/>
      <c r="N55" s="22"/>
      <c r="O55" s="22"/>
      <c r="P55" s="22"/>
      <c r="Q55" s="22"/>
      <c r="R55" s="22"/>
      <c r="S55" s="22"/>
      <c r="T55" s="22"/>
      <c r="U55" s="23"/>
    </row>
    <row r="56" spans="1:21">
      <c r="A56" t="s">
        <v>297</v>
      </c>
      <c r="E56" s="11"/>
    </row>
  </sheetData>
  <mergeCells count="2">
    <mergeCell ref="F10:T10"/>
    <mergeCell ref="A1:B1"/>
  </mergeCells>
  <hyperlinks>
    <hyperlink ref="A1" location="Dashboard!A1" display="Return to dashboard" xr:uid="{D54FAD9B-B64D-4BE0-A725-A638FD91A6C6}"/>
  </hyperlink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48AAE-95A0-4E42-AB0A-A852E0F163B4}">
  <sheetPr codeName="Sheet12">
    <tabColor theme="9" tint="0.79998168889431442"/>
  </sheetPr>
  <dimension ref="A1:U48"/>
  <sheetViews>
    <sheetView topLeftCell="O1" workbookViewId="0">
      <selection activeCell="O1" sqref="O1"/>
    </sheetView>
  </sheetViews>
  <sheetFormatPr defaultRowHeight="15"/>
  <cols>
    <col min="3" max="3" width="25.28515625" customWidth="1"/>
    <col min="4" max="4" width="36.140625" customWidth="1"/>
    <col min="5" max="5" width="34.5703125" customWidth="1"/>
    <col min="6" max="20" width="15.28515625" customWidth="1"/>
  </cols>
  <sheetData>
    <row r="1" spans="1:21">
      <c r="A1" s="515" t="s">
        <v>280</v>
      </c>
      <c r="B1" s="515"/>
    </row>
    <row r="2" spans="1:21">
      <c r="A2" s="295" t="s">
        <v>983</v>
      </c>
    </row>
    <row r="5" spans="1:21" ht="21">
      <c r="A5" s="83"/>
    </row>
    <row r="6" spans="1:21">
      <c r="D6" s="78" t="s">
        <v>621</v>
      </c>
      <c r="E6" s="180">
        <f>IF(Dashboard!D23=0,2,1)</f>
        <v>1</v>
      </c>
    </row>
    <row r="7" spans="1:21">
      <c r="D7" s="78" t="s">
        <v>906</v>
      </c>
      <c r="E7" s="180">
        <f>IF(E6=1,0,1)</f>
        <v>0</v>
      </c>
    </row>
    <row r="8" spans="1:21">
      <c r="C8" s="4" t="s">
        <v>110</v>
      </c>
    </row>
    <row r="10" spans="1:21">
      <c r="C10" s="27" t="s">
        <v>9</v>
      </c>
      <c r="D10" s="27" t="s">
        <v>111</v>
      </c>
      <c r="E10" s="27" t="s">
        <v>233</v>
      </c>
      <c r="F10" s="27"/>
      <c r="G10" s="27"/>
      <c r="H10" s="27"/>
      <c r="I10" s="27"/>
    </row>
    <row r="11" spans="1:21">
      <c r="C11" t="s">
        <v>232</v>
      </c>
      <c r="E11" s="39">
        <v>1</v>
      </c>
      <c r="F11" s="39">
        <f>E11+1</f>
        <v>2</v>
      </c>
      <c r="G11" s="39">
        <f t="shared" ref="G11:I11" si="0">F11+1</f>
        <v>3</v>
      </c>
      <c r="H11" s="39">
        <f t="shared" si="0"/>
        <v>4</v>
      </c>
      <c r="I11" s="39">
        <f t="shared" si="0"/>
        <v>5</v>
      </c>
      <c r="J11" s="39">
        <f t="shared" ref="J11:N11" si="1">I11+1</f>
        <v>6</v>
      </c>
      <c r="K11" s="39">
        <f t="shared" si="1"/>
        <v>7</v>
      </c>
      <c r="L11" s="39">
        <f t="shared" si="1"/>
        <v>8</v>
      </c>
      <c r="M11" s="39">
        <f t="shared" si="1"/>
        <v>9</v>
      </c>
      <c r="N11" s="39">
        <f t="shared" si="1"/>
        <v>10</v>
      </c>
      <c r="O11" s="39">
        <f t="shared" ref="O11:S11" si="2">N11+1</f>
        <v>11</v>
      </c>
      <c r="P11" s="39">
        <f t="shared" si="2"/>
        <v>12</v>
      </c>
      <c r="Q11" s="39">
        <f t="shared" si="2"/>
        <v>13</v>
      </c>
      <c r="R11" s="39">
        <f t="shared" si="2"/>
        <v>14</v>
      </c>
      <c r="S11" s="39">
        <f t="shared" si="2"/>
        <v>15</v>
      </c>
      <c r="T11" s="39"/>
      <c r="U11" s="39"/>
    </row>
    <row r="12" spans="1:21">
      <c r="C12" t="s">
        <v>115</v>
      </c>
      <c r="D12" t="str">
        <f>cGC!E21&amp;"_"&amp;cGC!E22/2&amp;"_"&amp;cGC!E23</f>
        <v>NZTA_Urban Connectors_1_80</v>
      </c>
      <c r="E12" t="str">
        <f>cGC!E30&amp;"_"&amp;(cGC!E31+cGC!E22*E7)/2&amp;"_"&amp;cGC!E32</f>
        <v>NZTA_Urban Connectors_2_80</v>
      </c>
      <c r="F12" t="str">
        <f>E12</f>
        <v>NZTA_Urban Connectors_2_80</v>
      </c>
      <c r="G12" t="str">
        <f>F12</f>
        <v>NZTA_Urban Connectors_2_80</v>
      </c>
      <c r="H12" t="str">
        <f>G12</f>
        <v>NZTA_Urban Connectors_2_80</v>
      </c>
      <c r="I12" t="str">
        <f>H12</f>
        <v>NZTA_Urban Connectors_2_80</v>
      </c>
      <c r="J12" t="str">
        <f t="shared" ref="J12:N12" si="3">I12</f>
        <v>NZTA_Urban Connectors_2_80</v>
      </c>
      <c r="K12" t="str">
        <f t="shared" si="3"/>
        <v>NZTA_Urban Connectors_2_80</v>
      </c>
      <c r="L12" t="str">
        <f t="shared" si="3"/>
        <v>NZTA_Urban Connectors_2_80</v>
      </c>
      <c r="M12" t="str">
        <f t="shared" si="3"/>
        <v>NZTA_Urban Connectors_2_80</v>
      </c>
      <c r="N12" t="str">
        <f t="shared" si="3"/>
        <v>NZTA_Urban Connectors_2_80</v>
      </c>
      <c r="O12" t="str">
        <f t="shared" ref="O12:S12" si="4">N12</f>
        <v>NZTA_Urban Connectors_2_80</v>
      </c>
      <c r="P12" t="str">
        <f t="shared" si="4"/>
        <v>NZTA_Urban Connectors_2_80</v>
      </c>
      <c r="Q12" t="str">
        <f t="shared" si="4"/>
        <v>NZTA_Urban Connectors_2_80</v>
      </c>
      <c r="R12" t="str">
        <f t="shared" si="4"/>
        <v>NZTA_Urban Connectors_2_80</v>
      </c>
      <c r="S12" t="str">
        <f t="shared" si="4"/>
        <v>NZTA_Urban Connectors_2_80</v>
      </c>
    </row>
    <row r="13" spans="1:21">
      <c r="C13" t="s">
        <v>112</v>
      </c>
      <c r="D13">
        <f>VLOOKUP(D$12,aCASTCI!$B$11:$J$257,4,FALSE)</f>
        <v>80</v>
      </c>
      <c r="E13">
        <f>VLOOKUP(E$12,aCASTCI!$B$11:$J$257,4,FALSE)</f>
        <v>80</v>
      </c>
      <c r="F13">
        <f>VLOOKUP(F$12,aCASTCI!$B$11:$J$257,4,FALSE)</f>
        <v>80</v>
      </c>
      <c r="G13">
        <f>VLOOKUP(G$12,aCASTCI!$B$11:$J$257,4,FALSE)</f>
        <v>80</v>
      </c>
      <c r="H13">
        <f>VLOOKUP(H$12,aCASTCI!$B$11:$J$257,4,FALSE)</f>
        <v>80</v>
      </c>
      <c r="I13">
        <f>VLOOKUP(I$12,aCASTCI!$B$11:$J$257,4,FALSE)</f>
        <v>80</v>
      </c>
      <c r="J13">
        <f>VLOOKUP(J$12,aCASTCI!$B$11:$J$257,4,FALSE)</f>
        <v>80</v>
      </c>
      <c r="K13">
        <f>VLOOKUP(K$12,aCASTCI!$B$11:$J$257,4,FALSE)</f>
        <v>80</v>
      </c>
      <c r="L13">
        <f>VLOOKUP(L$12,aCASTCI!$B$11:$J$257,4,FALSE)</f>
        <v>80</v>
      </c>
      <c r="M13">
        <f>VLOOKUP(M$12,aCASTCI!$B$11:$J$257,4,FALSE)</f>
        <v>80</v>
      </c>
      <c r="N13">
        <f>VLOOKUP(N$12,aCASTCI!$B$11:$J$257,4,FALSE)</f>
        <v>80</v>
      </c>
      <c r="O13">
        <f>VLOOKUP(O$12,aCASTCI!$B$11:$J$257,4,FALSE)</f>
        <v>80</v>
      </c>
      <c r="P13">
        <f>VLOOKUP(P$12,aCASTCI!$B$11:$J$257,4,FALSE)</f>
        <v>80</v>
      </c>
      <c r="Q13">
        <f>VLOOKUP(Q$12,aCASTCI!$B$11:$J$257,4,FALSE)</f>
        <v>80</v>
      </c>
      <c r="R13">
        <f>VLOOKUP(R$12,aCASTCI!$B$11:$J$257,4,FALSE)</f>
        <v>80</v>
      </c>
      <c r="S13">
        <f>VLOOKUP(S$12,aCASTCI!$B$11:$J$257,4,FALSE)</f>
        <v>80</v>
      </c>
    </row>
    <row r="14" spans="1:21">
      <c r="C14" t="s">
        <v>10</v>
      </c>
      <c r="D14">
        <f>VLOOKUP(D$12,aCASTCI!$B$11:$J$257,5,FALSE)</f>
        <v>78</v>
      </c>
      <c r="E14">
        <f>VLOOKUP(E$12,aCASTCI!$B$11:$J$257,5,FALSE)</f>
        <v>82</v>
      </c>
      <c r="F14">
        <f>VLOOKUP(F$12,aCASTCI!$B$11:$J$257,5,FALSE)</f>
        <v>82</v>
      </c>
      <c r="G14">
        <f>VLOOKUP(G$12,aCASTCI!$B$11:$J$257,5,FALSE)</f>
        <v>82</v>
      </c>
      <c r="H14">
        <f>VLOOKUP(H$12,aCASTCI!$B$11:$J$257,5,FALSE)</f>
        <v>82</v>
      </c>
      <c r="I14">
        <f>VLOOKUP(I$12,aCASTCI!$B$11:$J$257,5,FALSE)</f>
        <v>82</v>
      </c>
      <c r="J14">
        <f>VLOOKUP(J$12,aCASTCI!$B$11:$J$257,5,FALSE)</f>
        <v>82</v>
      </c>
      <c r="K14">
        <f>VLOOKUP(K$12,aCASTCI!$B$11:$J$257,5,FALSE)</f>
        <v>82</v>
      </c>
      <c r="L14">
        <f>VLOOKUP(L$12,aCASTCI!$B$11:$J$257,5,FALSE)</f>
        <v>82</v>
      </c>
      <c r="M14">
        <f>VLOOKUP(M$12,aCASTCI!$B$11:$J$257,5,FALSE)</f>
        <v>82</v>
      </c>
      <c r="N14">
        <f>VLOOKUP(N$12,aCASTCI!$B$11:$J$257,5,FALSE)</f>
        <v>82</v>
      </c>
      <c r="O14">
        <f>VLOOKUP(O$12,aCASTCI!$B$11:$J$257,5,FALSE)</f>
        <v>82</v>
      </c>
      <c r="P14">
        <f>VLOOKUP(P$12,aCASTCI!$B$11:$J$257,5,FALSE)</f>
        <v>82</v>
      </c>
      <c r="Q14">
        <f>VLOOKUP(Q$12,aCASTCI!$B$11:$J$257,5,FALSE)</f>
        <v>82</v>
      </c>
      <c r="R14">
        <f>VLOOKUP(R$12,aCASTCI!$B$11:$J$257,5,FALSE)</f>
        <v>82</v>
      </c>
      <c r="S14">
        <f>VLOOKUP(S$12,aCASTCI!$B$11:$J$257,5,FALSE)</f>
        <v>82</v>
      </c>
    </row>
    <row r="15" spans="1:21">
      <c r="C15" s="28" t="s">
        <v>4</v>
      </c>
      <c r="D15">
        <f>VLOOKUP(D$12,aCASTCI!$B$11:$J$257,7,FALSE)</f>
        <v>1600</v>
      </c>
      <c r="E15">
        <f>VLOOKUP(E$12,aCASTCI!$B$11:$J$257,7,FALSE)</f>
        <v>3800</v>
      </c>
      <c r="F15">
        <f>VLOOKUP(F$12,aCASTCI!$B$11:$J$257,7,FALSE)</f>
        <v>3800</v>
      </c>
      <c r="G15">
        <f>VLOOKUP(G$12,aCASTCI!$B$11:$J$257,7,FALSE)</f>
        <v>3800</v>
      </c>
      <c r="H15">
        <f>VLOOKUP(H$12,aCASTCI!$B$11:$J$257,7,FALSE)</f>
        <v>3800</v>
      </c>
      <c r="I15">
        <f>VLOOKUP(I$12,aCASTCI!$B$11:$J$257,7,FALSE)</f>
        <v>3800</v>
      </c>
      <c r="J15">
        <f>VLOOKUP(J$12,aCASTCI!$B$11:$J$257,7,FALSE)</f>
        <v>3800</v>
      </c>
      <c r="K15">
        <f>VLOOKUP(K$12,aCASTCI!$B$11:$J$257,7,FALSE)</f>
        <v>3800</v>
      </c>
      <c r="L15">
        <f>VLOOKUP(L$12,aCASTCI!$B$11:$J$257,7,FALSE)</f>
        <v>3800</v>
      </c>
      <c r="M15">
        <f>VLOOKUP(M$12,aCASTCI!$B$11:$J$257,7,FALSE)</f>
        <v>3800</v>
      </c>
      <c r="N15">
        <f>VLOOKUP(N$12,aCASTCI!$B$11:$J$257,7,FALSE)</f>
        <v>3800</v>
      </c>
      <c r="O15">
        <f>VLOOKUP(O$12,aCASTCI!$B$11:$J$257,7,FALSE)</f>
        <v>3800</v>
      </c>
      <c r="P15">
        <f>VLOOKUP(P$12,aCASTCI!$B$11:$J$257,7,FALSE)</f>
        <v>3800</v>
      </c>
      <c r="Q15">
        <f>VLOOKUP(Q$12,aCASTCI!$B$11:$J$257,7,FALSE)</f>
        <v>3800</v>
      </c>
      <c r="R15">
        <f>VLOOKUP(R$12,aCASTCI!$B$11:$J$257,7,FALSE)</f>
        <v>3800</v>
      </c>
      <c r="S15">
        <f>VLOOKUP(S$12,aCASTCI!$B$11:$J$257,7,FALSE)</f>
        <v>3800</v>
      </c>
    </row>
    <row r="16" spans="1:21">
      <c r="C16" t="s">
        <v>11</v>
      </c>
      <c r="D16">
        <f>VLOOKUP(D$12,aCASTCI!$B$11:$J$257,6,FALSE)</f>
        <v>10</v>
      </c>
      <c r="E16">
        <f>VLOOKUP(E$12,aCASTCI!$B$11:$J$257,6,FALSE)</f>
        <v>10</v>
      </c>
      <c r="F16">
        <f>VLOOKUP(F$12,aCASTCI!$B$11:$J$257,6,FALSE)</f>
        <v>10</v>
      </c>
      <c r="G16">
        <f>VLOOKUP(G$12,aCASTCI!$B$11:$J$257,6,FALSE)</f>
        <v>10</v>
      </c>
      <c r="H16">
        <f>VLOOKUP(H$12,aCASTCI!$B$11:$J$257,6,FALSE)</f>
        <v>10</v>
      </c>
      <c r="I16">
        <f>VLOOKUP(I$12,aCASTCI!$B$11:$J$257,6,FALSE)</f>
        <v>10</v>
      </c>
      <c r="J16">
        <f>VLOOKUP(J$12,aCASTCI!$B$11:$J$257,6,FALSE)</f>
        <v>10</v>
      </c>
      <c r="K16">
        <f>VLOOKUP(K$12,aCASTCI!$B$11:$J$257,6,FALSE)</f>
        <v>10</v>
      </c>
      <c r="L16">
        <f>VLOOKUP(L$12,aCASTCI!$B$11:$J$257,6,FALSE)</f>
        <v>10</v>
      </c>
      <c r="M16">
        <f>VLOOKUP(M$12,aCASTCI!$B$11:$J$257,6,FALSE)</f>
        <v>10</v>
      </c>
      <c r="N16">
        <f>VLOOKUP(N$12,aCASTCI!$B$11:$J$257,6,FALSE)</f>
        <v>10</v>
      </c>
      <c r="O16">
        <f>VLOOKUP(O$12,aCASTCI!$B$11:$J$257,6,FALSE)</f>
        <v>10</v>
      </c>
      <c r="P16">
        <f>VLOOKUP(P$12,aCASTCI!$B$11:$J$257,6,FALSE)</f>
        <v>10</v>
      </c>
      <c r="Q16">
        <f>VLOOKUP(Q$12,aCASTCI!$B$11:$J$257,6,FALSE)</f>
        <v>10</v>
      </c>
      <c r="R16">
        <f>VLOOKUP(R$12,aCASTCI!$B$11:$J$257,6,FALSE)</f>
        <v>10</v>
      </c>
      <c r="S16" s="112">
        <f>VLOOKUP(S$12,aCASTCI!$B$11:$J$257,6,FALSE)</f>
        <v>10</v>
      </c>
    </row>
    <row r="17" spans="1:21">
      <c r="C17" t="s">
        <v>12</v>
      </c>
      <c r="D17">
        <f>VLOOKUP(D$12,aCASTCI!$B$11:$J$257,9,FALSE)</f>
        <v>4</v>
      </c>
      <c r="E17">
        <f>VLOOKUP(E$12,aCASTCI!$B$11:$J$257,9,FALSE)</f>
        <v>4.5</v>
      </c>
      <c r="F17">
        <f>VLOOKUP(F$12,aCASTCI!$B$11:$J$257,9,FALSE)</f>
        <v>4.5</v>
      </c>
      <c r="G17">
        <f>VLOOKUP(G$12,aCASTCI!$B$11:$J$257,9,FALSE)</f>
        <v>4.5</v>
      </c>
      <c r="H17">
        <f>VLOOKUP(H$12,aCASTCI!$B$11:$J$257,9,FALSE)</f>
        <v>4.5</v>
      </c>
      <c r="I17">
        <f>VLOOKUP(I$12,aCASTCI!$B$11:$J$257,9,FALSE)</f>
        <v>4.5</v>
      </c>
      <c r="J17">
        <f>VLOOKUP(J$12,aCASTCI!$B$11:$J$257,9,FALSE)</f>
        <v>4.5</v>
      </c>
      <c r="K17">
        <f>VLOOKUP(K$12,aCASTCI!$B$11:$J$257,9,FALSE)</f>
        <v>4.5</v>
      </c>
      <c r="L17">
        <f>VLOOKUP(L$12,aCASTCI!$B$11:$J$257,9,FALSE)</f>
        <v>4.5</v>
      </c>
      <c r="M17">
        <f>VLOOKUP(M$12,aCASTCI!$B$11:$J$257,9,FALSE)</f>
        <v>4.5</v>
      </c>
      <c r="N17">
        <f>VLOOKUP(N$12,aCASTCI!$B$11:$J$257,9,FALSE)</f>
        <v>4.5</v>
      </c>
      <c r="O17">
        <f>VLOOKUP(O$12,aCASTCI!$B$11:$J$257,9,FALSE)</f>
        <v>4.5</v>
      </c>
      <c r="P17">
        <f>VLOOKUP(P$12,aCASTCI!$B$11:$J$257,9,FALSE)</f>
        <v>4.5</v>
      </c>
      <c r="Q17">
        <f>VLOOKUP(Q$12,aCASTCI!$B$11:$J$257,9,FALSE)</f>
        <v>4.5</v>
      </c>
      <c r="R17">
        <f>VLOOKUP(R$12,aCASTCI!$B$11:$J$257,9,FALSE)</f>
        <v>4.5</v>
      </c>
      <c r="S17">
        <f>VLOOKUP(S$12,aCASTCI!$B$11:$J$257,9,FALSE)</f>
        <v>4.5</v>
      </c>
    </row>
    <row r="18" spans="1:21">
      <c r="C18" t="s">
        <v>109</v>
      </c>
      <c r="D18">
        <f t="shared" ref="D18:I18" si="5">+(3600/D16-3600/D14)/(D15^D17)</f>
        <v>4.7889122596153849E-11</v>
      </c>
      <c r="E18">
        <f t="shared" si="5"/>
        <v>2.4592062847426296E-14</v>
      </c>
      <c r="F18">
        <f t="shared" si="5"/>
        <v>2.4592062847426296E-14</v>
      </c>
      <c r="G18">
        <f t="shared" si="5"/>
        <v>2.4592062847426296E-14</v>
      </c>
      <c r="H18">
        <f t="shared" si="5"/>
        <v>2.4592062847426296E-14</v>
      </c>
      <c r="I18">
        <f t="shared" si="5"/>
        <v>2.4592062847426296E-14</v>
      </c>
      <c r="J18">
        <f t="shared" ref="J18" si="6">+(3600/J16-3600/J14)/(J15^J17)</f>
        <v>2.4592062847426296E-14</v>
      </c>
      <c r="K18">
        <f t="shared" ref="K18" si="7">+(3600/K16-3600/K14)/(K15^K17)</f>
        <v>2.4592062847426296E-14</v>
      </c>
      <c r="L18">
        <f t="shared" ref="L18" si="8">+(3600/L16-3600/L14)/(L15^L17)</f>
        <v>2.4592062847426296E-14</v>
      </c>
      <c r="M18">
        <f t="shared" ref="M18" si="9">+(3600/M16-3600/M14)/(M15^M17)</f>
        <v>2.4592062847426296E-14</v>
      </c>
      <c r="N18">
        <f t="shared" ref="N18" si="10">+(3600/N16-3600/N14)/(N15^N17)</f>
        <v>2.4592062847426296E-14</v>
      </c>
      <c r="O18">
        <f t="shared" ref="O18" si="11">+(3600/O16-3600/O14)/(O15^O17)</f>
        <v>2.4592062847426296E-14</v>
      </c>
      <c r="P18">
        <f t="shared" ref="P18" si="12">+(3600/P16-3600/P14)/(P15^P17)</f>
        <v>2.4592062847426296E-14</v>
      </c>
      <c r="Q18">
        <f t="shared" ref="Q18" si="13">+(3600/Q16-3600/Q14)/(Q15^Q17)</f>
        <v>2.4592062847426296E-14</v>
      </c>
      <c r="R18">
        <f t="shared" ref="R18" si="14">+(3600/R16-3600/R14)/(R15^R17)</f>
        <v>2.4592062847426296E-14</v>
      </c>
      <c r="S18">
        <f t="shared" ref="S18" si="15">+(3600/S16-3600/S14)/(S15^S17)</f>
        <v>2.4592062847426296E-14</v>
      </c>
    </row>
    <row r="19" spans="1:21">
      <c r="A19" t="s">
        <v>628</v>
      </c>
      <c r="D19" s="29"/>
      <c r="E19" s="29"/>
      <c r="F19" s="29"/>
      <c r="G19" s="29"/>
      <c r="H19" s="29"/>
      <c r="I19" s="29"/>
      <c r="J19" s="29"/>
      <c r="K19" s="29"/>
      <c r="L19" s="29"/>
      <c r="M19" s="29"/>
      <c r="N19" s="29"/>
      <c r="O19" s="29"/>
      <c r="P19" s="29"/>
      <c r="Q19" s="29"/>
      <c r="R19" s="29"/>
      <c r="S19" s="29"/>
      <c r="T19" s="29"/>
      <c r="U19" s="29"/>
    </row>
    <row r="20" spans="1:21">
      <c r="B20" t="s">
        <v>113</v>
      </c>
      <c r="C20" t="s">
        <v>840</v>
      </c>
      <c r="D20" s="33">
        <f>cConvergenceC1!E12/cConvergenceC1!$E$54/2</f>
        <v>646.81490541648009</v>
      </c>
      <c r="E20" s="33">
        <f>cConvergenceC1!F12/cConvergenceC1!$E$54/2</f>
        <v>646.81490541648009</v>
      </c>
      <c r="F20" s="33">
        <f>cConvergenceC1!G12/cConvergenceC1!$E$54/2</f>
        <v>649.03896185201347</v>
      </c>
      <c r="G20" s="33">
        <f>cConvergenceC1!H12/cConvergenceC1!$E$54/2</f>
        <v>649.03846719976627</v>
      </c>
      <c r="H20" s="33">
        <f>cConvergenceC1!I12/cConvergenceC1!$E$54/2</f>
        <v>649.03846731044325</v>
      </c>
      <c r="I20" s="33">
        <f>cConvergenceC1!J12/cConvergenceC1!$E$54/2</f>
        <v>649.03846731041858</v>
      </c>
      <c r="J20" s="33">
        <f>cConvergenceC1!K12/cConvergenceC1!$E$54/2</f>
        <v>649.03846731041858</v>
      </c>
      <c r="K20" s="33">
        <f>cConvergenceC1!L12/cConvergenceC1!$E$54/2</f>
        <v>649.03846731041858</v>
      </c>
      <c r="L20" s="33">
        <f>cConvergenceC1!M12/cConvergenceC1!$E$54/2</f>
        <v>649.03846731041858</v>
      </c>
      <c r="M20" s="33">
        <f>cConvergenceC1!N12/cConvergenceC1!$E$54/2</f>
        <v>649.03846731041858</v>
      </c>
      <c r="N20" s="33">
        <f>cConvergenceC1!O12/cConvergenceC1!$E$54/2</f>
        <v>649.03846731041858</v>
      </c>
      <c r="O20" s="33">
        <f>cConvergenceC1!P12/cConvergenceC1!$E$54/2</f>
        <v>649.03846731041858</v>
      </c>
      <c r="P20" s="33">
        <f>cConvergenceC1!Q12/cConvergenceC1!$E$54/2</f>
        <v>649.03846731041858</v>
      </c>
      <c r="Q20" s="33">
        <f>cConvergenceC1!R12/cConvergenceC1!$E$54/2</f>
        <v>649.03846731041858</v>
      </c>
      <c r="R20" s="33">
        <f>cConvergenceC1!S12/cConvergenceC1!$E$54/2</f>
        <v>649.03846731041858</v>
      </c>
      <c r="S20" s="33">
        <f>cConvergenceC1!T12/cConvergenceC1!$E$54/2</f>
        <v>649.03846731041858</v>
      </c>
      <c r="T20" s="33"/>
      <c r="U20" s="33"/>
    </row>
    <row r="21" spans="1:21">
      <c r="B21" t="s">
        <v>114</v>
      </c>
      <c r="C21" t="s">
        <v>13</v>
      </c>
      <c r="D21" s="38">
        <f>IF(D20&lt;D$15,3600/(3600/D$14+(D$18*D20^D$17)),D$16)</f>
        <v>66.01141091097162</v>
      </c>
      <c r="E21" s="38">
        <f t="shared" ref="E21:I21" si="16">IF(E20&lt;E$15,3600/(3600/E$14+(E$18*E20^E$17)),E$16)</f>
        <v>81.79603827875728</v>
      </c>
      <c r="F21" s="38">
        <f t="shared" si="16"/>
        <v>81.792871326743395</v>
      </c>
      <c r="G21" s="38">
        <f t="shared" si="16"/>
        <v>81.792872035313749</v>
      </c>
      <c r="H21" s="38">
        <f t="shared" si="16"/>
        <v>81.792872035155213</v>
      </c>
      <c r="I21" s="38">
        <f t="shared" si="16"/>
        <v>81.792872035155256</v>
      </c>
      <c r="J21" s="38">
        <f t="shared" ref="J21" si="17">IF(J20&lt;J$15,3600/(3600/J$14+(J$18*J20^J$17)),J$16)</f>
        <v>81.792872035155256</v>
      </c>
      <c r="K21" s="38">
        <f t="shared" ref="K21" si="18">IF(K20&lt;K$15,3600/(3600/K$14+(K$18*K20^K$17)),K$16)</f>
        <v>81.792872035155256</v>
      </c>
      <c r="L21" s="38">
        <f t="shared" ref="L21" si="19">IF(L20&lt;L$15,3600/(3600/L$14+(L$18*L20^L$17)),L$16)</f>
        <v>81.792872035155256</v>
      </c>
      <c r="M21" s="38">
        <f t="shared" ref="M21" si="20">IF(M20&lt;M$15,3600/(3600/M$14+(M$18*M20^M$17)),M$16)</f>
        <v>81.792872035155256</v>
      </c>
      <c r="N21" s="38">
        <f t="shared" ref="N21" si="21">IF(N20&lt;N$15,3600/(3600/N$14+(N$18*N20^N$17)),N$16)</f>
        <v>81.792872035155256</v>
      </c>
      <c r="O21" s="38">
        <f t="shared" ref="O21" si="22">IF(O20&lt;O$15,3600/(3600/O$14+(O$18*O20^O$17)),O$16)</f>
        <v>81.792872035155256</v>
      </c>
      <c r="P21" s="38">
        <f t="shared" ref="P21" si="23">IF(P20&lt;P$15,3600/(3600/P$14+(P$18*P20^P$17)),P$16)</f>
        <v>81.792872035155256</v>
      </c>
      <c r="Q21" s="38">
        <f t="shared" ref="Q21" si="24">IF(Q20&lt;Q$15,3600/(3600/Q$14+(Q$18*Q20^Q$17)),Q$16)</f>
        <v>81.792872035155256</v>
      </c>
      <c r="R21" s="38">
        <f t="shared" ref="R21" si="25">IF(R20&lt;R$15,3600/(3600/R$14+(R$18*R20^R$17)),R$16)</f>
        <v>81.792872035155256</v>
      </c>
      <c r="S21" s="38">
        <f t="shared" ref="S21" si="26">IF(S20&lt;S$15,3600/(3600/S$14+(S$18*S20^S$17)),S$16)</f>
        <v>81.792872035155256</v>
      </c>
      <c r="T21" s="38"/>
      <c r="U21" s="38"/>
    </row>
    <row r="22" spans="1:21">
      <c r="C22" t="s">
        <v>265</v>
      </c>
      <c r="D22" s="73">
        <f>D20/D$15</f>
        <v>0.40425931588530006</v>
      </c>
      <c r="E22" s="73">
        <f t="shared" ref="E22:S22" si="27">E20/E15</f>
        <v>0.17021444879381054</v>
      </c>
      <c r="F22" s="73">
        <f t="shared" si="27"/>
        <v>0.17079972680316144</v>
      </c>
      <c r="G22" s="73">
        <f t="shared" si="27"/>
        <v>0.17079959663151745</v>
      </c>
      <c r="H22" s="73">
        <f t="shared" si="27"/>
        <v>0.17079959666064295</v>
      </c>
      <c r="I22" s="73">
        <f t="shared" si="27"/>
        <v>0.17079959666063646</v>
      </c>
      <c r="J22" s="73">
        <f t="shared" si="27"/>
        <v>0.17079959666063646</v>
      </c>
      <c r="K22" s="73">
        <f t="shared" si="27"/>
        <v>0.17079959666063646</v>
      </c>
      <c r="L22" s="73">
        <f t="shared" si="27"/>
        <v>0.17079959666063646</v>
      </c>
      <c r="M22" s="73">
        <f t="shared" si="27"/>
        <v>0.17079959666063646</v>
      </c>
      <c r="N22" s="73">
        <f t="shared" si="27"/>
        <v>0.17079959666063646</v>
      </c>
      <c r="O22" s="73">
        <f t="shared" si="27"/>
        <v>0.17079959666063646</v>
      </c>
      <c r="P22" s="73">
        <f t="shared" si="27"/>
        <v>0.17079959666063646</v>
      </c>
      <c r="Q22" s="73">
        <f t="shared" si="27"/>
        <v>0.17079959666063646</v>
      </c>
      <c r="R22" s="73">
        <f t="shared" si="27"/>
        <v>0.17079959666063646</v>
      </c>
      <c r="S22" s="73">
        <f t="shared" si="27"/>
        <v>0.17079959666063646</v>
      </c>
    </row>
    <row r="23" spans="1:21">
      <c r="C23" t="s">
        <v>839</v>
      </c>
      <c r="D23" s="38">
        <f>D21/D$16</f>
        <v>6.601141091097162</v>
      </c>
      <c r="E23" s="38">
        <f t="shared" ref="E23:S23" si="28">E21/E$16</f>
        <v>8.1796038278757273</v>
      </c>
      <c r="F23" s="38">
        <f t="shared" si="28"/>
        <v>8.1792871326743395</v>
      </c>
      <c r="G23" s="38">
        <f t="shared" si="28"/>
        <v>8.1792872035313753</v>
      </c>
      <c r="H23" s="38">
        <f t="shared" si="28"/>
        <v>8.1792872035155213</v>
      </c>
      <c r="I23" s="38">
        <f t="shared" si="28"/>
        <v>8.1792872035155249</v>
      </c>
      <c r="J23" s="38">
        <f t="shared" si="28"/>
        <v>8.1792872035155249</v>
      </c>
      <c r="K23" s="38">
        <f t="shared" si="28"/>
        <v>8.1792872035155249</v>
      </c>
      <c r="L23" s="38">
        <f t="shared" si="28"/>
        <v>8.1792872035155249</v>
      </c>
      <c r="M23" s="38">
        <f t="shared" si="28"/>
        <v>8.1792872035155249</v>
      </c>
      <c r="N23" s="38">
        <f t="shared" si="28"/>
        <v>8.1792872035155249</v>
      </c>
      <c r="O23" s="38">
        <f t="shared" si="28"/>
        <v>8.1792872035155249</v>
      </c>
      <c r="P23" s="38">
        <f t="shared" si="28"/>
        <v>8.1792872035155249</v>
      </c>
      <c r="Q23" s="38">
        <f t="shared" si="28"/>
        <v>8.1792872035155249</v>
      </c>
      <c r="R23" s="38">
        <f t="shared" si="28"/>
        <v>8.1792872035155249</v>
      </c>
      <c r="S23" s="38">
        <f t="shared" si="28"/>
        <v>8.1792872035155249</v>
      </c>
    </row>
    <row r="24" spans="1:21">
      <c r="D24" s="29"/>
      <c r="E24" s="29"/>
      <c r="F24" s="29"/>
      <c r="G24" s="29"/>
    </row>
    <row r="25" spans="1:21">
      <c r="A25" t="s">
        <v>629</v>
      </c>
      <c r="D25" s="30"/>
      <c r="E25" s="30"/>
      <c r="F25" s="30"/>
      <c r="G25" s="30"/>
    </row>
    <row r="26" spans="1:21">
      <c r="B26" t="s">
        <v>113</v>
      </c>
      <c r="C26" t="s">
        <v>840</v>
      </c>
      <c r="D26" s="33">
        <f>cConvergenceC2!E12/cConvergenceC1!$E$54/2</f>
        <v>646.81490541648009</v>
      </c>
      <c r="E26" s="33">
        <f>cConvergenceC2!F12/cConvergenceC1!$E$54/2</f>
        <v>646.81490541648009</v>
      </c>
      <c r="F26" s="33">
        <f>cConvergenceC2!G12/cConvergenceC1!$E$54/2</f>
        <v>649.03896185201347</v>
      </c>
      <c r="G26" s="33">
        <f>cConvergenceC2!H12/cConvergenceC1!$E$54/2</f>
        <v>649.03846719976627</v>
      </c>
      <c r="H26" s="33">
        <f>cConvergenceC2!I12/cConvergenceC1!$E$54/2</f>
        <v>649.03846731044325</v>
      </c>
      <c r="I26" s="33">
        <f>cConvergenceC2!J12/cConvergenceC1!$E$54/2</f>
        <v>649.03846731041858</v>
      </c>
      <c r="J26" s="33">
        <f>cConvergenceC2!K12/cConvergenceC1!$E$54/2</f>
        <v>649.03846731041858</v>
      </c>
      <c r="K26" s="33">
        <f>cConvergenceC2!L12/cConvergenceC1!$E$54/2</f>
        <v>649.03846731041858</v>
      </c>
      <c r="L26" s="33">
        <f>cConvergenceC2!M12/cConvergenceC1!$E$54/2</f>
        <v>649.03846731041858</v>
      </c>
      <c r="M26" s="33">
        <f>cConvergenceC2!N12/cConvergenceC1!$E$54/2</f>
        <v>649.03846731041858</v>
      </c>
      <c r="N26" s="33">
        <f>cConvergenceC2!O12/cConvergenceC1!$E$54/2</f>
        <v>649.03846731041858</v>
      </c>
      <c r="O26" s="33">
        <f>cConvergenceC2!P12/cConvergenceC1!$E$54/2</f>
        <v>649.03846731041858</v>
      </c>
      <c r="P26" s="33">
        <f>cConvergenceC2!Q12/cConvergenceC1!$E$54/2</f>
        <v>649.03846731041858</v>
      </c>
      <c r="Q26" s="33">
        <f>cConvergenceC2!R12/cConvergenceC1!$E$54/2</f>
        <v>649.03846731041858</v>
      </c>
      <c r="R26" s="33">
        <f>cConvergenceC2!S12/cConvergenceC1!$E$54/2</f>
        <v>649.03846731041858</v>
      </c>
      <c r="S26" s="33">
        <f>cConvergenceC2!T12/cConvergenceC1!$E$54/2</f>
        <v>649.03846731041858</v>
      </c>
    </row>
    <row r="27" spans="1:21">
      <c r="B27" t="s">
        <v>114</v>
      </c>
      <c r="C27" t="s">
        <v>13</v>
      </c>
      <c r="D27" s="38">
        <f>IF(D26&lt;D$15,3600/(3600/D$14+(D$18*D26^D$17)),D$16)</f>
        <v>66.01141091097162</v>
      </c>
      <c r="E27" s="38">
        <f t="shared" ref="E27:S27" si="29">IF(E26&lt;E$15,3600/(3600/E$14+(E$18*E26^E$17)),E$16)</f>
        <v>81.79603827875728</v>
      </c>
      <c r="F27" s="38">
        <f t="shared" si="29"/>
        <v>81.792871326743395</v>
      </c>
      <c r="G27" s="38">
        <f t="shared" si="29"/>
        <v>81.792872035313749</v>
      </c>
      <c r="H27" s="38">
        <f t="shared" si="29"/>
        <v>81.792872035155213</v>
      </c>
      <c r="I27" s="38">
        <f t="shared" si="29"/>
        <v>81.792872035155256</v>
      </c>
      <c r="J27" s="38">
        <f t="shared" si="29"/>
        <v>81.792872035155256</v>
      </c>
      <c r="K27" s="38">
        <f t="shared" si="29"/>
        <v>81.792872035155256</v>
      </c>
      <c r="L27" s="38">
        <f t="shared" si="29"/>
        <v>81.792872035155256</v>
      </c>
      <c r="M27" s="38">
        <f t="shared" si="29"/>
        <v>81.792872035155256</v>
      </c>
      <c r="N27" s="38">
        <f t="shared" si="29"/>
        <v>81.792872035155256</v>
      </c>
      <c r="O27" s="38">
        <f t="shared" si="29"/>
        <v>81.792872035155256</v>
      </c>
      <c r="P27" s="38">
        <f t="shared" si="29"/>
        <v>81.792872035155256</v>
      </c>
      <c r="Q27" s="38">
        <f t="shared" si="29"/>
        <v>81.792872035155256</v>
      </c>
      <c r="R27" s="38">
        <f t="shared" si="29"/>
        <v>81.792872035155256</v>
      </c>
      <c r="S27" s="38">
        <f t="shared" si="29"/>
        <v>81.792872035155256</v>
      </c>
    </row>
    <row r="28" spans="1:21">
      <c r="C28" t="s">
        <v>265</v>
      </c>
      <c r="D28" s="73">
        <f>D26/D$15</f>
        <v>0.40425931588530006</v>
      </c>
      <c r="E28" s="73">
        <f t="shared" ref="E28:S28" si="30">E26/E$15</f>
        <v>0.17021444879381054</v>
      </c>
      <c r="F28" s="73">
        <f t="shared" si="30"/>
        <v>0.17079972680316144</v>
      </c>
      <c r="G28" s="73">
        <f t="shared" si="30"/>
        <v>0.17079959663151745</v>
      </c>
      <c r="H28" s="73">
        <f t="shared" si="30"/>
        <v>0.17079959666064295</v>
      </c>
      <c r="I28" s="73">
        <f t="shared" si="30"/>
        <v>0.17079959666063646</v>
      </c>
      <c r="J28" s="73">
        <f t="shared" si="30"/>
        <v>0.17079959666063646</v>
      </c>
      <c r="K28" s="73">
        <f t="shared" si="30"/>
        <v>0.17079959666063646</v>
      </c>
      <c r="L28" s="73">
        <f t="shared" si="30"/>
        <v>0.17079959666063646</v>
      </c>
      <c r="M28" s="73">
        <f t="shared" si="30"/>
        <v>0.17079959666063646</v>
      </c>
      <c r="N28" s="73">
        <f t="shared" si="30"/>
        <v>0.17079959666063646</v>
      </c>
      <c r="O28" s="73">
        <f t="shared" si="30"/>
        <v>0.17079959666063646</v>
      </c>
      <c r="P28" s="73">
        <f t="shared" si="30"/>
        <v>0.17079959666063646</v>
      </c>
      <c r="Q28" s="73">
        <f t="shared" si="30"/>
        <v>0.17079959666063646</v>
      </c>
      <c r="R28" s="73">
        <f t="shared" si="30"/>
        <v>0.17079959666063646</v>
      </c>
      <c r="S28" s="73">
        <f t="shared" si="30"/>
        <v>0.17079959666063646</v>
      </c>
    </row>
    <row r="29" spans="1:21">
      <c r="C29" t="s">
        <v>839</v>
      </c>
      <c r="D29" s="38">
        <f>D27/D$16</f>
        <v>6.601141091097162</v>
      </c>
      <c r="E29" s="38">
        <f t="shared" ref="E29:S29" si="31">E27/E$16</f>
        <v>8.1796038278757273</v>
      </c>
      <c r="F29" s="38">
        <f t="shared" si="31"/>
        <v>8.1792871326743395</v>
      </c>
      <c r="G29" s="38">
        <f t="shared" si="31"/>
        <v>8.1792872035313753</v>
      </c>
      <c r="H29" s="38">
        <f t="shared" si="31"/>
        <v>8.1792872035155213</v>
      </c>
      <c r="I29" s="38">
        <f t="shared" si="31"/>
        <v>8.1792872035155249</v>
      </c>
      <c r="J29" s="38">
        <f t="shared" si="31"/>
        <v>8.1792872035155249</v>
      </c>
      <c r="K29" s="38">
        <f t="shared" si="31"/>
        <v>8.1792872035155249</v>
      </c>
      <c r="L29" s="38">
        <f t="shared" si="31"/>
        <v>8.1792872035155249</v>
      </c>
      <c r="M29" s="38">
        <f t="shared" si="31"/>
        <v>8.1792872035155249</v>
      </c>
      <c r="N29" s="38">
        <f t="shared" si="31"/>
        <v>8.1792872035155249</v>
      </c>
      <c r="O29" s="38">
        <f t="shared" si="31"/>
        <v>8.1792872035155249</v>
      </c>
      <c r="P29" s="38">
        <f t="shared" si="31"/>
        <v>8.1792872035155249</v>
      </c>
      <c r="Q29" s="38">
        <f t="shared" si="31"/>
        <v>8.1792872035155249</v>
      </c>
      <c r="R29" s="38">
        <f t="shared" si="31"/>
        <v>8.1792872035155249</v>
      </c>
      <c r="S29" s="38">
        <f t="shared" si="31"/>
        <v>8.1792872035155249</v>
      </c>
    </row>
    <row r="30" spans="1:21">
      <c r="D30" s="30"/>
      <c r="E30" s="30"/>
      <c r="F30" s="30"/>
      <c r="G30" s="30"/>
    </row>
    <row r="31" spans="1:21">
      <c r="C31" s="256"/>
      <c r="D31" s="397"/>
      <c r="E31" s="397"/>
      <c r="F31" s="30"/>
      <c r="G31" s="30"/>
    </row>
    <row r="32" spans="1:21">
      <c r="C32" s="256" t="s">
        <v>847</v>
      </c>
      <c r="D32" s="397" t="e">
        <f>Dashboard!$D$18&amp;"_NA_"&amp;Dashboard!$D23&amp;"_"&amp;Dashboard!#REF!</f>
        <v>#REF!</v>
      </c>
      <c r="E32" s="397" t="str">
        <f>Dashboard!$D$18&amp;"_NA_"&amp;Dashboard!$D24&amp;"_"&amp; IF(Dashboard!$D45="",50,Dashboard!$D45)</f>
        <v>NZTA_NA_4_80</v>
      </c>
      <c r="F32" s="30"/>
      <c r="G32" s="30"/>
    </row>
    <row r="33" spans="1:7">
      <c r="A33" t="s">
        <v>297</v>
      </c>
      <c r="D33" s="30"/>
      <c r="E33" s="30"/>
      <c r="F33" s="30"/>
      <c r="G33" s="30"/>
    </row>
    <row r="34" spans="1:7">
      <c r="D34" s="30"/>
      <c r="E34" s="30"/>
      <c r="F34" s="30"/>
      <c r="G34" s="30"/>
    </row>
    <row r="35" spans="1:7">
      <c r="D35" s="30"/>
      <c r="E35" s="30"/>
      <c r="F35" s="30"/>
      <c r="G35" s="30"/>
    </row>
    <row r="36" spans="1:7">
      <c r="D36" s="30"/>
      <c r="E36" s="30"/>
      <c r="F36" s="30"/>
      <c r="G36" s="30"/>
    </row>
    <row r="37" spans="1:7">
      <c r="D37" s="30"/>
      <c r="E37" s="30"/>
      <c r="F37" s="30"/>
      <c r="G37" s="30"/>
    </row>
    <row r="38" spans="1:7">
      <c r="D38" s="30"/>
      <c r="E38" s="30"/>
      <c r="F38" s="30"/>
      <c r="G38" s="30"/>
    </row>
    <row r="39" spans="1:7">
      <c r="D39" s="30"/>
      <c r="E39" s="30"/>
      <c r="F39" s="30"/>
      <c r="G39" s="30"/>
    </row>
    <row r="40" spans="1:7">
      <c r="D40" s="30"/>
      <c r="E40" s="30"/>
      <c r="F40" s="30"/>
      <c r="G40" s="30"/>
    </row>
    <row r="41" spans="1:7">
      <c r="D41" s="30"/>
      <c r="E41" s="30"/>
      <c r="F41" s="30"/>
      <c r="G41" s="30"/>
    </row>
    <row r="42" spans="1:7">
      <c r="D42" s="30"/>
      <c r="E42" s="30"/>
      <c r="F42" s="30"/>
      <c r="G42" s="30"/>
    </row>
    <row r="43" spans="1:7">
      <c r="D43" s="30"/>
      <c r="E43" s="30"/>
      <c r="F43" s="30"/>
      <c r="G43" s="30"/>
    </row>
    <row r="44" spans="1:7">
      <c r="D44" s="30"/>
      <c r="E44" s="30"/>
      <c r="F44" s="30"/>
      <c r="G44" s="30"/>
    </row>
    <row r="45" spans="1:7">
      <c r="D45" s="30"/>
      <c r="E45" s="30"/>
      <c r="F45" s="30"/>
      <c r="G45" s="30"/>
    </row>
    <row r="46" spans="1:7">
      <c r="D46" s="30"/>
      <c r="E46" s="30"/>
      <c r="F46" s="30"/>
      <c r="G46" s="30"/>
    </row>
    <row r="47" spans="1:7">
      <c r="D47" s="30"/>
      <c r="E47" s="30"/>
      <c r="F47" s="30"/>
      <c r="G47" s="30"/>
    </row>
    <row r="48" spans="1:7">
      <c r="D48" s="30"/>
      <c r="E48" s="30"/>
      <c r="F48" s="30"/>
      <c r="G48" s="30"/>
    </row>
  </sheetData>
  <mergeCells count="1">
    <mergeCell ref="A1:B1"/>
  </mergeCells>
  <hyperlinks>
    <hyperlink ref="A1" location="Dashboard!A1" display="Return to dashboard" xr:uid="{6B55B1FC-875A-4264-A1B5-FAF7812C7938}"/>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78857-9131-4B17-8BE8-708043C80274}">
  <sheetPr codeName="Sheet13">
    <tabColor theme="8" tint="0.79998168889431442"/>
  </sheetPr>
  <dimension ref="A1"/>
  <sheetViews>
    <sheetView workbookViewId="0"/>
  </sheetViews>
  <sheetFormatPr defaultRowHeight="15"/>
  <cols>
    <col min="1" max="1" width="17.28515625" customWidth="1"/>
  </cols>
  <sheetData>
    <row r="1" spans="1:1">
      <c r="A1" s="84" t="s">
        <v>280</v>
      </c>
    </row>
  </sheetData>
  <hyperlinks>
    <hyperlink ref="A1" location="Dashboard!A1" display="Return to dashboard" xr:uid="{6E1BA6E1-E4D5-411D-A638-C1868982E60D}"/>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E325-D3D5-4442-9A65-6201FF57D945}">
  <sheetPr codeName="Sheet14">
    <tabColor theme="8" tint="0.79998168889431442"/>
  </sheetPr>
  <dimension ref="A1:G53"/>
  <sheetViews>
    <sheetView workbookViewId="0">
      <selection activeCell="B4" sqref="B4"/>
    </sheetView>
  </sheetViews>
  <sheetFormatPr defaultRowHeight="15"/>
  <cols>
    <col min="1" max="1" width="10.5703125" customWidth="1"/>
    <col min="2" max="2" width="42.85546875" customWidth="1"/>
    <col min="3" max="3" width="30.5703125" style="92" customWidth="1"/>
    <col min="4" max="5" width="21.5703125" customWidth="1"/>
    <col min="6" max="7" width="13.7109375" customWidth="1"/>
  </cols>
  <sheetData>
    <row r="1" spans="1:7">
      <c r="A1" s="515" t="s">
        <v>280</v>
      </c>
      <c r="B1" s="515"/>
    </row>
    <row r="2" spans="1:7">
      <c r="A2" s="295" t="s">
        <v>980</v>
      </c>
    </row>
    <row r="3" spans="1:7">
      <c r="A3" s="434" t="s">
        <v>998</v>
      </c>
    </row>
    <row r="5" spans="1:7" ht="18.75">
      <c r="C5" s="94"/>
      <c r="G5" s="93"/>
    </row>
    <row r="6" spans="1:7">
      <c r="B6" s="95" t="s">
        <v>781</v>
      </c>
      <c r="C6" s="355" t="s">
        <v>298</v>
      </c>
      <c r="D6" s="533" t="s">
        <v>299</v>
      </c>
      <c r="E6" s="533"/>
      <c r="G6" s="93"/>
    </row>
    <row r="7" spans="1:7">
      <c r="B7" s="96" t="s">
        <v>300</v>
      </c>
      <c r="C7" s="461">
        <v>0.5</v>
      </c>
      <c r="D7" s="534" t="s">
        <v>1107</v>
      </c>
      <c r="E7" s="534"/>
      <c r="F7" s="354"/>
      <c r="G7" s="99"/>
    </row>
    <row r="8" spans="1:7">
      <c r="B8" s="96" t="s">
        <v>301</v>
      </c>
      <c r="C8" s="461">
        <v>0.3</v>
      </c>
      <c r="D8" s="534" t="s">
        <v>302</v>
      </c>
      <c r="E8" s="534"/>
      <c r="F8" s="98"/>
      <c r="G8" s="98"/>
    </row>
    <row r="9" spans="1:7">
      <c r="B9" s="96" t="s">
        <v>303</v>
      </c>
      <c r="C9" s="461">
        <v>0.2</v>
      </c>
      <c r="D9" s="534" t="s">
        <v>304</v>
      </c>
      <c r="E9" s="534"/>
      <c r="F9" s="98"/>
      <c r="G9" s="98"/>
    </row>
    <row r="10" spans="1:7">
      <c r="B10" s="96" t="s">
        <v>307</v>
      </c>
      <c r="C10" s="461">
        <v>0.1</v>
      </c>
      <c r="D10" s="534" t="s">
        <v>308</v>
      </c>
      <c r="E10" s="534"/>
      <c r="F10" s="98"/>
      <c r="G10" s="102"/>
    </row>
    <row r="12" spans="1:7">
      <c r="B12" s="104" t="s">
        <v>309</v>
      </c>
      <c r="C12" s="105">
        <v>0.6</v>
      </c>
      <c r="D12" s="106" t="s">
        <v>310</v>
      </c>
      <c r="E12" s="107"/>
    </row>
    <row r="13" spans="1:7">
      <c r="B13" s="104" t="s">
        <v>777</v>
      </c>
      <c r="C13" s="272">
        <v>0.5</v>
      </c>
      <c r="D13" s="106" t="s">
        <v>778</v>
      </c>
      <c r="E13" s="107"/>
    </row>
    <row r="14" spans="1:7">
      <c r="C14"/>
    </row>
    <row r="15" spans="1:7">
      <c r="B15" t="s">
        <v>1109</v>
      </c>
      <c r="D15" s="535" t="s">
        <v>1106</v>
      </c>
      <c r="E15" s="536"/>
      <c r="F15" s="47"/>
      <c r="G15" s="47"/>
    </row>
    <row r="16" spans="1:7">
      <c r="B16" s="95" t="s">
        <v>780</v>
      </c>
      <c r="C16" s="355" t="s">
        <v>779</v>
      </c>
      <c r="D16" s="115" t="s">
        <v>305</v>
      </c>
      <c r="E16" s="115" t="s">
        <v>306</v>
      </c>
      <c r="F16" s="354"/>
      <c r="G16" s="116"/>
    </row>
    <row r="17" spans="1:7">
      <c r="B17" s="117" t="str">
        <f>pMenus!$B10&amp;B$15</f>
        <v>Interregional Connectors NZTA</v>
      </c>
      <c r="C17" s="118" t="s">
        <v>303</v>
      </c>
      <c r="D17" s="126">
        <f t="shared" ref="D17:D30" si="0">VLOOKUP($C17,$B$7:$C$10,2,FALSE)</f>
        <v>0.2</v>
      </c>
      <c r="E17" s="126">
        <f>D17/$C$13</f>
        <v>0.4</v>
      </c>
      <c r="F17" s="119"/>
      <c r="G17" s="3"/>
    </row>
    <row r="18" spans="1:7">
      <c r="B18" s="117" t="str">
        <f>pMenus!$B11&amp;B$15</f>
        <v>Peri-urban Roads NZTA</v>
      </c>
      <c r="C18" s="118" t="s">
        <v>307</v>
      </c>
      <c r="D18" s="126">
        <f t="shared" si="0"/>
        <v>0.1</v>
      </c>
      <c r="E18" s="126">
        <f t="shared" ref="E18:E30" si="1">D18/$C$13</f>
        <v>0.2</v>
      </c>
      <c r="F18" s="119"/>
      <c r="G18" s="3"/>
    </row>
    <row r="19" spans="1:7">
      <c r="B19" s="117" t="str">
        <f>pMenus!$B12&amp;B$15</f>
        <v>Rural Connectors NZTA</v>
      </c>
      <c r="C19" s="118" t="s">
        <v>307</v>
      </c>
      <c r="D19" s="126">
        <f t="shared" si="0"/>
        <v>0.1</v>
      </c>
      <c r="E19" s="126">
        <f t="shared" si="1"/>
        <v>0.2</v>
      </c>
      <c r="F19" s="119"/>
      <c r="G19" s="3"/>
    </row>
    <row r="20" spans="1:7">
      <c r="A20" s="242" t="s">
        <v>551</v>
      </c>
      <c r="B20" s="121" t="str">
        <f>pMenus!$B13&amp;B$15</f>
        <v>Unclassified NZTA</v>
      </c>
      <c r="C20" s="118" t="s">
        <v>307</v>
      </c>
      <c r="D20" s="126">
        <f t="shared" si="0"/>
        <v>0.1</v>
      </c>
      <c r="E20" s="126">
        <f t="shared" si="1"/>
        <v>0.2</v>
      </c>
      <c r="F20" s="119"/>
    </row>
    <row r="21" spans="1:7">
      <c r="B21" s="117" t="str">
        <f>pMenus!$B14&amp;B$15</f>
        <v>Transit Corridors NZTA</v>
      </c>
      <c r="C21" s="118" t="s">
        <v>300</v>
      </c>
      <c r="D21" s="126">
        <f t="shared" si="0"/>
        <v>0.5</v>
      </c>
      <c r="E21" s="126">
        <f t="shared" si="1"/>
        <v>1</v>
      </c>
      <c r="F21" s="119"/>
      <c r="G21" s="3"/>
    </row>
    <row r="22" spans="1:7">
      <c r="B22" s="117" t="str">
        <f>pMenus!$B15&amp;B$15</f>
        <v>Urban Connectors NZTA</v>
      </c>
      <c r="C22" s="118" t="s">
        <v>301</v>
      </c>
      <c r="D22" s="126">
        <f t="shared" si="0"/>
        <v>0.3</v>
      </c>
      <c r="E22" s="126">
        <f t="shared" si="1"/>
        <v>0.6</v>
      </c>
      <c r="F22" s="119"/>
      <c r="G22" s="3"/>
    </row>
    <row r="23" spans="1:7">
      <c r="B23" s="117" t="str">
        <f>pMenus!$B16&amp;B$15</f>
        <v>Activity Streets NZTA</v>
      </c>
      <c r="C23" s="118" t="s">
        <v>301</v>
      </c>
      <c r="D23" s="126">
        <f t="shared" si="0"/>
        <v>0.3</v>
      </c>
      <c r="E23" s="126">
        <f t="shared" si="1"/>
        <v>0.6</v>
      </c>
      <c r="F23" s="119"/>
      <c r="G23" s="3"/>
    </row>
    <row r="24" spans="1:7">
      <c r="B24" s="117" t="str">
        <f>pMenus!$B17&amp;B$15</f>
        <v>Main Streets NZTA</v>
      </c>
      <c r="C24" s="118" t="s">
        <v>301</v>
      </c>
      <c r="D24" s="126">
        <f t="shared" si="0"/>
        <v>0.3</v>
      </c>
      <c r="E24" s="126">
        <f t="shared" si="1"/>
        <v>0.6</v>
      </c>
      <c r="F24" s="119"/>
      <c r="G24" s="3"/>
    </row>
    <row r="25" spans="1:7">
      <c r="B25" s="117" t="str">
        <f>pMenus!$B18&amp;B$15</f>
        <v>Stopping Places NZTA</v>
      </c>
      <c r="C25" s="118" t="s">
        <v>307</v>
      </c>
      <c r="D25" s="126">
        <f t="shared" si="0"/>
        <v>0.1</v>
      </c>
      <c r="E25" s="126">
        <f t="shared" si="1"/>
        <v>0.2</v>
      </c>
      <c r="F25" s="119"/>
      <c r="G25" s="3"/>
    </row>
    <row r="26" spans="1:7">
      <c r="B26" s="117" t="str">
        <f>pMenus!$B19&amp;B$15</f>
        <v>City Hubs NZTA</v>
      </c>
      <c r="C26" s="118" t="s">
        <v>301</v>
      </c>
      <c r="D26" s="126">
        <f t="shared" si="0"/>
        <v>0.3</v>
      </c>
      <c r="E26" s="126">
        <f t="shared" si="1"/>
        <v>0.6</v>
      </c>
      <c r="F26" s="119"/>
      <c r="G26" s="3"/>
    </row>
    <row r="27" spans="1:7">
      <c r="B27" s="117" t="str">
        <f>pMenus!$B20&amp;B$15</f>
        <v>Local Streets NZTA</v>
      </c>
      <c r="C27" s="118" t="s">
        <v>301</v>
      </c>
      <c r="D27" s="126">
        <f t="shared" si="0"/>
        <v>0.3</v>
      </c>
      <c r="E27" s="126">
        <f t="shared" si="1"/>
        <v>0.6</v>
      </c>
      <c r="F27" s="119"/>
      <c r="G27" s="47"/>
    </row>
    <row r="28" spans="1:7">
      <c r="B28" s="117" t="str">
        <f>pMenus!$B21&amp;B$15</f>
        <v>Civic Spaces NZTA</v>
      </c>
      <c r="C28" s="118" t="s">
        <v>301</v>
      </c>
      <c r="D28" s="126">
        <f t="shared" si="0"/>
        <v>0.3</v>
      </c>
      <c r="E28" s="126">
        <f t="shared" si="1"/>
        <v>0.6</v>
      </c>
      <c r="F28" s="119"/>
      <c r="G28" s="116"/>
    </row>
    <row r="29" spans="1:7">
      <c r="B29" s="117" t="str">
        <f>pMenus!$B22&amp;B$15</f>
        <v>Rural Roads NZTA</v>
      </c>
      <c r="C29" s="118" t="s">
        <v>301</v>
      </c>
      <c r="D29" s="126">
        <f t="shared" si="0"/>
        <v>0.3</v>
      </c>
      <c r="E29" s="126">
        <f t="shared" si="1"/>
        <v>0.6</v>
      </c>
      <c r="F29" s="119"/>
      <c r="G29" s="3"/>
    </row>
    <row r="30" spans="1:7">
      <c r="B30" s="117" t="str">
        <f>pMenus!$B23&amp;B$15</f>
        <v>All classes NZTA</v>
      </c>
      <c r="C30" s="118" t="s">
        <v>301</v>
      </c>
      <c r="D30" s="126">
        <f t="shared" si="0"/>
        <v>0.3</v>
      </c>
      <c r="E30" s="126">
        <f t="shared" si="1"/>
        <v>0.6</v>
      </c>
      <c r="F30" s="119"/>
      <c r="G30" s="3"/>
    </row>
    <row r="31" spans="1:7">
      <c r="C31"/>
      <c r="D31" s="531" t="s">
        <v>325</v>
      </c>
      <c r="E31" s="532"/>
      <c r="F31" s="127"/>
      <c r="G31" s="3"/>
    </row>
    <row r="32" spans="1:7">
      <c r="B32" t="s">
        <v>1108</v>
      </c>
      <c r="C32"/>
      <c r="D32" s="460" t="s">
        <v>305</v>
      </c>
      <c r="E32" s="460" t="s">
        <v>306</v>
      </c>
      <c r="F32" s="127"/>
      <c r="G32" s="3"/>
    </row>
    <row r="33" spans="1:7">
      <c r="B33" s="117" t="str">
        <f>pMenus!$B10&amp;B$32</f>
        <v>Interregional Connectors Local LTA</v>
      </c>
      <c r="C33" s="118" t="s">
        <v>303</v>
      </c>
      <c r="D33" s="126">
        <f t="shared" ref="D33:D46" si="2">VLOOKUP($C33,$B$7:$C$10,2,FALSE)</f>
        <v>0.2</v>
      </c>
      <c r="E33" s="126">
        <f t="shared" ref="E33:E46" si="3">D33/$C$13</f>
        <v>0.4</v>
      </c>
      <c r="F33" s="119"/>
      <c r="G33" s="3"/>
    </row>
    <row r="34" spans="1:7">
      <c r="B34" s="117" t="str">
        <f>pMenus!$B11&amp;B$32</f>
        <v>Peri-urban Roads Local LTA</v>
      </c>
      <c r="C34" s="118" t="s">
        <v>307</v>
      </c>
      <c r="D34" s="126">
        <f t="shared" si="2"/>
        <v>0.1</v>
      </c>
      <c r="E34" s="126">
        <f t="shared" si="3"/>
        <v>0.2</v>
      </c>
      <c r="F34" s="119"/>
      <c r="G34" s="3"/>
    </row>
    <row r="35" spans="1:7">
      <c r="B35" s="117" t="str">
        <f>pMenus!$B12&amp;B$32</f>
        <v>Rural Connectors Local LTA</v>
      </c>
      <c r="C35" s="118" t="s">
        <v>307</v>
      </c>
      <c r="D35" s="126">
        <f t="shared" si="2"/>
        <v>0.1</v>
      </c>
      <c r="E35" s="126">
        <f t="shared" si="3"/>
        <v>0.2</v>
      </c>
      <c r="F35" s="119"/>
      <c r="G35" s="3"/>
    </row>
    <row r="36" spans="1:7">
      <c r="A36" s="242" t="s">
        <v>551</v>
      </c>
      <c r="B36" s="121" t="str">
        <f>pMenus!$B13&amp;B$32</f>
        <v>Unclassified Local LTA</v>
      </c>
      <c r="C36" s="118" t="s">
        <v>307</v>
      </c>
      <c r="D36" s="126">
        <f t="shared" si="2"/>
        <v>0.1</v>
      </c>
      <c r="E36" s="126">
        <f t="shared" si="3"/>
        <v>0.2</v>
      </c>
      <c r="F36" s="119"/>
    </row>
    <row r="37" spans="1:7">
      <c r="B37" s="117" t="str">
        <f>pMenus!$B14&amp;B$32</f>
        <v>Transit Corridors Local LTA</v>
      </c>
      <c r="C37" s="118" t="s">
        <v>301</v>
      </c>
      <c r="D37" s="126">
        <f t="shared" si="2"/>
        <v>0.3</v>
      </c>
      <c r="E37" s="126">
        <f t="shared" si="3"/>
        <v>0.6</v>
      </c>
      <c r="F37" s="119"/>
      <c r="G37" s="3"/>
    </row>
    <row r="38" spans="1:7">
      <c r="B38" s="117" t="str">
        <f>pMenus!$B15&amp;B$32</f>
        <v>Urban Connectors Local LTA</v>
      </c>
      <c r="C38" s="118" t="s">
        <v>301</v>
      </c>
      <c r="D38" s="126">
        <f t="shared" si="2"/>
        <v>0.3</v>
      </c>
      <c r="E38" s="126">
        <f t="shared" si="3"/>
        <v>0.6</v>
      </c>
      <c r="F38" s="119"/>
      <c r="G38" s="3"/>
    </row>
    <row r="39" spans="1:7">
      <c r="B39" s="117" t="str">
        <f>pMenus!$B16&amp;B$32</f>
        <v>Activity Streets Local LTA</v>
      </c>
      <c r="C39" s="118" t="s">
        <v>301</v>
      </c>
      <c r="D39" s="126">
        <f t="shared" si="2"/>
        <v>0.3</v>
      </c>
      <c r="E39" s="126">
        <f t="shared" si="3"/>
        <v>0.6</v>
      </c>
      <c r="F39" s="119"/>
      <c r="G39" s="3"/>
    </row>
    <row r="40" spans="1:7">
      <c r="B40" s="117" t="str">
        <f>pMenus!$B17&amp;B$32</f>
        <v>Main Streets Local LTA</v>
      </c>
      <c r="C40" s="118" t="s">
        <v>301</v>
      </c>
      <c r="D40" s="126">
        <f t="shared" si="2"/>
        <v>0.3</v>
      </c>
      <c r="E40" s="126">
        <f t="shared" si="3"/>
        <v>0.6</v>
      </c>
      <c r="F40" s="119"/>
    </row>
    <row r="41" spans="1:7">
      <c r="B41" s="117" t="str">
        <f>pMenus!$B18&amp;B$32</f>
        <v>Stopping Places Local LTA</v>
      </c>
      <c r="C41" s="118" t="s">
        <v>307</v>
      </c>
      <c r="D41" s="126">
        <f t="shared" si="2"/>
        <v>0.1</v>
      </c>
      <c r="E41" s="126">
        <f t="shared" si="3"/>
        <v>0.2</v>
      </c>
      <c r="F41" s="119"/>
    </row>
    <row r="42" spans="1:7">
      <c r="B42" s="117" t="str">
        <f>pMenus!$B19&amp;B$32</f>
        <v>City Hubs Local LTA</v>
      </c>
      <c r="C42" s="118" t="s">
        <v>301</v>
      </c>
      <c r="D42" s="126">
        <f t="shared" si="2"/>
        <v>0.3</v>
      </c>
      <c r="E42" s="126">
        <f t="shared" si="3"/>
        <v>0.6</v>
      </c>
      <c r="F42" s="119"/>
    </row>
    <row r="43" spans="1:7">
      <c r="B43" s="117" t="str">
        <f>pMenus!$B20&amp;B$32</f>
        <v>Local Streets Local LTA</v>
      </c>
      <c r="C43" s="118" t="s">
        <v>301</v>
      </c>
      <c r="D43" s="126">
        <f t="shared" si="2"/>
        <v>0.3</v>
      </c>
      <c r="E43" s="126">
        <f t="shared" si="3"/>
        <v>0.6</v>
      </c>
      <c r="F43" s="119"/>
    </row>
    <row r="44" spans="1:7">
      <c r="B44" s="117" t="str">
        <f>pMenus!$B21&amp;B$32</f>
        <v>Civic Spaces Local LTA</v>
      </c>
      <c r="C44" s="118" t="s">
        <v>301</v>
      </c>
      <c r="D44" s="126">
        <f t="shared" si="2"/>
        <v>0.3</v>
      </c>
      <c r="E44" s="126">
        <f t="shared" si="3"/>
        <v>0.6</v>
      </c>
      <c r="F44" s="119"/>
    </row>
    <row r="45" spans="1:7">
      <c r="B45" s="117" t="str">
        <f>pMenus!$B22&amp;B$32</f>
        <v>Rural Roads Local LTA</v>
      </c>
      <c r="C45" s="118" t="s">
        <v>301</v>
      </c>
      <c r="D45" s="126">
        <f t="shared" si="2"/>
        <v>0.3</v>
      </c>
      <c r="E45" s="126">
        <f t="shared" si="3"/>
        <v>0.6</v>
      </c>
      <c r="F45" s="119"/>
    </row>
    <row r="46" spans="1:7">
      <c r="B46" s="117" t="str">
        <f>pMenus!$B23&amp;B$32</f>
        <v>All classes Local LTA</v>
      </c>
      <c r="C46" s="118" t="s">
        <v>301</v>
      </c>
      <c r="D46" s="126">
        <f t="shared" si="2"/>
        <v>0.3</v>
      </c>
      <c r="E46" s="126">
        <f t="shared" si="3"/>
        <v>0.6</v>
      </c>
      <c r="F46" s="119"/>
    </row>
    <row r="47" spans="1:7">
      <c r="D47" s="3"/>
      <c r="E47" s="3"/>
    </row>
    <row r="53" spans="2:5">
      <c r="B53" s="91"/>
      <c r="C53" s="129"/>
      <c r="D53" s="91"/>
      <c r="E53" s="91"/>
    </row>
  </sheetData>
  <mergeCells count="8">
    <mergeCell ref="A1:B1"/>
    <mergeCell ref="D31:E31"/>
    <mergeCell ref="D6:E6"/>
    <mergeCell ref="D7:E7"/>
    <mergeCell ref="D8:E8"/>
    <mergeCell ref="D9:E9"/>
    <mergeCell ref="D10:E10"/>
    <mergeCell ref="D15:E15"/>
  </mergeCells>
  <dataValidations disablePrompts="1" count="1">
    <dataValidation type="list" allowBlank="1" showInputMessage="1" showErrorMessage="1" sqref="C17:C30 C33:C46" xr:uid="{301B0094-6754-48FC-B0AF-1268ECEA1DDA}">
      <formula1>$B$7:$B$10</formula1>
    </dataValidation>
  </dataValidations>
  <hyperlinks>
    <hyperlink ref="A1" location="Dashboard!A1" display="Return to dashboard" xr:uid="{0CAAB1BD-FA6E-4280-BE4B-443CADFADEE6}"/>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3CB794C-11DA-4EBF-9A18-DDFA37D09387}">
          <x14:formula1>
            <xm:f>pMenus!#REF!</xm:f>
          </x14:formula1>
          <xm:sqref>B54:E54 F47:G47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CEABD-33F5-4ED8-9A74-EB5C64647353}">
  <sheetPr codeName="Sheet15">
    <tabColor theme="8" tint="0.79998168889431442"/>
  </sheetPr>
  <dimension ref="A1:J83"/>
  <sheetViews>
    <sheetView zoomScaleNormal="100" workbookViewId="0">
      <selection activeCell="C4" sqref="C4"/>
    </sheetView>
  </sheetViews>
  <sheetFormatPr defaultRowHeight="15"/>
  <cols>
    <col min="1" max="1" width="1.5703125" customWidth="1"/>
    <col min="2" max="2" width="5.5703125" customWidth="1"/>
    <col min="3" max="3" width="13" style="4" customWidth="1"/>
    <col min="4" max="4" width="37.42578125" bestFit="1" customWidth="1"/>
    <col min="5" max="5" width="14.140625" customWidth="1"/>
    <col min="6" max="6" width="11" bestFit="1" customWidth="1"/>
    <col min="7" max="7" width="10.85546875" customWidth="1"/>
    <col min="8" max="8" width="13" customWidth="1"/>
    <col min="9" max="9" width="11.140625" customWidth="1"/>
  </cols>
  <sheetData>
    <row r="1" spans="1:6">
      <c r="A1" s="515" t="s">
        <v>280</v>
      </c>
      <c r="B1" s="515"/>
      <c r="C1" s="515"/>
    </row>
    <row r="2" spans="1:6">
      <c r="A2" s="295" t="s">
        <v>981</v>
      </c>
    </row>
    <row r="3" spans="1:6">
      <c r="A3" s="408" t="s">
        <v>997</v>
      </c>
    </row>
    <row r="10" spans="1:6">
      <c r="C10" s="4" t="s">
        <v>16</v>
      </c>
    </row>
    <row r="11" spans="1:6" ht="30">
      <c r="D11" s="260" t="s">
        <v>84</v>
      </c>
      <c r="E11" s="261" t="s">
        <v>82</v>
      </c>
      <c r="F11" s="262" t="s">
        <v>90</v>
      </c>
    </row>
    <row r="12" spans="1:6">
      <c r="D12" s="15" t="s">
        <v>72</v>
      </c>
      <c r="E12" s="16">
        <v>6.6</v>
      </c>
      <c r="F12" s="17">
        <v>25</v>
      </c>
    </row>
    <row r="13" spans="1:6">
      <c r="D13" s="18" t="s">
        <v>73</v>
      </c>
      <c r="E13">
        <v>7.7</v>
      </c>
      <c r="F13" s="19">
        <v>30</v>
      </c>
    </row>
    <row r="14" spans="1:6">
      <c r="D14" s="18" t="s">
        <v>74</v>
      </c>
      <c r="E14">
        <v>16.5</v>
      </c>
      <c r="F14" s="19">
        <v>70</v>
      </c>
    </row>
    <row r="15" spans="1:6">
      <c r="D15" s="18" t="s">
        <v>75</v>
      </c>
      <c r="E15">
        <v>6.97</v>
      </c>
      <c r="F15" s="19">
        <v>25</v>
      </c>
    </row>
    <row r="16" spans="1:6">
      <c r="D16" s="18" t="s">
        <v>76</v>
      </c>
      <c r="E16">
        <v>12.14</v>
      </c>
      <c r="F16" s="19">
        <v>30</v>
      </c>
    </row>
    <row r="17" spans="3:10">
      <c r="D17" s="18" t="s">
        <v>77</v>
      </c>
      <c r="E17">
        <v>22.76</v>
      </c>
      <c r="F17" s="19">
        <v>70</v>
      </c>
    </row>
    <row r="18" spans="3:10">
      <c r="D18" s="18" t="s">
        <v>78</v>
      </c>
      <c r="E18">
        <v>8.0500000000000007</v>
      </c>
      <c r="F18" s="19">
        <v>25</v>
      </c>
    </row>
    <row r="19" spans="3:10">
      <c r="D19" s="18" t="s">
        <v>79</v>
      </c>
      <c r="E19">
        <v>8.0500000000000007</v>
      </c>
      <c r="F19" s="19">
        <v>30</v>
      </c>
    </row>
    <row r="20" spans="3:10">
      <c r="D20" s="18" t="s">
        <v>80</v>
      </c>
      <c r="E20">
        <v>25</v>
      </c>
      <c r="F20" s="19">
        <v>70</v>
      </c>
    </row>
    <row r="21" spans="3:10">
      <c r="D21" s="20" t="s">
        <v>81</v>
      </c>
      <c r="E21" s="22">
        <v>7.86</v>
      </c>
      <c r="F21" s="23">
        <v>40</v>
      </c>
    </row>
    <row r="23" spans="3:10">
      <c r="H23" t="s">
        <v>570</v>
      </c>
    </row>
    <row r="24" spans="3:10">
      <c r="C24" s="8" t="s">
        <v>91</v>
      </c>
      <c r="D24" s="258" t="s">
        <v>268</v>
      </c>
      <c r="E24" s="263" t="s">
        <v>584</v>
      </c>
      <c r="F24" s="259" t="s">
        <v>93</v>
      </c>
      <c r="H24" s="255" t="s">
        <v>91</v>
      </c>
      <c r="I24" s="256"/>
      <c r="J24" s="257" t="s">
        <v>93</v>
      </c>
    </row>
    <row r="25" spans="3:10">
      <c r="D25" s="15" t="s">
        <v>1110</v>
      </c>
      <c r="E25" s="16" t="s">
        <v>582</v>
      </c>
      <c r="F25" s="17">
        <f>VLOOKUP(E25,$D$41:$E$44,2,FALSE)</f>
        <v>16.27</v>
      </c>
      <c r="H25" s="255"/>
      <c r="I25" s="256" t="s">
        <v>94</v>
      </c>
      <c r="J25" s="256">
        <v>16.23</v>
      </c>
    </row>
    <row r="26" spans="3:10">
      <c r="D26" s="18" t="s">
        <v>1111</v>
      </c>
      <c r="E26" t="s">
        <v>582</v>
      </c>
      <c r="F26" s="19">
        <f t="shared" ref="F26:F34" si="0">VLOOKUP(E26,$D$41:$E$44,2,FALSE)</f>
        <v>16.27</v>
      </c>
      <c r="H26" s="255"/>
      <c r="I26" s="256" t="s">
        <v>254</v>
      </c>
      <c r="J26" s="256">
        <v>16.27</v>
      </c>
    </row>
    <row r="27" spans="3:10">
      <c r="D27" s="18" t="s">
        <v>1112</v>
      </c>
      <c r="E27" t="s">
        <v>108</v>
      </c>
      <c r="F27" s="19">
        <f t="shared" si="0"/>
        <v>23.25</v>
      </c>
      <c r="H27" s="255"/>
      <c r="I27" s="256" t="s">
        <v>256</v>
      </c>
      <c r="J27" s="256">
        <v>16.27</v>
      </c>
    </row>
    <row r="28" spans="3:10">
      <c r="D28" s="18" t="s">
        <v>1113</v>
      </c>
      <c r="E28" t="s">
        <v>581</v>
      </c>
      <c r="F28" s="19">
        <f t="shared" si="0"/>
        <v>22.72</v>
      </c>
      <c r="H28" s="255"/>
      <c r="I28" s="256" t="s">
        <v>253</v>
      </c>
      <c r="J28" s="256">
        <v>16.27</v>
      </c>
    </row>
    <row r="29" spans="3:10">
      <c r="D29" s="18" t="s">
        <v>1114</v>
      </c>
      <c r="E29" t="s">
        <v>94</v>
      </c>
      <c r="F29" s="19">
        <f t="shared" si="0"/>
        <v>16.23</v>
      </c>
      <c r="H29" s="255"/>
      <c r="I29" s="256" t="s">
        <v>253</v>
      </c>
      <c r="J29" s="256">
        <v>16.27</v>
      </c>
    </row>
    <row r="30" spans="3:10">
      <c r="D30" s="18" t="s">
        <v>596</v>
      </c>
      <c r="E30" t="s">
        <v>582</v>
      </c>
      <c r="F30" s="19">
        <f t="shared" si="0"/>
        <v>16.27</v>
      </c>
      <c r="H30" s="255"/>
      <c r="I30" s="256" t="s">
        <v>255</v>
      </c>
      <c r="J30" s="256">
        <v>16.27</v>
      </c>
    </row>
    <row r="31" spans="3:10">
      <c r="D31" s="18" t="s">
        <v>592</v>
      </c>
      <c r="E31" t="s">
        <v>582</v>
      </c>
      <c r="F31" s="19">
        <f t="shared" si="0"/>
        <v>16.27</v>
      </c>
      <c r="H31" s="255"/>
      <c r="I31" s="256" t="s">
        <v>252</v>
      </c>
      <c r="J31" s="256">
        <v>23.25</v>
      </c>
    </row>
    <row r="32" spans="3:10">
      <c r="D32" s="18" t="s">
        <v>593</v>
      </c>
      <c r="E32" t="s">
        <v>94</v>
      </c>
      <c r="F32" s="19">
        <f t="shared" si="0"/>
        <v>16.23</v>
      </c>
      <c r="H32" s="255"/>
      <c r="I32" s="256" t="s">
        <v>92</v>
      </c>
      <c r="J32" s="256">
        <v>22.72</v>
      </c>
    </row>
    <row r="33" spans="3:10">
      <c r="D33" s="18" t="s">
        <v>595</v>
      </c>
      <c r="E33" t="s">
        <v>108</v>
      </c>
      <c r="F33" s="19">
        <f t="shared" si="0"/>
        <v>23.25</v>
      </c>
      <c r="H33" s="255"/>
      <c r="I33" s="256" t="s">
        <v>108</v>
      </c>
      <c r="J33" s="256">
        <v>23.25</v>
      </c>
    </row>
    <row r="34" spans="3:10">
      <c r="D34" s="18" t="s">
        <v>594</v>
      </c>
      <c r="E34" t="s">
        <v>581</v>
      </c>
      <c r="F34" s="19">
        <f t="shared" si="0"/>
        <v>22.72</v>
      </c>
    </row>
    <row r="35" spans="3:10">
      <c r="D35" s="18" t="s">
        <v>846</v>
      </c>
      <c r="E35" t="s">
        <v>94</v>
      </c>
      <c r="F35" s="19">
        <f t="shared" ref="F35" si="1">VLOOKUP(E35,$D$41:$E$44,2,FALSE)</f>
        <v>16.23</v>
      </c>
    </row>
    <row r="36" spans="3:10">
      <c r="D36" s="18"/>
      <c r="F36" s="19"/>
    </row>
    <row r="37" spans="3:10">
      <c r="D37" s="20"/>
      <c r="E37" s="22"/>
      <c r="F37" s="23"/>
    </row>
    <row r="40" spans="3:10">
      <c r="D40" t="s">
        <v>583</v>
      </c>
    </row>
    <row r="41" spans="3:10">
      <c r="D41" s="265" t="s">
        <v>582</v>
      </c>
      <c r="E41" s="264">
        <v>16.27</v>
      </c>
    </row>
    <row r="42" spans="3:10">
      <c r="D42" s="266" t="s">
        <v>94</v>
      </c>
      <c r="E42" s="264">
        <v>16.23</v>
      </c>
    </row>
    <row r="43" spans="3:10">
      <c r="D43" s="267" t="s">
        <v>108</v>
      </c>
      <c r="E43" s="264">
        <v>23.25</v>
      </c>
    </row>
    <row r="44" spans="3:10">
      <c r="D44" s="268" t="s">
        <v>581</v>
      </c>
      <c r="E44" s="264">
        <v>22.72</v>
      </c>
    </row>
    <row r="47" spans="3:10">
      <c r="C47" s="4" t="s">
        <v>5</v>
      </c>
    </row>
    <row r="48" spans="3:10" ht="45">
      <c r="D48" s="42" t="s">
        <v>83</v>
      </c>
      <c r="E48" s="42" t="s">
        <v>105</v>
      </c>
      <c r="F48" s="43" t="s">
        <v>106</v>
      </c>
      <c r="G48" s="44" t="s">
        <v>107</v>
      </c>
    </row>
    <row r="49" spans="3:7">
      <c r="D49">
        <v>0</v>
      </c>
      <c r="E49" s="118">
        <v>35.9</v>
      </c>
      <c r="F49" s="118">
        <v>0.3</v>
      </c>
      <c r="G49" s="269">
        <f>(E49+F49)*$F$56</f>
        <v>41.629999999999988</v>
      </c>
    </row>
    <row r="50" spans="3:7">
      <c r="D50">
        <v>31</v>
      </c>
      <c r="E50" s="118">
        <v>29.4</v>
      </c>
      <c r="F50" s="118">
        <v>0.3</v>
      </c>
      <c r="G50" s="269">
        <f>(E50+F50)*$F$56</f>
        <v>34.154999999999994</v>
      </c>
    </row>
    <row r="51" spans="3:7">
      <c r="D51">
        <v>51</v>
      </c>
      <c r="E51" s="118">
        <v>28.7</v>
      </c>
      <c r="F51" s="118">
        <v>0.3</v>
      </c>
      <c r="G51" s="269">
        <f>(E51+F51)*$F$56</f>
        <v>33.349999999999994</v>
      </c>
    </row>
    <row r="52" spans="3:7">
      <c r="D52">
        <v>71</v>
      </c>
      <c r="E52" s="118">
        <v>29.799999999999997</v>
      </c>
      <c r="F52" s="118">
        <v>0.3</v>
      </c>
      <c r="G52" s="269">
        <f>(E52+F52)*$F$56</f>
        <v>34.614999999999995</v>
      </c>
    </row>
    <row r="53" spans="3:7">
      <c r="D53">
        <v>91</v>
      </c>
      <c r="E53" s="118">
        <v>32.4</v>
      </c>
      <c r="F53" s="118">
        <v>0.3</v>
      </c>
      <c r="G53" s="269">
        <f>(E53+F53)*$F$56</f>
        <v>37.60499999999999</v>
      </c>
    </row>
    <row r="54" spans="3:7">
      <c r="D54">
        <v>100</v>
      </c>
      <c r="G54" s="269">
        <f>VLOOKUP(D54,D49:G53,4,TRUE)</f>
        <v>37.60499999999999</v>
      </c>
    </row>
    <row r="56" spans="3:7">
      <c r="E56" s="78" t="s">
        <v>278</v>
      </c>
      <c r="F56" s="118">
        <v>1.1499999999999999</v>
      </c>
      <c r="G56" t="s">
        <v>279</v>
      </c>
    </row>
    <row r="62" spans="3:7" ht="15.75" thickBot="1">
      <c r="F62" s="155" t="s">
        <v>377</v>
      </c>
      <c r="G62" s="157">
        <v>1</v>
      </c>
    </row>
    <row r="63" spans="3:7" ht="15.75" thickTop="1"/>
    <row r="64" spans="3:7">
      <c r="C64" s="4" t="s">
        <v>276</v>
      </c>
      <c r="D64" s="44" t="s">
        <v>101</v>
      </c>
      <c r="E64" s="45" t="s">
        <v>97</v>
      </c>
      <c r="F64" s="45" t="s">
        <v>98</v>
      </c>
      <c r="G64" s="45" t="s">
        <v>251</v>
      </c>
    </row>
    <row r="65" spans="3:7">
      <c r="D65" t="s">
        <v>99</v>
      </c>
      <c r="E65">
        <v>-0.4</v>
      </c>
      <c r="F65">
        <v>-0.7</v>
      </c>
      <c r="G65" s="156">
        <f>$G$62*(E65*4+F65*7)/11</f>
        <v>-0.59090909090909094</v>
      </c>
    </row>
    <row r="66" spans="3:7">
      <c r="D66" t="s">
        <v>71</v>
      </c>
      <c r="E66">
        <f>(E65+E67)/2</f>
        <v>-0.5</v>
      </c>
      <c r="F66" s="3">
        <f t="shared" ref="F66" si="2">(F65+F67)/2</f>
        <v>-0.85</v>
      </c>
      <c r="G66" s="13">
        <f>(G65+G67)/2</f>
        <v>-0.72272727272727277</v>
      </c>
    </row>
    <row r="67" spans="3:7">
      <c r="D67" t="s">
        <v>100</v>
      </c>
      <c r="E67">
        <v>-0.6</v>
      </c>
      <c r="F67" s="3">
        <v>-1</v>
      </c>
      <c r="G67" s="156">
        <f>$G$62*(E67*4+F67*7)/11</f>
        <v>-0.85454545454545461</v>
      </c>
    </row>
    <row r="78" spans="3:7">
      <c r="C78" s="4" t="s">
        <v>837</v>
      </c>
    </row>
    <row r="79" spans="3:7" ht="18.75">
      <c r="D79" s="4" t="s">
        <v>391</v>
      </c>
      <c r="E79" s="378" t="s">
        <v>838</v>
      </c>
    </row>
    <row r="80" spans="3:7">
      <c r="D80">
        <v>2035</v>
      </c>
      <c r="E80">
        <v>197.8</v>
      </c>
    </row>
    <row r="83" spans="1:1">
      <c r="A83" t="s">
        <v>297</v>
      </c>
    </row>
  </sheetData>
  <mergeCells count="1">
    <mergeCell ref="A1:C1"/>
  </mergeCells>
  <dataValidations disablePrompts="1" count="1">
    <dataValidation type="list" allowBlank="1" showInputMessage="1" showErrorMessage="1" sqref="E25:E35" xr:uid="{BADDE7E1-72D6-4653-AA44-D2F96E6ED27F}">
      <formula1>$D$41:$D$44</formula1>
    </dataValidation>
  </dataValidations>
  <hyperlinks>
    <hyperlink ref="A1" location="Dashboard!A1" display="Return to dashboard" xr:uid="{8D4E5CD7-CDAB-493E-ACC0-E14DBE7F3D08}"/>
  </hyperlink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83512-1648-450B-9D86-E90501B5A336}">
  <sheetPr codeName="Sheet16">
    <tabColor theme="8" tint="0.79998168889431442"/>
  </sheetPr>
  <dimension ref="A1:AF258"/>
  <sheetViews>
    <sheetView workbookViewId="0">
      <selection activeCell="B5" sqref="B5"/>
    </sheetView>
  </sheetViews>
  <sheetFormatPr defaultRowHeight="15"/>
  <cols>
    <col min="1" max="1" width="1.5703125" customWidth="1"/>
    <col min="2" max="2" width="42.140625" bestFit="1" customWidth="1"/>
    <col min="3" max="3" width="35.85546875" bestFit="1" customWidth="1"/>
    <col min="5" max="5" width="13.28515625" bestFit="1" customWidth="1"/>
    <col min="9" max="9" width="5.42578125" customWidth="1"/>
    <col min="12" max="12" width="33.85546875" customWidth="1"/>
    <col min="13" max="13" width="39" bestFit="1" customWidth="1"/>
    <col min="14" max="14" width="6.28515625" customWidth="1"/>
    <col min="16" max="17" width="21.5703125" customWidth="1"/>
    <col min="19" max="19" width="13.85546875" bestFit="1" customWidth="1"/>
    <col min="20" max="30" width="20.5703125" customWidth="1"/>
    <col min="31" max="31" width="25.140625" bestFit="1" customWidth="1"/>
    <col min="32" max="32" width="19.7109375" bestFit="1" customWidth="1"/>
  </cols>
  <sheetData>
    <row r="1" spans="1:32">
      <c r="A1" s="515" t="s">
        <v>280</v>
      </c>
      <c r="B1" s="515"/>
      <c r="K1" s="515" t="s">
        <v>280</v>
      </c>
      <c r="L1" s="515"/>
      <c r="M1" s="515"/>
    </row>
    <row r="2" spans="1:32">
      <c r="A2" s="295" t="s">
        <v>982</v>
      </c>
      <c r="K2" s="295" t="s">
        <v>1090</v>
      </c>
      <c r="M2" s="4"/>
    </row>
    <row r="3" spans="1:32">
      <c r="A3" s="86" t="s">
        <v>801</v>
      </c>
    </row>
    <row r="4" spans="1:32">
      <c r="A4" s="86" t="s">
        <v>802</v>
      </c>
    </row>
    <row r="5" spans="1:32">
      <c r="T5" s="227"/>
      <c r="U5" s="227"/>
      <c r="V5" s="227"/>
      <c r="W5" s="227"/>
      <c r="X5" s="227"/>
      <c r="Y5" s="227"/>
      <c r="Z5" s="227"/>
      <c r="AA5" s="227"/>
      <c r="AB5" s="227"/>
      <c r="AC5" s="227"/>
      <c r="AD5" s="227"/>
      <c r="AE5" s="227"/>
      <c r="AF5" s="227"/>
    </row>
    <row r="7" spans="1:32">
      <c r="G7" t="s">
        <v>229</v>
      </c>
      <c r="T7" t="s">
        <v>842</v>
      </c>
    </row>
    <row r="8" spans="1:32">
      <c r="B8" t="s">
        <v>269</v>
      </c>
      <c r="G8" s="375">
        <v>10</v>
      </c>
      <c r="P8" t="s">
        <v>843</v>
      </c>
      <c r="T8" s="58" t="s">
        <v>258</v>
      </c>
      <c r="U8" s="58"/>
      <c r="V8" s="58"/>
      <c r="W8" s="58"/>
      <c r="X8" s="58"/>
      <c r="Y8" s="58"/>
      <c r="Z8" s="58"/>
      <c r="AA8" s="58"/>
      <c r="AB8" s="58"/>
      <c r="AC8" s="58"/>
      <c r="AD8" s="58"/>
    </row>
    <row r="9" spans="1:32">
      <c r="O9" s="15"/>
      <c r="P9" s="382" t="s">
        <v>259</v>
      </c>
      <c r="Q9" s="383" t="s">
        <v>260</v>
      </c>
      <c r="T9" s="58"/>
      <c r="U9" s="58"/>
      <c r="V9" s="58"/>
      <c r="W9" s="58"/>
      <c r="X9" s="393"/>
      <c r="Y9" s="58"/>
      <c r="Z9" s="58"/>
      <c r="AA9" s="58"/>
      <c r="AB9" s="58"/>
      <c r="AC9" s="58"/>
      <c r="AD9" s="58"/>
    </row>
    <row r="10" spans="1:32">
      <c r="B10" t="s">
        <v>270</v>
      </c>
      <c r="C10" t="s">
        <v>585</v>
      </c>
      <c r="D10" t="s">
        <v>227</v>
      </c>
      <c r="E10" t="s">
        <v>112</v>
      </c>
      <c r="F10" t="s">
        <v>228</v>
      </c>
      <c r="G10" t="s">
        <v>229</v>
      </c>
      <c r="H10" t="s">
        <v>116</v>
      </c>
      <c r="J10" t="s">
        <v>117</v>
      </c>
      <c r="K10" t="s">
        <v>118</v>
      </c>
      <c r="L10" t="s">
        <v>271</v>
      </c>
      <c r="N10" t="s">
        <v>841</v>
      </c>
      <c r="O10" s="395" t="s">
        <v>549</v>
      </c>
      <c r="P10" s="396" t="str">
        <f>cGC!E21&amp;"_"&amp;cGC!E22/2</f>
        <v>NZTA_Urban Connectors_1</v>
      </c>
      <c r="Q10" s="387" t="str">
        <f>cGC!E30&amp;"_"&amp;cGC!E31/2</f>
        <v>NZTA_Urban Connectors_2</v>
      </c>
      <c r="T10" s="394" t="s">
        <v>593</v>
      </c>
      <c r="U10" s="394" t="s">
        <v>596</v>
      </c>
      <c r="V10" s="394" t="s">
        <v>595</v>
      </c>
      <c r="W10" s="394" t="s">
        <v>594</v>
      </c>
      <c r="X10" s="394" t="s">
        <v>592</v>
      </c>
      <c r="Y10" s="394" t="s">
        <v>254</v>
      </c>
      <c r="Z10" s="394" t="s">
        <v>573</v>
      </c>
      <c r="AA10" s="394" t="s">
        <v>575</v>
      </c>
      <c r="AB10" s="394" t="s">
        <v>574</v>
      </c>
      <c r="AC10" s="394" t="s">
        <v>571</v>
      </c>
      <c r="AD10" s="394" t="s">
        <v>572</v>
      </c>
      <c r="AE10" s="227"/>
    </row>
    <row r="11" spans="1:32">
      <c r="B11" s="31" t="str">
        <f>C11&amp;"_"&amp;D11&amp;"_"&amp;E11</f>
        <v>NZTA_Interregional Connectors_1_100</v>
      </c>
      <c r="C11" s="32" t="s">
        <v>1112</v>
      </c>
      <c r="D11" s="31">
        <f>VALUE(RIGHT(K11,1))</f>
        <v>1</v>
      </c>
      <c r="E11" s="31">
        <f>MROUND(F11,10)</f>
        <v>100</v>
      </c>
      <c r="F11">
        <v>98</v>
      </c>
      <c r="G11">
        <f>G$8</f>
        <v>10</v>
      </c>
      <c r="H11">
        <v>1800</v>
      </c>
      <c r="J11">
        <v>4</v>
      </c>
      <c r="K11">
        <v>111</v>
      </c>
      <c r="L11" t="s">
        <v>119</v>
      </c>
      <c r="M11" t="str">
        <f>C11&amp;"_"&amp;D11*2</f>
        <v>NZTA_Interregional Connectors_2</v>
      </c>
      <c r="N11" t="s">
        <v>841</v>
      </c>
      <c r="O11" s="18">
        <v>1</v>
      </c>
      <c r="P11" s="72" t="str">
        <f t="shared" ref="P11:P20" si="0">IF(COUNTIF($B$11:$B$257,P$10&amp;"_"&amp;$O11*10)&gt;0,O11*10,"")</f>
        <v/>
      </c>
      <c r="Q11" s="384" t="str">
        <f t="shared" ref="Q11:Q20" si="1">IF(COUNTIF($B$11:$B$257,Q$10&amp;"_"&amp;$O11*10)&gt;0,O11*10,"")</f>
        <v/>
      </c>
      <c r="T11" s="58">
        <v>20</v>
      </c>
      <c r="U11" s="58">
        <v>20</v>
      </c>
      <c r="V11" s="58">
        <v>40</v>
      </c>
      <c r="W11" s="58">
        <v>80</v>
      </c>
      <c r="X11" s="58">
        <v>40</v>
      </c>
      <c r="Y11" s="58">
        <v>100</v>
      </c>
      <c r="Z11" s="58">
        <v>80</v>
      </c>
      <c r="AA11" s="58">
        <v>20</v>
      </c>
      <c r="AB11" s="58">
        <v>80</v>
      </c>
      <c r="AC11" s="58">
        <v>30</v>
      </c>
      <c r="AD11" s="58">
        <v>50</v>
      </c>
    </row>
    <row r="12" spans="1:32">
      <c r="B12" s="31" t="str">
        <f t="shared" ref="B12:B88" si="2">C12&amp;"_"&amp;D12&amp;"_"&amp;E12</f>
        <v>NZTA_Interregional Connectors_1_80</v>
      </c>
      <c r="C12" s="32" t="s">
        <v>1112</v>
      </c>
      <c r="D12" s="31">
        <f t="shared" ref="D12:D88" si="3">VALUE(RIGHT(K12,1))</f>
        <v>1</v>
      </c>
      <c r="E12" s="31">
        <f t="shared" ref="E12:E88" si="4">MROUND(F12,10)</f>
        <v>80</v>
      </c>
      <c r="F12">
        <v>78</v>
      </c>
      <c r="G12">
        <f t="shared" ref="G12:G80" si="5">G$8</f>
        <v>10</v>
      </c>
      <c r="H12">
        <v>1800</v>
      </c>
      <c r="J12">
        <v>4</v>
      </c>
      <c r="K12">
        <v>181</v>
      </c>
      <c r="L12" t="s">
        <v>120</v>
      </c>
      <c r="M12" t="str">
        <f t="shared" ref="M12:M80" si="6">C12&amp;"_"&amp;D12*2</f>
        <v>NZTA_Interregional Connectors_2</v>
      </c>
      <c r="N12" t="s">
        <v>841</v>
      </c>
      <c r="O12" s="18">
        <v>2</v>
      </c>
      <c r="P12" s="72" t="str">
        <f t="shared" si="0"/>
        <v/>
      </c>
      <c r="Q12" s="384" t="str">
        <f t="shared" si="1"/>
        <v/>
      </c>
      <c r="T12" s="58">
        <v>30</v>
      </c>
      <c r="U12" s="58">
        <v>30</v>
      </c>
      <c r="V12" s="58">
        <v>50</v>
      </c>
      <c r="W12" s="58">
        <v>100</v>
      </c>
      <c r="X12" s="58">
        <v>50</v>
      </c>
      <c r="Y12" s="58">
        <v>90</v>
      </c>
      <c r="Z12" s="58">
        <v>100</v>
      </c>
      <c r="AA12" s="58">
        <v>30</v>
      </c>
      <c r="AB12" s="58">
        <v>100</v>
      </c>
      <c r="AC12" s="58">
        <v>40</v>
      </c>
      <c r="AD12" s="58">
        <v>60</v>
      </c>
    </row>
    <row r="13" spans="1:32">
      <c r="B13" s="31" t="str">
        <f t="shared" si="2"/>
        <v>NZTA_Interregional Connectors_2_100</v>
      </c>
      <c r="C13" s="32" t="s">
        <v>1112</v>
      </c>
      <c r="D13" s="31">
        <f t="shared" si="3"/>
        <v>2</v>
      </c>
      <c r="E13" s="31">
        <f t="shared" si="4"/>
        <v>100</v>
      </c>
      <c r="F13">
        <v>102</v>
      </c>
      <c r="G13">
        <f t="shared" si="5"/>
        <v>10</v>
      </c>
      <c r="H13">
        <v>4400</v>
      </c>
      <c r="J13">
        <v>8</v>
      </c>
      <c r="K13">
        <v>112</v>
      </c>
      <c r="L13" t="s">
        <v>121</v>
      </c>
      <c r="M13" t="str">
        <f t="shared" si="6"/>
        <v>NZTA_Interregional Connectors_4</v>
      </c>
      <c r="N13" t="s">
        <v>841</v>
      </c>
      <c r="O13" s="18">
        <v>3</v>
      </c>
      <c r="P13" s="72" t="str">
        <f t="shared" si="0"/>
        <v/>
      </c>
      <c r="Q13" s="384" t="str">
        <f t="shared" si="1"/>
        <v/>
      </c>
      <c r="T13" s="58">
        <v>40</v>
      </c>
      <c r="U13" s="58">
        <v>40</v>
      </c>
      <c r="V13" s="58">
        <v>60</v>
      </c>
      <c r="W13" s="58"/>
      <c r="X13" s="58">
        <v>60</v>
      </c>
      <c r="Y13" s="58">
        <v>80</v>
      </c>
      <c r="Z13" s="58"/>
      <c r="AA13" s="58">
        <v>40</v>
      </c>
      <c r="AB13" s="58"/>
      <c r="AC13" s="58">
        <v>50</v>
      </c>
      <c r="AD13" s="58">
        <v>70</v>
      </c>
    </row>
    <row r="14" spans="1:32">
      <c r="B14" s="31" t="str">
        <f t="shared" si="2"/>
        <v>NZTA_Interregional Connectors_2_80</v>
      </c>
      <c r="C14" s="32" t="s">
        <v>1112</v>
      </c>
      <c r="D14" s="31">
        <f t="shared" si="3"/>
        <v>2</v>
      </c>
      <c r="E14" s="31">
        <f t="shared" si="4"/>
        <v>80</v>
      </c>
      <c r="F14">
        <v>82</v>
      </c>
      <c r="G14">
        <f t="shared" si="5"/>
        <v>10</v>
      </c>
      <c r="H14">
        <v>3800</v>
      </c>
      <c r="J14">
        <v>6</v>
      </c>
      <c r="K14">
        <v>182</v>
      </c>
      <c r="L14" t="s">
        <v>122</v>
      </c>
      <c r="M14" t="str">
        <f t="shared" si="6"/>
        <v>NZTA_Interregional Connectors_4</v>
      </c>
      <c r="N14" t="s">
        <v>841</v>
      </c>
      <c r="O14" s="18">
        <v>4</v>
      </c>
      <c r="P14" s="72" t="str">
        <f t="shared" si="0"/>
        <v/>
      </c>
      <c r="Q14" s="384" t="str">
        <f t="shared" si="1"/>
        <v/>
      </c>
      <c r="T14" s="58">
        <v>50</v>
      </c>
      <c r="U14" s="58">
        <v>50</v>
      </c>
      <c r="V14" s="58">
        <v>70</v>
      </c>
      <c r="W14" s="58"/>
      <c r="X14" s="58">
        <v>70</v>
      </c>
      <c r="Y14" s="58">
        <v>70</v>
      </c>
      <c r="Z14" s="58"/>
      <c r="AA14" s="58">
        <v>50</v>
      </c>
      <c r="AB14" s="58"/>
      <c r="AC14" s="58">
        <v>60</v>
      </c>
      <c r="AD14" s="58">
        <v>80</v>
      </c>
    </row>
    <row r="15" spans="1:32">
      <c r="B15" s="31" t="str">
        <f t="shared" si="2"/>
        <v>NZTA_Interregional Connectors_3_100</v>
      </c>
      <c r="C15" s="32" t="s">
        <v>1112</v>
      </c>
      <c r="D15" s="31">
        <f t="shared" si="3"/>
        <v>3</v>
      </c>
      <c r="E15" s="31">
        <f t="shared" si="4"/>
        <v>100</v>
      </c>
      <c r="F15">
        <v>102</v>
      </c>
      <c r="G15">
        <f t="shared" si="5"/>
        <v>10</v>
      </c>
      <c r="H15">
        <v>6600</v>
      </c>
      <c r="J15">
        <v>8</v>
      </c>
      <c r="K15">
        <v>113</v>
      </c>
      <c r="L15" t="s">
        <v>123</v>
      </c>
      <c r="M15" t="str">
        <f t="shared" si="6"/>
        <v>NZTA_Interregional Connectors_6</v>
      </c>
      <c r="N15" t="s">
        <v>841</v>
      </c>
      <c r="O15" s="18">
        <v>5</v>
      </c>
      <c r="P15" s="72">
        <f t="shared" si="0"/>
        <v>50</v>
      </c>
      <c r="Q15" s="384">
        <f t="shared" si="1"/>
        <v>50</v>
      </c>
      <c r="T15" s="58">
        <v>60</v>
      </c>
      <c r="U15" s="58">
        <v>60</v>
      </c>
      <c r="V15" s="58">
        <v>80</v>
      </c>
      <c r="W15" s="58"/>
      <c r="X15" s="58">
        <v>80</v>
      </c>
      <c r="Y15" s="58">
        <v>60</v>
      </c>
      <c r="Z15" s="58"/>
      <c r="AA15" s="58">
        <v>60</v>
      </c>
      <c r="AB15" s="58"/>
      <c r="AC15" s="58">
        <v>70</v>
      </c>
      <c r="AD15" s="58">
        <v>90</v>
      </c>
    </row>
    <row r="16" spans="1:32">
      <c r="B16" s="31" t="str">
        <f t="shared" si="2"/>
        <v>NZTA_Interregional Connectors_3_80</v>
      </c>
      <c r="C16" s="32" t="s">
        <v>1112</v>
      </c>
      <c r="D16" s="31">
        <f t="shared" si="3"/>
        <v>3</v>
      </c>
      <c r="E16" s="31">
        <v>80</v>
      </c>
      <c r="F16">
        <v>102</v>
      </c>
      <c r="G16">
        <f t="shared" si="5"/>
        <v>10</v>
      </c>
      <c r="H16">
        <f>1900*D16</f>
        <v>5700</v>
      </c>
      <c r="J16">
        <v>6</v>
      </c>
      <c r="K16">
        <v>113</v>
      </c>
      <c r="M16" t="str">
        <f t="shared" si="6"/>
        <v>NZTA_Interregional Connectors_6</v>
      </c>
      <c r="N16" t="s">
        <v>841</v>
      </c>
      <c r="O16" s="18">
        <v>6</v>
      </c>
      <c r="P16" s="72">
        <f t="shared" si="0"/>
        <v>60</v>
      </c>
      <c r="Q16" s="384">
        <f t="shared" si="1"/>
        <v>60</v>
      </c>
      <c r="T16" s="58">
        <v>70</v>
      </c>
      <c r="U16" s="58">
        <v>70</v>
      </c>
      <c r="V16" s="58">
        <v>90</v>
      </c>
      <c r="W16" s="58"/>
      <c r="X16" s="58">
        <v>90</v>
      </c>
      <c r="Y16" s="58">
        <v>50</v>
      </c>
      <c r="Z16" s="58"/>
      <c r="AA16" s="58">
        <v>70</v>
      </c>
      <c r="AB16" s="58"/>
      <c r="AC16" s="58">
        <v>80</v>
      </c>
      <c r="AD16" s="58">
        <v>100</v>
      </c>
    </row>
    <row r="17" spans="2:31">
      <c r="B17" s="31" t="str">
        <f t="shared" ref="B17" si="7">C17&amp;"_"&amp;D17&amp;"_"&amp;E17</f>
        <v>NZTA_Interregional Connectors_4_100</v>
      </c>
      <c r="C17" s="32" t="s">
        <v>1112</v>
      </c>
      <c r="D17" s="31">
        <f t="shared" ref="D17" si="8">VALUE(RIGHT(K17,1))</f>
        <v>4</v>
      </c>
      <c r="E17" s="31">
        <f t="shared" ref="E17" si="9">MROUND(F17,10)</f>
        <v>100</v>
      </c>
      <c r="F17">
        <v>102</v>
      </c>
      <c r="G17">
        <f t="shared" si="5"/>
        <v>10</v>
      </c>
      <c r="H17">
        <f>2200*D17</f>
        <v>8800</v>
      </c>
      <c r="J17">
        <v>8</v>
      </c>
      <c r="K17">
        <v>114</v>
      </c>
      <c r="L17" t="s">
        <v>124</v>
      </c>
      <c r="M17" t="str">
        <f t="shared" si="6"/>
        <v>NZTA_Interregional Connectors_8</v>
      </c>
      <c r="N17" t="s">
        <v>841</v>
      </c>
      <c r="O17" s="18">
        <v>7</v>
      </c>
      <c r="P17" s="72">
        <f t="shared" si="0"/>
        <v>70</v>
      </c>
      <c r="Q17" s="384">
        <f t="shared" si="1"/>
        <v>70</v>
      </c>
      <c r="T17" s="58">
        <v>80</v>
      </c>
      <c r="U17" s="58">
        <v>80</v>
      </c>
      <c r="V17" s="58">
        <v>100</v>
      </c>
      <c r="W17" s="58"/>
      <c r="X17" s="58">
        <v>100</v>
      </c>
      <c r="Y17" s="58">
        <v>40</v>
      </c>
      <c r="Z17" s="58"/>
      <c r="AA17" s="58">
        <v>80</v>
      </c>
      <c r="AB17" s="58"/>
      <c r="AC17" s="58">
        <v>90</v>
      </c>
      <c r="AD17" s="58"/>
    </row>
    <row r="18" spans="2:31">
      <c r="B18" s="31" t="str">
        <f t="shared" ref="B18:B19" si="10">C18&amp;"_"&amp;D18&amp;"_"&amp;E18</f>
        <v>NZTA_Interregional Connectors_4_80</v>
      </c>
      <c r="C18" s="32" t="s">
        <v>1112</v>
      </c>
      <c r="D18" s="31">
        <f t="shared" ref="D18:D19" si="11">VALUE(RIGHT(K18,1))</f>
        <v>4</v>
      </c>
      <c r="E18" s="31">
        <v>80</v>
      </c>
      <c r="F18">
        <v>102</v>
      </c>
      <c r="G18">
        <f t="shared" si="5"/>
        <v>10</v>
      </c>
      <c r="H18">
        <f>1900*D18</f>
        <v>7600</v>
      </c>
      <c r="J18">
        <v>6</v>
      </c>
      <c r="K18">
        <v>114</v>
      </c>
      <c r="M18" t="str">
        <f t="shared" si="6"/>
        <v>NZTA_Interregional Connectors_8</v>
      </c>
      <c r="N18" t="s">
        <v>841</v>
      </c>
      <c r="O18" s="18">
        <v>8</v>
      </c>
      <c r="P18" s="72">
        <f t="shared" si="0"/>
        <v>80</v>
      </c>
      <c r="Q18" s="384">
        <f t="shared" si="1"/>
        <v>80</v>
      </c>
      <c r="T18" s="58">
        <v>90</v>
      </c>
      <c r="U18" s="58">
        <v>90</v>
      </c>
      <c r="V18" s="58"/>
      <c r="W18" s="58"/>
      <c r="X18" s="58"/>
      <c r="Y18" s="58">
        <v>30</v>
      </c>
      <c r="Z18" s="58"/>
      <c r="AA18" s="58">
        <v>90</v>
      </c>
      <c r="AB18" s="58"/>
      <c r="AC18" s="58">
        <v>100</v>
      </c>
      <c r="AD18" s="58"/>
    </row>
    <row r="19" spans="2:31">
      <c r="B19" s="31" t="str">
        <f t="shared" si="10"/>
        <v>NZTA_Interregional Connectors_5_100</v>
      </c>
      <c r="C19" s="32" t="s">
        <v>1112</v>
      </c>
      <c r="D19" s="31">
        <f t="shared" si="11"/>
        <v>5</v>
      </c>
      <c r="E19" s="31">
        <f t="shared" ref="E19" si="12">MROUND(F19,10)</f>
        <v>100</v>
      </c>
      <c r="F19">
        <v>102</v>
      </c>
      <c r="G19">
        <f t="shared" si="5"/>
        <v>10</v>
      </c>
      <c r="H19">
        <f>2200*D19</f>
        <v>11000</v>
      </c>
      <c r="J19">
        <v>8</v>
      </c>
      <c r="K19">
        <v>115</v>
      </c>
      <c r="M19" t="str">
        <f t="shared" si="6"/>
        <v>NZTA_Interregional Connectors_10</v>
      </c>
      <c r="N19" t="s">
        <v>841</v>
      </c>
      <c r="O19" s="18">
        <v>9</v>
      </c>
      <c r="P19" s="72">
        <f t="shared" si="0"/>
        <v>90</v>
      </c>
      <c r="Q19" s="384" t="str">
        <f t="shared" si="1"/>
        <v/>
      </c>
      <c r="T19" s="58">
        <v>100</v>
      </c>
      <c r="U19" s="58">
        <v>100</v>
      </c>
      <c r="V19" s="58"/>
      <c r="W19" s="58"/>
      <c r="X19" s="58"/>
      <c r="Y19" s="58"/>
      <c r="Z19" s="58"/>
      <c r="AA19" s="58">
        <v>100</v>
      </c>
      <c r="AB19" s="58"/>
      <c r="AC19" s="58"/>
      <c r="AD19" s="58"/>
    </row>
    <row r="20" spans="2:31">
      <c r="B20" s="31" t="str">
        <f t="shared" ref="B20" si="13">C20&amp;"_"&amp;D20&amp;"_"&amp;E20</f>
        <v>NZTA_Interregional Connectors_5_80</v>
      </c>
      <c r="C20" s="32" t="s">
        <v>1112</v>
      </c>
      <c r="D20" s="31">
        <f t="shared" ref="D20" si="14">VALUE(RIGHT(K20,1))</f>
        <v>5</v>
      </c>
      <c r="E20" s="31">
        <v>80</v>
      </c>
      <c r="F20">
        <v>102</v>
      </c>
      <c r="G20">
        <f t="shared" si="5"/>
        <v>10</v>
      </c>
      <c r="H20">
        <f>1900*D20</f>
        <v>9500</v>
      </c>
      <c r="J20">
        <v>6</v>
      </c>
      <c r="K20">
        <v>115</v>
      </c>
      <c r="M20" t="str">
        <f t="shared" si="6"/>
        <v>NZTA_Interregional Connectors_10</v>
      </c>
      <c r="N20" t="s">
        <v>841</v>
      </c>
      <c r="O20" s="20">
        <v>10</v>
      </c>
      <c r="P20" s="385">
        <f t="shared" si="0"/>
        <v>100</v>
      </c>
      <c r="Q20" s="386">
        <f t="shared" si="1"/>
        <v>100</v>
      </c>
      <c r="T20" s="58"/>
      <c r="U20" s="58"/>
      <c r="V20" s="58"/>
      <c r="W20" s="58"/>
      <c r="X20" s="58"/>
      <c r="Y20" s="58"/>
      <c r="Z20" s="58"/>
      <c r="AA20" s="58"/>
      <c r="AB20" s="58"/>
      <c r="AC20" s="58"/>
      <c r="AD20" s="58"/>
    </row>
    <row r="21" spans="2:31">
      <c r="B21" s="31" t="str">
        <f t="shared" si="2"/>
        <v>NZTA_Rural Connectors_1_100</v>
      </c>
      <c r="C21" s="32" t="s">
        <v>1113</v>
      </c>
      <c r="D21" s="31">
        <f t="shared" si="3"/>
        <v>1</v>
      </c>
      <c r="E21" s="31">
        <f t="shared" si="4"/>
        <v>100</v>
      </c>
      <c r="F21">
        <v>98</v>
      </c>
      <c r="G21">
        <f t="shared" si="5"/>
        <v>10</v>
      </c>
      <c r="H21">
        <v>1400</v>
      </c>
      <c r="J21">
        <v>4</v>
      </c>
      <c r="K21">
        <v>211</v>
      </c>
      <c r="L21" t="s">
        <v>125</v>
      </c>
      <c r="M21" t="str">
        <f t="shared" si="6"/>
        <v>NZTA_Rural Connectors_2</v>
      </c>
      <c r="N21" t="s">
        <v>841</v>
      </c>
      <c r="P21" s="72"/>
      <c r="Q21" s="72"/>
      <c r="T21" s="58"/>
      <c r="U21" s="58"/>
      <c r="V21" s="58"/>
      <c r="W21" s="58"/>
      <c r="X21" s="58"/>
      <c r="Y21" s="58"/>
      <c r="Z21" s="58"/>
      <c r="AA21" s="58"/>
      <c r="AB21" s="58"/>
      <c r="AC21" s="58"/>
      <c r="AD21" s="58"/>
    </row>
    <row r="22" spans="2:31">
      <c r="B22" s="31" t="str">
        <f t="shared" si="2"/>
        <v>NZTA_Rural Connectors_1_80</v>
      </c>
      <c r="C22" s="32" t="s">
        <v>1113</v>
      </c>
      <c r="D22" s="31">
        <f t="shared" si="3"/>
        <v>1</v>
      </c>
      <c r="E22" s="31">
        <v>80</v>
      </c>
      <c r="F22">
        <v>78</v>
      </c>
      <c r="G22">
        <f t="shared" si="5"/>
        <v>10</v>
      </c>
      <c r="H22">
        <v>1400</v>
      </c>
      <c r="J22">
        <v>4</v>
      </c>
      <c r="K22">
        <v>291</v>
      </c>
      <c r="L22" t="s">
        <v>126</v>
      </c>
      <c r="M22" t="str">
        <f t="shared" si="6"/>
        <v>NZTA_Rural Connectors_2</v>
      </c>
      <c r="N22" t="s">
        <v>841</v>
      </c>
      <c r="P22" s="72"/>
      <c r="Q22" s="72"/>
      <c r="T22" s="58"/>
      <c r="U22" s="58"/>
      <c r="V22" s="58"/>
      <c r="W22" s="58"/>
      <c r="X22" s="58"/>
      <c r="Y22" s="58"/>
      <c r="Z22" s="58"/>
      <c r="AA22" s="58"/>
      <c r="AB22" s="58"/>
      <c r="AC22" s="58"/>
      <c r="AD22" s="58"/>
    </row>
    <row r="23" spans="2:31">
      <c r="B23" s="31" t="str">
        <f t="shared" ref="B23:B24" si="15">C23&amp;"_"&amp;D23&amp;"_"&amp;E23</f>
        <v>NZTA_Rural Connectors_2_100</v>
      </c>
      <c r="C23" s="32" t="s">
        <v>1113</v>
      </c>
      <c r="D23" s="31">
        <f t="shared" ref="D23:D24" si="16">VALUE(RIGHT(K23,1))</f>
        <v>2</v>
      </c>
      <c r="E23" s="31">
        <f t="shared" ref="E23" si="17">MROUND(F23,10)</f>
        <v>100</v>
      </c>
      <c r="F23">
        <v>98</v>
      </c>
      <c r="G23">
        <f t="shared" si="5"/>
        <v>10</v>
      </c>
      <c r="H23">
        <v>2800</v>
      </c>
      <c r="J23">
        <v>4</v>
      </c>
      <c r="K23">
        <v>212</v>
      </c>
      <c r="M23" t="str">
        <f t="shared" si="6"/>
        <v>NZTA_Rural Connectors_4</v>
      </c>
      <c r="N23" t="s">
        <v>841</v>
      </c>
      <c r="O23" s="15"/>
      <c r="P23" s="382" t="s">
        <v>262</v>
      </c>
      <c r="Q23" s="383"/>
      <c r="T23" s="58" t="s">
        <v>257</v>
      </c>
      <c r="U23" s="58"/>
      <c r="V23" s="58"/>
      <c r="W23" s="58"/>
      <c r="X23" s="58"/>
      <c r="Y23" s="58"/>
      <c r="Z23" s="58"/>
      <c r="AA23" s="58"/>
      <c r="AB23" s="58"/>
      <c r="AC23" s="58"/>
      <c r="AD23" s="58"/>
    </row>
    <row r="24" spans="2:31">
      <c r="B24" s="31" t="str">
        <f t="shared" si="15"/>
        <v>NZTA_Rural Connectors_2_80</v>
      </c>
      <c r="C24" s="32" t="s">
        <v>1113</v>
      </c>
      <c r="D24" s="31">
        <f t="shared" si="16"/>
        <v>2</v>
      </c>
      <c r="E24" s="31">
        <v>80</v>
      </c>
      <c r="F24">
        <v>78</v>
      </c>
      <c r="G24">
        <f t="shared" si="5"/>
        <v>10</v>
      </c>
      <c r="H24">
        <v>2800</v>
      </c>
      <c r="J24">
        <v>4</v>
      </c>
      <c r="K24">
        <v>292</v>
      </c>
      <c r="M24" t="str">
        <f t="shared" si="6"/>
        <v>NZTA_Rural Connectors_4</v>
      </c>
      <c r="N24" t="s">
        <v>841</v>
      </c>
      <c r="O24" s="389"/>
      <c r="P24" s="381" t="s">
        <v>259</v>
      </c>
      <c r="Q24" s="390" t="s">
        <v>260</v>
      </c>
      <c r="T24" s="58"/>
      <c r="U24" s="58"/>
      <c r="V24" s="58"/>
      <c r="W24" s="58"/>
      <c r="X24" s="58"/>
      <c r="Y24" s="58"/>
      <c r="Z24" s="58"/>
      <c r="AA24" s="58"/>
      <c r="AB24" s="58"/>
      <c r="AC24" s="58"/>
      <c r="AD24" s="58"/>
    </row>
    <row r="25" spans="2:31">
      <c r="B25" s="31" t="str">
        <f t="shared" ref="B25:B26" si="18">C25&amp;"_"&amp;D25&amp;"_"&amp;E25</f>
        <v>NZTA_Urban Connectors_1_100</v>
      </c>
      <c r="C25" s="32" t="s">
        <v>1111</v>
      </c>
      <c r="D25" s="31">
        <f t="shared" ref="D25:D26" si="19">VALUE(RIGHT(K25,1))</f>
        <v>1</v>
      </c>
      <c r="E25" s="31">
        <f t="shared" ref="E25:E26" si="20">MROUND(F25,10)</f>
        <v>100</v>
      </c>
      <c r="F25">
        <v>98</v>
      </c>
      <c r="G25">
        <f t="shared" si="5"/>
        <v>10</v>
      </c>
      <c r="H25">
        <v>1400</v>
      </c>
      <c r="J25">
        <v>4</v>
      </c>
      <c r="K25">
        <v>211</v>
      </c>
      <c r="L25" t="s">
        <v>125</v>
      </c>
      <c r="M25" t="str">
        <f t="shared" si="6"/>
        <v>NZTA_Urban Connectors_2</v>
      </c>
      <c r="N25" t="s">
        <v>841</v>
      </c>
      <c r="O25" s="395" t="s">
        <v>845</v>
      </c>
      <c r="P25" s="391" t="str">
        <f>cGC!E21</f>
        <v>NZTA_Urban Connectors</v>
      </c>
      <c r="Q25" s="392" t="str">
        <f>cGC!E30</f>
        <v>NZTA_Urban Connectors</v>
      </c>
      <c r="T25" s="394" t="s">
        <v>593</v>
      </c>
      <c r="U25" s="394" t="s">
        <v>596</v>
      </c>
      <c r="V25" s="394" t="s">
        <v>595</v>
      </c>
      <c r="W25" s="394" t="s">
        <v>594</v>
      </c>
      <c r="X25" s="394" t="s">
        <v>592</v>
      </c>
      <c r="Y25" s="394" t="s">
        <v>254</v>
      </c>
      <c r="Z25" s="394" t="s">
        <v>573</v>
      </c>
      <c r="AA25" s="394" t="s">
        <v>575</v>
      </c>
      <c r="AB25" s="394" t="s">
        <v>574</v>
      </c>
      <c r="AC25" s="394" t="s">
        <v>571</v>
      </c>
      <c r="AD25" s="394" t="s">
        <v>572</v>
      </c>
      <c r="AE25" s="227"/>
    </row>
    <row r="26" spans="2:31">
      <c r="B26" s="31" t="str">
        <f t="shared" si="18"/>
        <v>NZTA_Urban Connectors_1_90</v>
      </c>
      <c r="C26" s="32" t="s">
        <v>1111</v>
      </c>
      <c r="D26" s="31">
        <f t="shared" si="19"/>
        <v>1</v>
      </c>
      <c r="E26" s="31">
        <f t="shared" si="20"/>
        <v>90</v>
      </c>
      <c r="F26">
        <v>88</v>
      </c>
      <c r="G26">
        <f t="shared" si="5"/>
        <v>10</v>
      </c>
      <c r="H26">
        <v>1400</v>
      </c>
      <c r="J26">
        <v>4</v>
      </c>
      <c r="K26">
        <v>291</v>
      </c>
      <c r="L26" t="s">
        <v>126</v>
      </c>
      <c r="M26" t="str">
        <f t="shared" si="6"/>
        <v>NZTA_Urban Connectors_2</v>
      </c>
      <c r="N26" t="s">
        <v>841</v>
      </c>
      <c r="O26" s="18">
        <v>0</v>
      </c>
      <c r="P26" s="72">
        <v>0</v>
      </c>
      <c r="Q26" s="384">
        <v>0</v>
      </c>
      <c r="T26" s="58">
        <v>1</v>
      </c>
      <c r="U26" s="58">
        <v>1</v>
      </c>
      <c r="V26" s="58">
        <v>1</v>
      </c>
      <c r="W26" s="58">
        <v>1</v>
      </c>
      <c r="X26" s="58">
        <v>1</v>
      </c>
      <c r="Y26" s="58">
        <v>1</v>
      </c>
      <c r="Z26" s="58">
        <v>1</v>
      </c>
      <c r="AA26" s="58">
        <v>1</v>
      </c>
      <c r="AB26" s="58">
        <v>1</v>
      </c>
      <c r="AC26" s="58">
        <v>1</v>
      </c>
      <c r="AD26" s="58">
        <v>1</v>
      </c>
    </row>
    <row r="27" spans="2:31">
      <c r="B27" s="31" t="str">
        <f t="shared" si="2"/>
        <v>NZTA_Urban Connectors_1_80</v>
      </c>
      <c r="C27" s="32" t="s">
        <v>1111</v>
      </c>
      <c r="D27" s="31">
        <f t="shared" si="3"/>
        <v>1</v>
      </c>
      <c r="E27" s="31">
        <f t="shared" si="4"/>
        <v>80</v>
      </c>
      <c r="F27">
        <v>78</v>
      </c>
      <c r="G27">
        <f t="shared" si="5"/>
        <v>10</v>
      </c>
      <c r="H27">
        <v>1600</v>
      </c>
      <c r="J27">
        <v>4</v>
      </c>
      <c r="K27">
        <v>281</v>
      </c>
      <c r="L27" t="s">
        <v>127</v>
      </c>
      <c r="M27" t="str">
        <f t="shared" si="6"/>
        <v>NZTA_Urban Connectors_2</v>
      </c>
      <c r="N27" t="s">
        <v>841</v>
      </c>
      <c r="O27" s="18">
        <v>2</v>
      </c>
      <c r="P27" s="72">
        <f>IF(Dashboard!$K$55=1,IF(COUNTIF($M$11:$M$257,P$25&amp;"_"&amp;$O27)&gt;0,$O27,""),$O27)</f>
        <v>2</v>
      </c>
      <c r="Q27" s="384">
        <f>IF(Dashboard!$K$55=1,IF(COUNTIF($M$11:$M$257,Q$25&amp;"_"&amp;$O27)&gt;0,$O27,""),$O27)</f>
        <v>2</v>
      </c>
      <c r="T27" s="58">
        <v>2</v>
      </c>
      <c r="U27" s="58">
        <v>2</v>
      </c>
      <c r="V27" s="58">
        <v>2</v>
      </c>
      <c r="W27" s="58">
        <v>2</v>
      </c>
      <c r="X27" s="58">
        <v>2</v>
      </c>
      <c r="Y27" s="58">
        <v>2</v>
      </c>
      <c r="Z27" s="58">
        <v>2</v>
      </c>
      <c r="AA27" s="58">
        <v>2</v>
      </c>
      <c r="AB27" s="58">
        <v>2</v>
      </c>
      <c r="AC27" s="58">
        <v>2</v>
      </c>
      <c r="AD27" s="58">
        <v>2</v>
      </c>
    </row>
    <row r="28" spans="2:31">
      <c r="B28" s="31" t="str">
        <f t="shared" si="2"/>
        <v>NZTA_Urban Connectors_1_70</v>
      </c>
      <c r="C28" s="32" t="s">
        <v>1111</v>
      </c>
      <c r="D28" s="31">
        <f t="shared" si="3"/>
        <v>1</v>
      </c>
      <c r="E28" s="31">
        <f t="shared" si="4"/>
        <v>70</v>
      </c>
      <c r="F28">
        <v>68</v>
      </c>
      <c r="G28">
        <f t="shared" si="5"/>
        <v>10</v>
      </c>
      <c r="H28">
        <v>1600</v>
      </c>
      <c r="J28">
        <v>4</v>
      </c>
      <c r="K28">
        <v>271</v>
      </c>
      <c r="L28" t="s">
        <v>128</v>
      </c>
      <c r="M28" t="str">
        <f t="shared" si="6"/>
        <v>NZTA_Urban Connectors_2</v>
      </c>
      <c r="N28" t="s">
        <v>841</v>
      </c>
      <c r="O28" s="18">
        <v>4</v>
      </c>
      <c r="P28" s="72">
        <f>IF(Dashboard!$K$55=1,IF(COUNTIF($M$11:$M$257,P$25&amp;"_"&amp;$O28)&gt;0,$O28,""),$O28)</f>
        <v>4</v>
      </c>
      <c r="Q28" s="384">
        <f>IF(Dashboard!$K$55=1,IF(COUNTIF($M$11:$M$257,Q$25&amp;"_"&amp;$O28)&gt;0,$O28,""),$O28)</f>
        <v>4</v>
      </c>
      <c r="T28" s="58"/>
      <c r="U28" s="58"/>
      <c r="V28" s="58">
        <v>3</v>
      </c>
      <c r="W28" s="58"/>
      <c r="X28" s="58">
        <v>3</v>
      </c>
      <c r="Y28" s="58">
        <v>3</v>
      </c>
      <c r="Z28" s="58">
        <v>3</v>
      </c>
      <c r="AA28" s="58"/>
      <c r="AB28" s="58"/>
      <c r="AC28" s="58">
        <v>3</v>
      </c>
      <c r="AD28" s="58">
        <v>3</v>
      </c>
    </row>
    <row r="29" spans="2:31">
      <c r="B29" s="31" t="str">
        <f t="shared" si="2"/>
        <v>NZTA_Urban Connectors_1_60</v>
      </c>
      <c r="C29" s="32" t="s">
        <v>1111</v>
      </c>
      <c r="D29" s="31">
        <f t="shared" si="3"/>
        <v>1</v>
      </c>
      <c r="E29" s="31">
        <f t="shared" si="4"/>
        <v>60</v>
      </c>
      <c r="F29">
        <v>58</v>
      </c>
      <c r="G29">
        <f t="shared" si="5"/>
        <v>10</v>
      </c>
      <c r="H29">
        <v>1800</v>
      </c>
      <c r="J29">
        <v>4.5</v>
      </c>
      <c r="K29">
        <v>261</v>
      </c>
      <c r="L29" t="s">
        <v>129</v>
      </c>
      <c r="M29" t="str">
        <f t="shared" si="6"/>
        <v>NZTA_Urban Connectors_2</v>
      </c>
      <c r="N29" t="s">
        <v>841</v>
      </c>
      <c r="O29" s="18">
        <v>6</v>
      </c>
      <c r="P29" s="72">
        <f>IF(Dashboard!$K$55=1,IF(COUNTIF($M$11:$M$257,P$25&amp;"_"&amp;$O29)&gt;0,$O29,""),$O29)</f>
        <v>6</v>
      </c>
      <c r="Q29" s="384">
        <f>IF(Dashboard!$K$55=1,IF(COUNTIF($M$11:$M$257,Q$25&amp;"_"&amp;$O29)&gt;0,$O29,""),$O29)</f>
        <v>6</v>
      </c>
      <c r="T29" s="58"/>
      <c r="U29" s="58"/>
      <c r="V29" s="58">
        <v>4</v>
      </c>
      <c r="W29" s="58"/>
      <c r="X29" s="58">
        <v>4</v>
      </c>
      <c r="Y29" s="58">
        <v>4</v>
      </c>
      <c r="Z29" s="58">
        <v>4</v>
      </c>
      <c r="AA29" s="58"/>
      <c r="AB29" s="58"/>
      <c r="AC29" s="58">
        <v>4</v>
      </c>
      <c r="AD29" s="58"/>
    </row>
    <row r="30" spans="2:31">
      <c r="B30" s="31" t="str">
        <f t="shared" si="2"/>
        <v>NZTA_Urban Connectors_1_50</v>
      </c>
      <c r="C30" s="32" t="s">
        <v>1111</v>
      </c>
      <c r="D30" s="31">
        <f t="shared" si="3"/>
        <v>1</v>
      </c>
      <c r="E30" s="31">
        <f t="shared" si="4"/>
        <v>50</v>
      </c>
      <c r="F30">
        <v>48</v>
      </c>
      <c r="G30">
        <f t="shared" si="5"/>
        <v>10</v>
      </c>
      <c r="H30">
        <v>1800</v>
      </c>
      <c r="J30">
        <v>4.5</v>
      </c>
      <c r="K30">
        <v>251</v>
      </c>
      <c r="L30" t="s">
        <v>130</v>
      </c>
      <c r="M30" t="str">
        <f t="shared" si="6"/>
        <v>NZTA_Urban Connectors_2</v>
      </c>
      <c r="N30" t="s">
        <v>841</v>
      </c>
      <c r="O30" s="18">
        <v>8</v>
      </c>
      <c r="P30" s="72">
        <f>IF(Dashboard!$K$55=1,IF(COUNTIF($M$11:$M$257,P$25&amp;"_"&amp;$O30)&gt;0,$O30,""),$O30)</f>
        <v>8</v>
      </c>
      <c r="Q30" s="384">
        <f>IF(Dashboard!$K$55=1,IF(COUNTIF($M$11:$M$257,Q$25&amp;"_"&amp;$O30)&gt;0,$O30,""),$O30)</f>
        <v>8</v>
      </c>
      <c r="T30" s="58"/>
      <c r="U30" s="58"/>
      <c r="V30" s="58"/>
      <c r="W30" s="58"/>
      <c r="X30" s="58"/>
      <c r="Y30" s="58"/>
      <c r="Z30" s="58">
        <v>5</v>
      </c>
      <c r="AA30" s="58"/>
      <c r="AB30" s="58"/>
      <c r="AC30" s="58"/>
      <c r="AD30" s="58"/>
    </row>
    <row r="31" spans="2:31">
      <c r="B31" s="31" t="str">
        <f t="shared" si="2"/>
        <v>NZTA_Urban Connectors_2_100</v>
      </c>
      <c r="C31" s="32" t="s">
        <v>1111</v>
      </c>
      <c r="D31" s="31">
        <f t="shared" si="3"/>
        <v>2</v>
      </c>
      <c r="E31" s="31">
        <f t="shared" si="4"/>
        <v>100</v>
      </c>
      <c r="F31">
        <v>102</v>
      </c>
      <c r="G31">
        <f t="shared" si="5"/>
        <v>10</v>
      </c>
      <c r="H31">
        <v>4200</v>
      </c>
      <c r="J31">
        <v>7</v>
      </c>
      <c r="K31">
        <v>212</v>
      </c>
      <c r="L31" t="s">
        <v>131</v>
      </c>
      <c r="M31" t="str">
        <f t="shared" si="6"/>
        <v>NZTA_Urban Connectors_4</v>
      </c>
      <c r="N31" t="s">
        <v>841</v>
      </c>
      <c r="O31" s="18"/>
      <c r="P31" s="72" t="str">
        <f>IF(COUNTIF($M$11:$M$257,P$25&amp;"_"&amp;$O31)&gt;0,O31,"")</f>
        <v/>
      </c>
      <c r="Q31" s="384" t="str">
        <f>IF(COUNTIF($M$11:$M$257,Q$25&amp;"_"&amp;$O31)&gt;0,P31,"")</f>
        <v/>
      </c>
      <c r="T31" s="58"/>
      <c r="U31" s="58"/>
      <c r="V31" s="58"/>
      <c r="W31" s="58"/>
      <c r="X31" s="58"/>
      <c r="Y31" s="58"/>
      <c r="Z31" s="58"/>
      <c r="AA31" s="58"/>
      <c r="AB31" s="58"/>
      <c r="AC31" s="58"/>
      <c r="AD31" s="58"/>
    </row>
    <row r="32" spans="2:31">
      <c r="B32" s="31" t="str">
        <f t="shared" si="2"/>
        <v>NZTA_Urban Connectors_2_80</v>
      </c>
      <c r="C32" s="32" t="s">
        <v>1111</v>
      </c>
      <c r="D32" s="31">
        <f t="shared" si="3"/>
        <v>2</v>
      </c>
      <c r="E32" s="31">
        <f t="shared" si="4"/>
        <v>80</v>
      </c>
      <c r="F32">
        <v>82</v>
      </c>
      <c r="G32">
        <f t="shared" si="5"/>
        <v>10</v>
      </c>
      <c r="H32">
        <v>3800</v>
      </c>
      <c r="J32">
        <v>4.5</v>
      </c>
      <c r="K32">
        <v>282</v>
      </c>
      <c r="L32" t="s">
        <v>132</v>
      </c>
      <c r="M32" t="str">
        <f t="shared" si="6"/>
        <v>NZTA_Urban Connectors_4</v>
      </c>
      <c r="N32" t="s">
        <v>841</v>
      </c>
      <c r="O32" s="20"/>
      <c r="P32" s="385" t="str">
        <f>IF(COUNTIF($M$11:$M$257,P$25&amp;"_"&amp;$O32)&gt;0,O32,"")</f>
        <v/>
      </c>
      <c r="Q32" s="386" t="str">
        <f>IF(COUNTIF($M$11:$M$257,Q$25&amp;"_"&amp;$O32)&gt;0,P32,"")</f>
        <v/>
      </c>
      <c r="T32" s="58"/>
      <c r="U32" s="58"/>
      <c r="V32" s="58"/>
      <c r="W32" s="58"/>
      <c r="X32" s="58"/>
      <c r="Y32" s="58"/>
      <c r="Z32" s="58"/>
      <c r="AA32" s="58"/>
      <c r="AB32" s="58"/>
      <c r="AC32" s="58"/>
      <c r="AD32" s="58"/>
    </row>
    <row r="33" spans="2:30">
      <c r="B33" s="31" t="str">
        <f t="shared" si="2"/>
        <v>NZTA_Urban Connectors_2_70</v>
      </c>
      <c r="C33" s="32" t="s">
        <v>1111</v>
      </c>
      <c r="D33" s="31">
        <f t="shared" si="3"/>
        <v>2</v>
      </c>
      <c r="E33" s="31">
        <f t="shared" si="4"/>
        <v>70</v>
      </c>
      <c r="F33">
        <v>72</v>
      </c>
      <c r="G33">
        <f t="shared" si="5"/>
        <v>10</v>
      </c>
      <c r="H33">
        <v>3800</v>
      </c>
      <c r="J33">
        <v>4.5</v>
      </c>
      <c r="K33">
        <v>272</v>
      </c>
      <c r="L33" t="s">
        <v>133</v>
      </c>
      <c r="M33" t="str">
        <f t="shared" si="6"/>
        <v>NZTA_Urban Connectors_4</v>
      </c>
      <c r="N33" t="s">
        <v>841</v>
      </c>
      <c r="T33" s="58"/>
      <c r="U33" s="58"/>
      <c r="V33" s="58"/>
      <c r="W33" s="58"/>
      <c r="X33" s="58"/>
      <c r="Y33" s="58"/>
      <c r="Z33" s="58"/>
      <c r="AA33" s="58"/>
      <c r="AB33" s="58"/>
      <c r="AC33" s="58"/>
      <c r="AD33" s="58"/>
    </row>
    <row r="34" spans="2:30">
      <c r="B34" s="31" t="str">
        <f t="shared" si="2"/>
        <v>NZTA_Urban Connectors_2_60</v>
      </c>
      <c r="C34" s="32" t="s">
        <v>1111</v>
      </c>
      <c r="D34" s="31">
        <f t="shared" si="3"/>
        <v>2</v>
      </c>
      <c r="E34" s="31">
        <f t="shared" si="4"/>
        <v>60</v>
      </c>
      <c r="F34">
        <v>62</v>
      </c>
      <c r="G34">
        <f t="shared" si="5"/>
        <v>10</v>
      </c>
      <c r="H34">
        <v>3800</v>
      </c>
      <c r="J34">
        <v>4.5</v>
      </c>
      <c r="K34">
        <v>262</v>
      </c>
      <c r="L34" t="s">
        <v>134</v>
      </c>
      <c r="M34" t="str">
        <f t="shared" si="6"/>
        <v>NZTA_Urban Connectors_4</v>
      </c>
      <c r="N34" t="s">
        <v>841</v>
      </c>
    </row>
    <row r="35" spans="2:30">
      <c r="B35" s="31" t="str">
        <f t="shared" si="2"/>
        <v>NZTA_Urban Connectors_2_50</v>
      </c>
      <c r="C35" s="32" t="s">
        <v>1111</v>
      </c>
      <c r="D35" s="31">
        <f t="shared" si="3"/>
        <v>2</v>
      </c>
      <c r="E35" s="31">
        <f t="shared" si="4"/>
        <v>50</v>
      </c>
      <c r="F35">
        <v>52</v>
      </c>
      <c r="G35">
        <f t="shared" si="5"/>
        <v>10</v>
      </c>
      <c r="H35">
        <v>3800</v>
      </c>
      <c r="J35">
        <v>4.5</v>
      </c>
      <c r="K35">
        <v>252</v>
      </c>
      <c r="L35" t="s">
        <v>135</v>
      </c>
      <c r="M35" t="str">
        <f t="shared" si="6"/>
        <v>NZTA_Urban Connectors_4</v>
      </c>
      <c r="N35" t="s">
        <v>841</v>
      </c>
    </row>
    <row r="36" spans="2:30">
      <c r="B36" s="31" t="str">
        <f t="shared" si="2"/>
        <v>NZTA_Urban Connectors_3_100</v>
      </c>
      <c r="C36" s="32" t="s">
        <v>1111</v>
      </c>
      <c r="D36" s="31">
        <f t="shared" si="3"/>
        <v>3</v>
      </c>
      <c r="E36" s="31">
        <f t="shared" si="4"/>
        <v>100</v>
      </c>
      <c r="F36">
        <v>102</v>
      </c>
      <c r="G36">
        <f t="shared" si="5"/>
        <v>10</v>
      </c>
      <c r="H36">
        <v>6300</v>
      </c>
      <c r="J36">
        <v>7</v>
      </c>
      <c r="K36">
        <v>213</v>
      </c>
      <c r="L36" t="s">
        <v>136</v>
      </c>
      <c r="M36" t="str">
        <f t="shared" si="6"/>
        <v>NZTA_Urban Connectors_6</v>
      </c>
      <c r="N36" t="s">
        <v>841</v>
      </c>
      <c r="O36">
        <f t="shared" ref="O36:O45" si="21">COUNTIF($C$11:$C$257,P36)</f>
        <v>25</v>
      </c>
      <c r="P36" t="s">
        <v>1110</v>
      </c>
    </row>
    <row r="37" spans="2:30">
      <c r="B37" s="31" t="str">
        <f t="shared" si="2"/>
        <v>NZTA_Urban Connectors_3_80</v>
      </c>
      <c r="C37" s="32" t="s">
        <v>1111</v>
      </c>
      <c r="D37" s="31">
        <f t="shared" si="3"/>
        <v>3</v>
      </c>
      <c r="E37" s="31">
        <f t="shared" si="4"/>
        <v>80</v>
      </c>
      <c r="F37">
        <v>82</v>
      </c>
      <c r="G37">
        <f t="shared" si="5"/>
        <v>10</v>
      </c>
      <c r="H37">
        <v>5700</v>
      </c>
      <c r="J37">
        <v>4.5</v>
      </c>
      <c r="K37">
        <v>283</v>
      </c>
      <c r="L37" t="s">
        <v>137</v>
      </c>
      <c r="M37" t="str">
        <f t="shared" si="6"/>
        <v>NZTA_Urban Connectors_6</v>
      </c>
      <c r="N37" t="s">
        <v>841</v>
      </c>
      <c r="O37">
        <f t="shared" si="21"/>
        <v>21</v>
      </c>
      <c r="P37" t="s">
        <v>1111</v>
      </c>
    </row>
    <row r="38" spans="2:30">
      <c r="B38" s="31" t="str">
        <f t="shared" si="2"/>
        <v>NZTA_Urban Connectors_3_70</v>
      </c>
      <c r="C38" s="32" t="s">
        <v>1111</v>
      </c>
      <c r="D38" s="31">
        <f t="shared" si="3"/>
        <v>3</v>
      </c>
      <c r="E38" s="31">
        <f t="shared" si="4"/>
        <v>70</v>
      </c>
      <c r="F38">
        <v>72</v>
      </c>
      <c r="G38">
        <f t="shared" si="5"/>
        <v>10</v>
      </c>
      <c r="H38">
        <v>5700</v>
      </c>
      <c r="J38">
        <v>4.5</v>
      </c>
      <c r="K38">
        <v>273</v>
      </c>
      <c r="L38" t="s">
        <v>138</v>
      </c>
      <c r="M38" t="str">
        <f t="shared" si="6"/>
        <v>NZTA_Urban Connectors_6</v>
      </c>
      <c r="N38" t="s">
        <v>841</v>
      </c>
      <c r="O38">
        <f t="shared" si="21"/>
        <v>10</v>
      </c>
      <c r="P38" t="s">
        <v>1112</v>
      </c>
    </row>
    <row r="39" spans="2:30">
      <c r="B39" s="31" t="str">
        <f t="shared" si="2"/>
        <v>NZTA_Urban Connectors_3_60</v>
      </c>
      <c r="C39" s="32" t="s">
        <v>1111</v>
      </c>
      <c r="D39" s="31">
        <f t="shared" si="3"/>
        <v>3</v>
      </c>
      <c r="E39" s="31">
        <f t="shared" si="4"/>
        <v>60</v>
      </c>
      <c r="F39">
        <v>62</v>
      </c>
      <c r="G39">
        <f t="shared" si="5"/>
        <v>10</v>
      </c>
      <c r="H39">
        <v>5700</v>
      </c>
      <c r="J39">
        <v>4.5</v>
      </c>
      <c r="K39">
        <v>263</v>
      </c>
      <c r="L39" t="s">
        <v>139</v>
      </c>
      <c r="M39" t="str">
        <f t="shared" si="6"/>
        <v>NZTA_Urban Connectors_6</v>
      </c>
      <c r="N39" t="s">
        <v>841</v>
      </c>
      <c r="O39">
        <f t="shared" si="21"/>
        <v>4</v>
      </c>
      <c r="P39" t="s">
        <v>1113</v>
      </c>
    </row>
    <row r="40" spans="2:30">
      <c r="B40" s="31" t="str">
        <f t="shared" si="2"/>
        <v>NZTA_Urban Connectors_3_50</v>
      </c>
      <c r="C40" s="32" t="s">
        <v>1111</v>
      </c>
      <c r="D40" s="31">
        <f t="shared" si="3"/>
        <v>3</v>
      </c>
      <c r="E40" s="31">
        <f t="shared" si="4"/>
        <v>50</v>
      </c>
      <c r="F40">
        <v>52</v>
      </c>
      <c r="G40">
        <f t="shared" si="5"/>
        <v>10</v>
      </c>
      <c r="H40">
        <v>5700</v>
      </c>
      <c r="J40">
        <v>4.5</v>
      </c>
      <c r="K40">
        <v>253</v>
      </c>
      <c r="L40" t="s">
        <v>140</v>
      </c>
      <c r="M40" t="str">
        <f t="shared" si="6"/>
        <v>NZTA_Urban Connectors_6</v>
      </c>
      <c r="N40" t="s">
        <v>841</v>
      </c>
      <c r="O40">
        <f t="shared" si="21"/>
        <v>36</v>
      </c>
      <c r="P40" t="s">
        <v>1114</v>
      </c>
    </row>
    <row r="41" spans="2:30">
      <c r="B41" s="31" t="str">
        <f t="shared" ref="B41:B45" si="22">C41&amp;"_"&amp;D41&amp;"_"&amp;E41</f>
        <v>NZTA_Urban Connectors_4_100</v>
      </c>
      <c r="C41" s="32" t="s">
        <v>1111</v>
      </c>
      <c r="D41" s="31">
        <v>4</v>
      </c>
      <c r="E41" s="31">
        <f t="shared" ref="E41:E45" si="23">MROUND(F41,10)</f>
        <v>100</v>
      </c>
      <c r="F41">
        <v>102</v>
      </c>
      <c r="G41">
        <f t="shared" si="5"/>
        <v>10</v>
      </c>
      <c r="H41">
        <f>H31*2</f>
        <v>8400</v>
      </c>
      <c r="J41">
        <v>7</v>
      </c>
      <c r="K41">
        <v>213</v>
      </c>
      <c r="L41" t="s">
        <v>136</v>
      </c>
      <c r="M41" t="str">
        <f t="shared" ref="M41:M45" si="24">C41&amp;"_"&amp;D41*2</f>
        <v>NZTA_Urban Connectors_8</v>
      </c>
      <c r="N41" t="s">
        <v>841</v>
      </c>
      <c r="O41">
        <f t="shared" si="21"/>
        <v>0</v>
      </c>
      <c r="P41" t="s">
        <v>576</v>
      </c>
    </row>
    <row r="42" spans="2:30">
      <c r="B42" s="31" t="str">
        <f t="shared" si="22"/>
        <v>NZTA_Urban Connectors_4_80</v>
      </c>
      <c r="C42" s="32" t="s">
        <v>1111</v>
      </c>
      <c r="D42" s="31">
        <v>4</v>
      </c>
      <c r="E42" s="31">
        <f t="shared" si="23"/>
        <v>80</v>
      </c>
      <c r="F42">
        <v>82</v>
      </c>
      <c r="G42">
        <f t="shared" si="5"/>
        <v>10</v>
      </c>
      <c r="H42">
        <f>H32*2</f>
        <v>7600</v>
      </c>
      <c r="J42">
        <v>4.5</v>
      </c>
      <c r="K42">
        <v>283</v>
      </c>
      <c r="L42" t="s">
        <v>137</v>
      </c>
      <c r="M42" t="str">
        <f t="shared" si="24"/>
        <v>NZTA_Urban Connectors_8</v>
      </c>
      <c r="N42" t="s">
        <v>841</v>
      </c>
      <c r="O42">
        <f t="shared" si="21"/>
        <v>0</v>
      </c>
      <c r="P42" t="s">
        <v>577</v>
      </c>
    </row>
    <row r="43" spans="2:30">
      <c r="B43" s="31" t="str">
        <f t="shared" si="22"/>
        <v>NZTA_Urban Connectors_4_70</v>
      </c>
      <c r="C43" s="32" t="s">
        <v>1111</v>
      </c>
      <c r="D43" s="31">
        <v>4</v>
      </c>
      <c r="E43" s="31">
        <f t="shared" si="23"/>
        <v>70</v>
      </c>
      <c r="F43">
        <v>72</v>
      </c>
      <c r="G43">
        <f t="shared" si="5"/>
        <v>10</v>
      </c>
      <c r="H43">
        <f t="shared" ref="H43:H45" si="25">H33*2</f>
        <v>7600</v>
      </c>
      <c r="J43">
        <v>4.5</v>
      </c>
      <c r="K43">
        <v>273</v>
      </c>
      <c r="L43" t="s">
        <v>138</v>
      </c>
      <c r="M43" t="str">
        <f t="shared" si="24"/>
        <v>NZTA_Urban Connectors_8</v>
      </c>
      <c r="N43" t="s">
        <v>841</v>
      </c>
      <c r="O43">
        <f t="shared" si="21"/>
        <v>0</v>
      </c>
      <c r="P43" t="s">
        <v>578</v>
      </c>
    </row>
    <row r="44" spans="2:30">
      <c r="B44" s="31" t="str">
        <f t="shared" si="22"/>
        <v>NZTA_Urban Connectors_4_60</v>
      </c>
      <c r="C44" s="32" t="s">
        <v>1111</v>
      </c>
      <c r="D44" s="31">
        <v>4</v>
      </c>
      <c r="E44" s="31">
        <f t="shared" si="23"/>
        <v>60</v>
      </c>
      <c r="F44">
        <v>62</v>
      </c>
      <c r="G44">
        <f t="shared" si="5"/>
        <v>10</v>
      </c>
      <c r="H44">
        <f t="shared" si="25"/>
        <v>7600</v>
      </c>
      <c r="J44">
        <v>4.5</v>
      </c>
      <c r="K44">
        <v>263</v>
      </c>
      <c r="L44" t="s">
        <v>139</v>
      </c>
      <c r="M44" t="str">
        <f t="shared" si="24"/>
        <v>NZTA_Urban Connectors_8</v>
      </c>
      <c r="N44" t="s">
        <v>841</v>
      </c>
      <c r="O44">
        <f t="shared" si="21"/>
        <v>0</v>
      </c>
      <c r="P44" t="s">
        <v>579</v>
      </c>
    </row>
    <row r="45" spans="2:30">
      <c r="B45" s="31" t="str">
        <f t="shared" si="22"/>
        <v>NZTA_Urban Connectors_4_50</v>
      </c>
      <c r="C45" s="32" t="s">
        <v>1111</v>
      </c>
      <c r="D45" s="31">
        <v>4</v>
      </c>
      <c r="E45" s="31">
        <f t="shared" si="23"/>
        <v>50</v>
      </c>
      <c r="F45">
        <v>52</v>
      </c>
      <c r="G45">
        <f t="shared" si="5"/>
        <v>10</v>
      </c>
      <c r="H45">
        <f t="shared" si="25"/>
        <v>7600</v>
      </c>
      <c r="J45">
        <v>4.5</v>
      </c>
      <c r="K45">
        <v>253</v>
      </c>
      <c r="L45" t="s">
        <v>140</v>
      </c>
      <c r="M45" t="str">
        <f t="shared" si="24"/>
        <v>NZTA_Urban Connectors_8</v>
      </c>
      <c r="N45" t="s">
        <v>841</v>
      </c>
      <c r="O45">
        <f t="shared" si="21"/>
        <v>0</v>
      </c>
      <c r="P45" t="s">
        <v>580</v>
      </c>
    </row>
    <row r="46" spans="2:30">
      <c r="B46" s="31" t="str">
        <f t="shared" si="2"/>
        <v>Local LTA_Urban Connectors_1_100</v>
      </c>
      <c r="C46" s="32" t="s">
        <v>592</v>
      </c>
      <c r="D46" s="31">
        <f t="shared" si="3"/>
        <v>1</v>
      </c>
      <c r="E46" s="31">
        <f t="shared" si="4"/>
        <v>100</v>
      </c>
      <c r="F46">
        <v>98</v>
      </c>
      <c r="G46">
        <f t="shared" si="5"/>
        <v>10</v>
      </c>
      <c r="H46">
        <v>1400</v>
      </c>
      <c r="J46">
        <v>4</v>
      </c>
      <c r="K46">
        <v>311</v>
      </c>
      <c r="L46" t="s">
        <v>141</v>
      </c>
      <c r="M46" t="str">
        <f t="shared" si="6"/>
        <v>Local LTA_Urban Connectors_2</v>
      </c>
      <c r="N46" t="s">
        <v>841</v>
      </c>
    </row>
    <row r="47" spans="2:30">
      <c r="B47" s="31" t="str">
        <f t="shared" si="2"/>
        <v>Local LTA_Urban Connectors_1_90</v>
      </c>
      <c r="C47" s="32" t="s">
        <v>592</v>
      </c>
      <c r="D47" s="31">
        <f t="shared" si="3"/>
        <v>1</v>
      </c>
      <c r="E47" s="31">
        <f t="shared" si="4"/>
        <v>90</v>
      </c>
      <c r="F47">
        <v>88</v>
      </c>
      <c r="G47">
        <f t="shared" si="5"/>
        <v>10</v>
      </c>
      <c r="H47">
        <v>1400</v>
      </c>
      <c r="J47">
        <v>4</v>
      </c>
      <c r="K47">
        <v>391</v>
      </c>
      <c r="L47" t="s">
        <v>142</v>
      </c>
      <c r="M47" t="str">
        <f t="shared" si="6"/>
        <v>Local LTA_Urban Connectors_2</v>
      </c>
      <c r="N47" t="s">
        <v>841</v>
      </c>
    </row>
    <row r="48" spans="2:30">
      <c r="B48" s="31" t="str">
        <f t="shared" si="2"/>
        <v>Local LTA_Urban Connectors_1_80</v>
      </c>
      <c r="C48" s="32" t="s">
        <v>592</v>
      </c>
      <c r="D48" s="31">
        <f t="shared" si="3"/>
        <v>1</v>
      </c>
      <c r="E48" s="31">
        <f t="shared" si="4"/>
        <v>80</v>
      </c>
      <c r="F48">
        <v>78</v>
      </c>
      <c r="G48">
        <f t="shared" si="5"/>
        <v>10</v>
      </c>
      <c r="H48">
        <v>1600</v>
      </c>
      <c r="J48">
        <v>4</v>
      </c>
      <c r="K48">
        <v>381</v>
      </c>
      <c r="L48" t="s">
        <v>143</v>
      </c>
      <c r="M48" t="str">
        <f t="shared" si="6"/>
        <v>Local LTA_Urban Connectors_2</v>
      </c>
      <c r="N48" t="s">
        <v>841</v>
      </c>
    </row>
    <row r="49" spans="2:14">
      <c r="B49" s="31" t="str">
        <f t="shared" si="2"/>
        <v>Local LTA_Urban Connectors_1_70</v>
      </c>
      <c r="C49" s="32" t="s">
        <v>592</v>
      </c>
      <c r="D49" s="31">
        <f t="shared" si="3"/>
        <v>1</v>
      </c>
      <c r="E49" s="31">
        <f t="shared" si="4"/>
        <v>70</v>
      </c>
      <c r="F49">
        <v>68</v>
      </c>
      <c r="G49">
        <f t="shared" si="5"/>
        <v>10</v>
      </c>
      <c r="H49">
        <v>1600</v>
      </c>
      <c r="J49">
        <v>4</v>
      </c>
      <c r="K49">
        <v>371</v>
      </c>
      <c r="L49" t="s">
        <v>144</v>
      </c>
      <c r="M49" t="str">
        <f t="shared" si="6"/>
        <v>Local LTA_Urban Connectors_2</v>
      </c>
      <c r="N49" t="s">
        <v>841</v>
      </c>
    </row>
    <row r="50" spans="2:14">
      <c r="B50" s="31" t="str">
        <f t="shared" si="2"/>
        <v>Local LTA_Urban Connectors_1_60</v>
      </c>
      <c r="C50" s="32" t="s">
        <v>592</v>
      </c>
      <c r="D50" s="31">
        <f t="shared" si="3"/>
        <v>1</v>
      </c>
      <c r="E50" s="31">
        <f t="shared" si="4"/>
        <v>60</v>
      </c>
      <c r="F50">
        <v>58</v>
      </c>
      <c r="G50">
        <f t="shared" si="5"/>
        <v>10</v>
      </c>
      <c r="H50">
        <v>1600</v>
      </c>
      <c r="J50">
        <v>3.5</v>
      </c>
      <c r="K50">
        <v>361</v>
      </c>
      <c r="L50" t="s">
        <v>145</v>
      </c>
      <c r="M50" t="str">
        <f t="shared" si="6"/>
        <v>Local LTA_Urban Connectors_2</v>
      </c>
      <c r="N50" t="s">
        <v>841</v>
      </c>
    </row>
    <row r="51" spans="2:14">
      <c r="B51" s="31" t="str">
        <f t="shared" si="2"/>
        <v>Local LTA_Urban Connectors_1_50</v>
      </c>
      <c r="C51" s="32" t="s">
        <v>592</v>
      </c>
      <c r="D51" s="31">
        <f t="shared" si="3"/>
        <v>1</v>
      </c>
      <c r="E51" s="31">
        <f t="shared" si="4"/>
        <v>50</v>
      </c>
      <c r="F51">
        <v>48</v>
      </c>
      <c r="G51">
        <f t="shared" si="5"/>
        <v>10</v>
      </c>
      <c r="H51">
        <v>1600</v>
      </c>
      <c r="J51">
        <v>3.5</v>
      </c>
      <c r="K51">
        <v>351</v>
      </c>
      <c r="L51" t="s">
        <v>146</v>
      </c>
      <c r="M51" t="str">
        <f t="shared" si="6"/>
        <v>Local LTA_Urban Connectors_2</v>
      </c>
      <c r="N51" t="s">
        <v>841</v>
      </c>
    </row>
    <row r="52" spans="2:14">
      <c r="B52" s="31" t="str">
        <f t="shared" si="2"/>
        <v>Local LTA_Urban Connectors_1_40</v>
      </c>
      <c r="C52" s="32" t="s">
        <v>592</v>
      </c>
      <c r="D52" s="31">
        <f t="shared" si="3"/>
        <v>1</v>
      </c>
      <c r="E52" s="31">
        <f t="shared" si="4"/>
        <v>40</v>
      </c>
      <c r="F52">
        <v>38</v>
      </c>
      <c r="G52">
        <f t="shared" si="5"/>
        <v>10</v>
      </c>
      <c r="H52">
        <v>1600</v>
      </c>
      <c r="J52">
        <v>3.5</v>
      </c>
      <c r="K52">
        <v>341</v>
      </c>
      <c r="L52" t="s">
        <v>147</v>
      </c>
      <c r="M52" t="str">
        <f t="shared" si="6"/>
        <v>Local LTA_Urban Connectors_2</v>
      </c>
      <c r="N52" t="s">
        <v>841</v>
      </c>
    </row>
    <row r="53" spans="2:14">
      <c r="B53" s="31" t="str">
        <f t="shared" si="2"/>
        <v>Local LTA_Urban Connectors_2_100</v>
      </c>
      <c r="C53" s="32" t="s">
        <v>592</v>
      </c>
      <c r="D53" s="31">
        <f t="shared" si="3"/>
        <v>2</v>
      </c>
      <c r="E53" s="31">
        <f t="shared" si="4"/>
        <v>100</v>
      </c>
      <c r="F53">
        <v>102</v>
      </c>
      <c r="G53">
        <f t="shared" si="5"/>
        <v>10</v>
      </c>
      <c r="H53">
        <v>4200</v>
      </c>
      <c r="J53">
        <v>7</v>
      </c>
      <c r="K53">
        <v>312</v>
      </c>
      <c r="L53" t="s">
        <v>148</v>
      </c>
      <c r="M53" t="str">
        <f t="shared" si="6"/>
        <v>Local LTA_Urban Connectors_4</v>
      </c>
      <c r="N53" t="s">
        <v>841</v>
      </c>
    </row>
    <row r="54" spans="2:14">
      <c r="B54" s="31" t="str">
        <f t="shared" si="2"/>
        <v>Local LTA_Urban Connectors_2_80</v>
      </c>
      <c r="C54" s="32" t="s">
        <v>592</v>
      </c>
      <c r="D54" s="31">
        <f t="shared" si="3"/>
        <v>2</v>
      </c>
      <c r="E54" s="31">
        <f t="shared" si="4"/>
        <v>80</v>
      </c>
      <c r="F54">
        <v>82</v>
      </c>
      <c r="G54">
        <f t="shared" si="5"/>
        <v>10</v>
      </c>
      <c r="H54">
        <v>3800</v>
      </c>
      <c r="J54">
        <v>4.5</v>
      </c>
      <c r="K54">
        <v>382</v>
      </c>
      <c r="L54" t="s">
        <v>149</v>
      </c>
      <c r="M54" t="str">
        <f t="shared" si="6"/>
        <v>Local LTA_Urban Connectors_4</v>
      </c>
      <c r="N54" t="s">
        <v>841</v>
      </c>
    </row>
    <row r="55" spans="2:14">
      <c r="B55" s="31" t="str">
        <f t="shared" si="2"/>
        <v>Local LTA_Urban Connectors_2_70</v>
      </c>
      <c r="C55" s="32" t="s">
        <v>592</v>
      </c>
      <c r="D55" s="31">
        <f t="shared" si="3"/>
        <v>2</v>
      </c>
      <c r="E55" s="31">
        <f t="shared" si="4"/>
        <v>70</v>
      </c>
      <c r="F55">
        <v>72</v>
      </c>
      <c r="G55">
        <f t="shared" si="5"/>
        <v>10</v>
      </c>
      <c r="H55">
        <v>3400</v>
      </c>
      <c r="J55">
        <v>3.5</v>
      </c>
      <c r="K55">
        <v>372</v>
      </c>
      <c r="L55" t="s">
        <v>150</v>
      </c>
      <c r="M55" t="str">
        <f t="shared" si="6"/>
        <v>Local LTA_Urban Connectors_4</v>
      </c>
      <c r="N55" t="s">
        <v>841</v>
      </c>
    </row>
    <row r="56" spans="2:14">
      <c r="B56" s="31" t="str">
        <f t="shared" si="2"/>
        <v>Local LTA_Urban Connectors_2_60</v>
      </c>
      <c r="C56" s="32" t="s">
        <v>592</v>
      </c>
      <c r="D56" s="31">
        <f t="shared" si="3"/>
        <v>2</v>
      </c>
      <c r="E56" s="31">
        <f t="shared" si="4"/>
        <v>60</v>
      </c>
      <c r="F56">
        <v>62</v>
      </c>
      <c r="G56">
        <f t="shared" si="5"/>
        <v>10</v>
      </c>
      <c r="H56">
        <v>3400</v>
      </c>
      <c r="J56">
        <v>3.5</v>
      </c>
      <c r="K56">
        <v>362</v>
      </c>
      <c r="L56" t="s">
        <v>151</v>
      </c>
      <c r="M56" t="str">
        <f t="shared" si="6"/>
        <v>Local LTA_Urban Connectors_4</v>
      </c>
      <c r="N56" t="s">
        <v>841</v>
      </c>
    </row>
    <row r="57" spans="2:14">
      <c r="B57" s="31" t="str">
        <f t="shared" si="2"/>
        <v>Local LTA_Urban Connectors_2_50</v>
      </c>
      <c r="C57" s="32" t="s">
        <v>592</v>
      </c>
      <c r="D57" s="31">
        <f t="shared" si="3"/>
        <v>2</v>
      </c>
      <c r="E57" s="31">
        <f t="shared" si="4"/>
        <v>50</v>
      </c>
      <c r="F57">
        <v>52</v>
      </c>
      <c r="G57">
        <f t="shared" si="5"/>
        <v>10</v>
      </c>
      <c r="H57">
        <v>3400</v>
      </c>
      <c r="J57">
        <v>3.5</v>
      </c>
      <c r="K57">
        <v>352</v>
      </c>
      <c r="L57" t="s">
        <v>152</v>
      </c>
      <c r="M57" t="str">
        <f t="shared" si="6"/>
        <v>Local LTA_Urban Connectors_4</v>
      </c>
      <c r="N57" t="s">
        <v>841</v>
      </c>
    </row>
    <row r="58" spans="2:14">
      <c r="B58" s="31" t="str">
        <f t="shared" si="2"/>
        <v>Local LTA_Urban Connectors_2_40</v>
      </c>
      <c r="C58" s="32" t="s">
        <v>592</v>
      </c>
      <c r="D58" s="31">
        <f t="shared" si="3"/>
        <v>2</v>
      </c>
      <c r="E58" s="31">
        <f t="shared" si="4"/>
        <v>40</v>
      </c>
      <c r="F58">
        <v>42</v>
      </c>
      <c r="G58">
        <f t="shared" si="5"/>
        <v>10</v>
      </c>
      <c r="H58">
        <v>3400</v>
      </c>
      <c r="J58">
        <v>3.5</v>
      </c>
      <c r="K58">
        <v>342</v>
      </c>
      <c r="L58" t="s">
        <v>153</v>
      </c>
      <c r="M58" t="str">
        <f t="shared" si="6"/>
        <v>Local LTA_Urban Connectors_4</v>
      </c>
      <c r="N58" t="s">
        <v>841</v>
      </c>
    </row>
    <row r="59" spans="2:14">
      <c r="B59" s="31" t="str">
        <f t="shared" si="2"/>
        <v>Local LTA_Urban Connectors_3_100</v>
      </c>
      <c r="C59" s="32" t="s">
        <v>592</v>
      </c>
      <c r="D59" s="31">
        <f t="shared" si="3"/>
        <v>3</v>
      </c>
      <c r="E59" s="31">
        <f t="shared" si="4"/>
        <v>100</v>
      </c>
      <c r="F59">
        <v>102</v>
      </c>
      <c r="G59">
        <f t="shared" si="5"/>
        <v>10</v>
      </c>
      <c r="H59">
        <v>6300</v>
      </c>
      <c r="J59">
        <v>7</v>
      </c>
      <c r="K59">
        <v>313</v>
      </c>
      <c r="L59" t="s">
        <v>154</v>
      </c>
      <c r="M59" t="str">
        <f t="shared" si="6"/>
        <v>Local LTA_Urban Connectors_6</v>
      </c>
      <c r="N59" t="s">
        <v>841</v>
      </c>
    </row>
    <row r="60" spans="2:14">
      <c r="B60" s="31" t="str">
        <f t="shared" si="2"/>
        <v>Local LTA_Urban Connectors_3_80</v>
      </c>
      <c r="C60" s="32" t="s">
        <v>592</v>
      </c>
      <c r="D60" s="31">
        <f t="shared" si="3"/>
        <v>3</v>
      </c>
      <c r="E60" s="31">
        <f t="shared" si="4"/>
        <v>80</v>
      </c>
      <c r="F60">
        <v>82</v>
      </c>
      <c r="G60">
        <f t="shared" si="5"/>
        <v>10</v>
      </c>
      <c r="H60">
        <v>5700</v>
      </c>
      <c r="J60">
        <v>4.5</v>
      </c>
      <c r="K60">
        <v>383</v>
      </c>
      <c r="L60" t="s">
        <v>155</v>
      </c>
      <c r="M60" t="str">
        <f t="shared" si="6"/>
        <v>Local LTA_Urban Connectors_6</v>
      </c>
      <c r="N60" t="s">
        <v>841</v>
      </c>
    </row>
    <row r="61" spans="2:14">
      <c r="B61" s="31" t="str">
        <f t="shared" si="2"/>
        <v>Local LTA_Urban Connectors_3_70</v>
      </c>
      <c r="C61" s="32" t="s">
        <v>592</v>
      </c>
      <c r="D61" s="31">
        <f t="shared" si="3"/>
        <v>3</v>
      </c>
      <c r="E61" s="31">
        <f t="shared" si="4"/>
        <v>70</v>
      </c>
      <c r="F61">
        <v>72</v>
      </c>
      <c r="G61">
        <f t="shared" si="5"/>
        <v>10</v>
      </c>
      <c r="H61">
        <v>5100</v>
      </c>
      <c r="J61">
        <v>3.5</v>
      </c>
      <c r="K61">
        <v>373</v>
      </c>
      <c r="L61" t="s">
        <v>156</v>
      </c>
      <c r="M61" t="str">
        <f t="shared" si="6"/>
        <v>Local LTA_Urban Connectors_6</v>
      </c>
      <c r="N61" t="s">
        <v>841</v>
      </c>
    </row>
    <row r="62" spans="2:14">
      <c r="B62" s="31" t="str">
        <f t="shared" si="2"/>
        <v>Local LTA_Urban Connectors_3_60</v>
      </c>
      <c r="C62" s="32" t="s">
        <v>592</v>
      </c>
      <c r="D62" s="31">
        <f t="shared" si="3"/>
        <v>3</v>
      </c>
      <c r="E62" s="31">
        <f t="shared" si="4"/>
        <v>60</v>
      </c>
      <c r="F62">
        <v>62</v>
      </c>
      <c r="G62">
        <f t="shared" si="5"/>
        <v>10</v>
      </c>
      <c r="H62">
        <v>5100</v>
      </c>
      <c r="J62">
        <v>3.5</v>
      </c>
      <c r="K62">
        <v>363</v>
      </c>
      <c r="L62" t="s">
        <v>157</v>
      </c>
      <c r="M62" t="str">
        <f t="shared" si="6"/>
        <v>Local LTA_Urban Connectors_6</v>
      </c>
      <c r="N62" t="s">
        <v>841</v>
      </c>
    </row>
    <row r="63" spans="2:14">
      <c r="B63" s="31" t="str">
        <f t="shared" si="2"/>
        <v>Local LTA_Urban Connectors_3_50</v>
      </c>
      <c r="C63" s="32" t="s">
        <v>592</v>
      </c>
      <c r="D63" s="31">
        <f t="shared" si="3"/>
        <v>3</v>
      </c>
      <c r="E63" s="31">
        <f t="shared" si="4"/>
        <v>50</v>
      </c>
      <c r="F63">
        <v>52</v>
      </c>
      <c r="G63">
        <f t="shared" si="5"/>
        <v>10</v>
      </c>
      <c r="H63">
        <v>5100</v>
      </c>
      <c r="J63">
        <v>3.5</v>
      </c>
      <c r="K63">
        <v>353</v>
      </c>
      <c r="L63" t="s">
        <v>158</v>
      </c>
      <c r="M63" t="str">
        <f t="shared" si="6"/>
        <v>Local LTA_Urban Connectors_6</v>
      </c>
      <c r="N63" t="s">
        <v>841</v>
      </c>
    </row>
    <row r="64" spans="2:14">
      <c r="B64" s="31" t="str">
        <f t="shared" si="2"/>
        <v>Local LTA_Urban Connectors_4_100</v>
      </c>
      <c r="C64" s="32" t="s">
        <v>592</v>
      </c>
      <c r="D64" s="31">
        <f t="shared" si="3"/>
        <v>4</v>
      </c>
      <c r="E64" s="31">
        <f t="shared" si="4"/>
        <v>100</v>
      </c>
      <c r="F64">
        <v>102</v>
      </c>
      <c r="G64">
        <f t="shared" si="5"/>
        <v>10</v>
      </c>
      <c r="H64">
        <v>8400</v>
      </c>
      <c r="J64">
        <v>7</v>
      </c>
      <c r="K64">
        <v>314</v>
      </c>
      <c r="L64" t="s">
        <v>159</v>
      </c>
      <c r="M64" t="str">
        <f t="shared" si="6"/>
        <v>Local LTA_Urban Connectors_8</v>
      </c>
      <c r="N64" t="s">
        <v>841</v>
      </c>
    </row>
    <row r="65" spans="2:14">
      <c r="B65" s="31" t="str">
        <f t="shared" si="2"/>
        <v>Local LTA_Urban Connectors_4_80</v>
      </c>
      <c r="C65" s="32" t="s">
        <v>592</v>
      </c>
      <c r="D65" s="31">
        <f t="shared" si="3"/>
        <v>4</v>
      </c>
      <c r="E65" s="31">
        <f t="shared" si="4"/>
        <v>80</v>
      </c>
      <c r="F65">
        <v>82</v>
      </c>
      <c r="G65">
        <f t="shared" si="5"/>
        <v>10</v>
      </c>
      <c r="H65">
        <v>7600</v>
      </c>
      <c r="J65">
        <v>4.5</v>
      </c>
      <c r="K65">
        <v>384</v>
      </c>
      <c r="L65" t="s">
        <v>160</v>
      </c>
      <c r="M65" t="str">
        <f t="shared" si="6"/>
        <v>Local LTA_Urban Connectors_8</v>
      </c>
      <c r="N65" t="s">
        <v>841</v>
      </c>
    </row>
    <row r="66" spans="2:14">
      <c r="B66" s="31" t="str">
        <f t="shared" si="2"/>
        <v>Local LTA_Urban Connectors_4_70</v>
      </c>
      <c r="C66" s="32" t="s">
        <v>592</v>
      </c>
      <c r="D66" s="31">
        <f t="shared" si="3"/>
        <v>4</v>
      </c>
      <c r="E66" s="31">
        <f t="shared" si="4"/>
        <v>70</v>
      </c>
      <c r="F66">
        <v>72</v>
      </c>
      <c r="G66">
        <f t="shared" si="5"/>
        <v>10</v>
      </c>
      <c r="H66">
        <v>6800</v>
      </c>
      <c r="J66">
        <v>3.5</v>
      </c>
      <c r="K66">
        <v>374</v>
      </c>
      <c r="L66" t="s">
        <v>161</v>
      </c>
      <c r="M66" t="str">
        <f t="shared" si="6"/>
        <v>Local LTA_Urban Connectors_8</v>
      </c>
      <c r="N66" t="s">
        <v>841</v>
      </c>
    </row>
    <row r="67" spans="2:14">
      <c r="B67" s="31" t="str">
        <f t="shared" si="2"/>
        <v>Local LTA_Urban Connectors_4_60</v>
      </c>
      <c r="C67" s="32" t="s">
        <v>592</v>
      </c>
      <c r="D67" s="31">
        <f t="shared" si="3"/>
        <v>4</v>
      </c>
      <c r="E67" s="31">
        <f t="shared" si="4"/>
        <v>60</v>
      </c>
      <c r="F67">
        <v>62</v>
      </c>
      <c r="G67">
        <f t="shared" si="5"/>
        <v>10</v>
      </c>
      <c r="H67">
        <v>6800</v>
      </c>
      <c r="J67">
        <v>3.5</v>
      </c>
      <c r="K67">
        <v>364</v>
      </c>
      <c r="L67" t="s">
        <v>162</v>
      </c>
      <c r="M67" t="str">
        <f t="shared" si="6"/>
        <v>Local LTA_Urban Connectors_8</v>
      </c>
      <c r="N67" t="s">
        <v>841</v>
      </c>
    </row>
    <row r="68" spans="2:14">
      <c r="B68" s="31" t="str">
        <f t="shared" si="2"/>
        <v>Local LTA_Urban Connectors_4_50</v>
      </c>
      <c r="C68" s="32" t="s">
        <v>592</v>
      </c>
      <c r="D68" s="31">
        <f t="shared" si="3"/>
        <v>4</v>
      </c>
      <c r="E68" s="31">
        <f t="shared" si="4"/>
        <v>50</v>
      </c>
      <c r="F68">
        <v>52</v>
      </c>
      <c r="G68">
        <f t="shared" si="5"/>
        <v>10</v>
      </c>
      <c r="H68">
        <v>6800</v>
      </c>
      <c r="J68">
        <v>3.5</v>
      </c>
      <c r="K68">
        <v>354</v>
      </c>
      <c r="L68" t="s">
        <v>163</v>
      </c>
      <c r="M68" t="str">
        <f t="shared" si="6"/>
        <v>Local LTA_Urban Connectors_8</v>
      </c>
      <c r="N68" t="s">
        <v>841</v>
      </c>
    </row>
    <row r="69" spans="2:14">
      <c r="B69" s="31" t="str">
        <f t="shared" si="2"/>
        <v>NZTA_Transit Corridors_1_100</v>
      </c>
      <c r="C69" s="32" t="s">
        <v>1110</v>
      </c>
      <c r="D69" s="31">
        <f t="shared" si="3"/>
        <v>1</v>
      </c>
      <c r="E69" s="31">
        <f t="shared" si="4"/>
        <v>100</v>
      </c>
      <c r="F69">
        <v>98</v>
      </c>
      <c r="G69">
        <f t="shared" si="5"/>
        <v>10</v>
      </c>
      <c r="H69">
        <v>1400</v>
      </c>
      <c r="J69">
        <v>4</v>
      </c>
      <c r="K69">
        <v>411</v>
      </c>
      <c r="L69" t="s">
        <v>164</v>
      </c>
      <c r="M69" t="str">
        <f t="shared" si="6"/>
        <v>NZTA_Transit Corridors_2</v>
      </c>
      <c r="N69" t="s">
        <v>841</v>
      </c>
    </row>
    <row r="70" spans="2:14">
      <c r="B70" s="31" t="str">
        <f t="shared" si="2"/>
        <v>NZTA_Transit Corridors_1_90</v>
      </c>
      <c r="C70" s="32" t="s">
        <v>1110</v>
      </c>
      <c r="D70" s="31">
        <f t="shared" si="3"/>
        <v>1</v>
      </c>
      <c r="E70" s="31">
        <f t="shared" si="4"/>
        <v>90</v>
      </c>
      <c r="F70">
        <v>88</v>
      </c>
      <c r="G70">
        <f t="shared" si="5"/>
        <v>10</v>
      </c>
      <c r="H70">
        <v>1400</v>
      </c>
      <c r="J70">
        <v>4</v>
      </c>
      <c r="K70">
        <v>491</v>
      </c>
      <c r="L70" t="s">
        <v>165</v>
      </c>
      <c r="M70" t="str">
        <f t="shared" si="6"/>
        <v>NZTA_Transit Corridors_2</v>
      </c>
      <c r="N70" t="s">
        <v>841</v>
      </c>
    </row>
    <row r="71" spans="2:14">
      <c r="B71" s="31" t="str">
        <f t="shared" si="2"/>
        <v>NZTA_Transit Corridors_1_80</v>
      </c>
      <c r="C71" s="32" t="s">
        <v>1110</v>
      </c>
      <c r="D71" s="31">
        <f t="shared" si="3"/>
        <v>1</v>
      </c>
      <c r="E71" s="31">
        <f t="shared" si="4"/>
        <v>80</v>
      </c>
      <c r="F71">
        <v>78</v>
      </c>
      <c r="G71">
        <f t="shared" si="5"/>
        <v>10</v>
      </c>
      <c r="H71">
        <v>1600</v>
      </c>
      <c r="J71">
        <v>4</v>
      </c>
      <c r="K71">
        <v>481</v>
      </c>
      <c r="L71" t="s">
        <v>166</v>
      </c>
      <c r="M71" t="str">
        <f t="shared" si="6"/>
        <v>NZTA_Transit Corridors_2</v>
      </c>
      <c r="N71" t="s">
        <v>841</v>
      </c>
    </row>
    <row r="72" spans="2:14">
      <c r="B72" s="31" t="str">
        <f t="shared" si="2"/>
        <v>NZTA_Transit Corridors_1_70</v>
      </c>
      <c r="C72" s="32" t="s">
        <v>1110</v>
      </c>
      <c r="D72" s="31">
        <f t="shared" si="3"/>
        <v>1</v>
      </c>
      <c r="E72" s="31">
        <f t="shared" si="4"/>
        <v>70</v>
      </c>
      <c r="F72">
        <v>68</v>
      </c>
      <c r="G72">
        <f t="shared" si="5"/>
        <v>10</v>
      </c>
      <c r="H72">
        <v>1600</v>
      </c>
      <c r="J72">
        <v>4</v>
      </c>
      <c r="K72">
        <v>471</v>
      </c>
      <c r="L72" t="s">
        <v>167</v>
      </c>
      <c r="M72" t="str">
        <f t="shared" si="6"/>
        <v>NZTA_Transit Corridors_2</v>
      </c>
      <c r="N72" t="s">
        <v>841</v>
      </c>
    </row>
    <row r="73" spans="2:14">
      <c r="B73" s="31" t="str">
        <f t="shared" si="2"/>
        <v>NZTA_Transit Corridors_1_60</v>
      </c>
      <c r="C73" s="32" t="s">
        <v>1110</v>
      </c>
      <c r="D73" s="31">
        <f t="shared" si="3"/>
        <v>1</v>
      </c>
      <c r="E73" s="31">
        <f t="shared" si="4"/>
        <v>60</v>
      </c>
      <c r="F73">
        <v>58</v>
      </c>
      <c r="G73">
        <f t="shared" si="5"/>
        <v>10</v>
      </c>
      <c r="H73">
        <v>1800</v>
      </c>
      <c r="J73">
        <v>4.5</v>
      </c>
      <c r="K73">
        <v>461</v>
      </c>
      <c r="L73" t="s">
        <v>168</v>
      </c>
      <c r="M73" t="str">
        <f t="shared" si="6"/>
        <v>NZTA_Transit Corridors_2</v>
      </c>
      <c r="N73" t="s">
        <v>841</v>
      </c>
    </row>
    <row r="74" spans="2:14">
      <c r="B74" s="31" t="str">
        <f t="shared" si="2"/>
        <v>NZTA_Transit Corridors_1_50</v>
      </c>
      <c r="C74" s="32" t="s">
        <v>1110</v>
      </c>
      <c r="D74" s="31">
        <f t="shared" si="3"/>
        <v>1</v>
      </c>
      <c r="E74" s="31">
        <f t="shared" si="4"/>
        <v>50</v>
      </c>
      <c r="F74">
        <v>48</v>
      </c>
      <c r="G74">
        <f t="shared" si="5"/>
        <v>10</v>
      </c>
      <c r="H74">
        <v>1800</v>
      </c>
      <c r="J74">
        <v>4.5</v>
      </c>
      <c r="K74">
        <v>451</v>
      </c>
      <c r="L74" t="s">
        <v>169</v>
      </c>
      <c r="M74" t="str">
        <f t="shared" si="6"/>
        <v>NZTA_Transit Corridors_2</v>
      </c>
      <c r="N74" t="s">
        <v>841</v>
      </c>
    </row>
    <row r="75" spans="2:14">
      <c r="B75" s="31" t="str">
        <f t="shared" si="2"/>
        <v>NZTA_Transit Corridors_1_40</v>
      </c>
      <c r="C75" s="32" t="s">
        <v>1110</v>
      </c>
      <c r="D75" s="31">
        <f t="shared" si="3"/>
        <v>1</v>
      </c>
      <c r="E75" s="31">
        <f t="shared" si="4"/>
        <v>40</v>
      </c>
      <c r="F75">
        <v>38</v>
      </c>
      <c r="G75">
        <f t="shared" si="5"/>
        <v>10</v>
      </c>
      <c r="H75">
        <v>1200</v>
      </c>
      <c r="J75">
        <v>2</v>
      </c>
      <c r="K75">
        <v>441</v>
      </c>
      <c r="L75" t="s">
        <v>170</v>
      </c>
      <c r="M75" t="str">
        <f t="shared" si="6"/>
        <v>NZTA_Transit Corridors_2</v>
      </c>
      <c r="N75" t="s">
        <v>841</v>
      </c>
    </row>
    <row r="76" spans="2:14">
      <c r="B76" s="31" t="str">
        <f t="shared" si="2"/>
        <v>NZTA_Transit Corridors_1_30</v>
      </c>
      <c r="C76" s="32" t="s">
        <v>1110</v>
      </c>
      <c r="D76" s="31">
        <f t="shared" si="3"/>
        <v>1</v>
      </c>
      <c r="E76" s="31">
        <f t="shared" si="4"/>
        <v>30</v>
      </c>
      <c r="F76">
        <v>28</v>
      </c>
      <c r="G76">
        <f t="shared" si="5"/>
        <v>10</v>
      </c>
      <c r="H76">
        <v>800</v>
      </c>
      <c r="J76">
        <v>2</v>
      </c>
      <c r="K76">
        <v>431</v>
      </c>
      <c r="L76" t="s">
        <v>171</v>
      </c>
      <c r="M76" t="str">
        <f t="shared" si="6"/>
        <v>NZTA_Transit Corridors_2</v>
      </c>
      <c r="N76" t="s">
        <v>841</v>
      </c>
    </row>
    <row r="77" spans="2:14">
      <c r="B77" s="31" t="str">
        <f t="shared" si="2"/>
        <v>NZTA_Transit Corridors_2_100</v>
      </c>
      <c r="C77" s="32" t="s">
        <v>1110</v>
      </c>
      <c r="D77" s="31">
        <f t="shared" si="3"/>
        <v>2</v>
      </c>
      <c r="E77" s="31">
        <f t="shared" si="4"/>
        <v>100</v>
      </c>
      <c r="F77">
        <v>102</v>
      </c>
      <c r="G77">
        <f t="shared" si="5"/>
        <v>10</v>
      </c>
      <c r="H77">
        <v>4200</v>
      </c>
      <c r="J77">
        <v>7</v>
      </c>
      <c r="K77">
        <v>412</v>
      </c>
      <c r="L77" t="s">
        <v>172</v>
      </c>
      <c r="M77" t="str">
        <f t="shared" si="6"/>
        <v>NZTA_Transit Corridors_4</v>
      </c>
      <c r="N77" t="s">
        <v>841</v>
      </c>
    </row>
    <row r="78" spans="2:14">
      <c r="B78" s="31" t="str">
        <f t="shared" si="2"/>
        <v>NZTA_Transit Corridors_2_80</v>
      </c>
      <c r="C78" s="32" t="s">
        <v>1110</v>
      </c>
      <c r="D78" s="31">
        <f t="shared" si="3"/>
        <v>2</v>
      </c>
      <c r="E78" s="31">
        <f t="shared" si="4"/>
        <v>80</v>
      </c>
      <c r="F78">
        <v>82</v>
      </c>
      <c r="G78">
        <f t="shared" si="5"/>
        <v>10</v>
      </c>
      <c r="H78">
        <v>3800</v>
      </c>
      <c r="J78">
        <v>4.5</v>
      </c>
      <c r="K78">
        <v>482</v>
      </c>
      <c r="L78" t="s">
        <v>173</v>
      </c>
      <c r="M78" t="str">
        <f t="shared" si="6"/>
        <v>NZTA_Transit Corridors_4</v>
      </c>
      <c r="N78" t="s">
        <v>841</v>
      </c>
    </row>
    <row r="79" spans="2:14">
      <c r="B79" s="31" t="str">
        <f t="shared" si="2"/>
        <v>NZTA_Transit Corridors_2_70</v>
      </c>
      <c r="C79" s="32" t="s">
        <v>1110</v>
      </c>
      <c r="D79" s="31">
        <f t="shared" si="3"/>
        <v>2</v>
      </c>
      <c r="E79" s="31">
        <f t="shared" si="4"/>
        <v>70</v>
      </c>
      <c r="F79">
        <v>72</v>
      </c>
      <c r="G79">
        <f t="shared" si="5"/>
        <v>10</v>
      </c>
      <c r="H79">
        <v>3800</v>
      </c>
      <c r="J79">
        <v>4.5</v>
      </c>
      <c r="K79">
        <v>472</v>
      </c>
      <c r="L79" t="s">
        <v>174</v>
      </c>
      <c r="M79" t="str">
        <f t="shared" si="6"/>
        <v>NZTA_Transit Corridors_4</v>
      </c>
      <c r="N79" t="s">
        <v>841</v>
      </c>
    </row>
    <row r="80" spans="2:14">
      <c r="B80" s="31" t="str">
        <f t="shared" si="2"/>
        <v>NZTA_Transit Corridors_2_60</v>
      </c>
      <c r="C80" s="32" t="s">
        <v>1110</v>
      </c>
      <c r="D80" s="31">
        <f t="shared" si="3"/>
        <v>2</v>
      </c>
      <c r="E80" s="31">
        <f t="shared" si="4"/>
        <v>60</v>
      </c>
      <c r="F80">
        <v>62</v>
      </c>
      <c r="G80">
        <f t="shared" si="5"/>
        <v>10</v>
      </c>
      <c r="H80">
        <v>3800</v>
      </c>
      <c r="J80">
        <v>4.5</v>
      </c>
      <c r="K80">
        <v>462</v>
      </c>
      <c r="L80" t="s">
        <v>175</v>
      </c>
      <c r="M80" t="str">
        <f t="shared" si="6"/>
        <v>NZTA_Transit Corridors_4</v>
      </c>
      <c r="N80" t="s">
        <v>841</v>
      </c>
    </row>
    <row r="81" spans="2:14">
      <c r="B81" s="31" t="str">
        <f t="shared" si="2"/>
        <v>NZTA_Transit Corridors_2_50</v>
      </c>
      <c r="C81" s="32" t="s">
        <v>1110</v>
      </c>
      <c r="D81" s="31">
        <f t="shared" si="3"/>
        <v>2</v>
      </c>
      <c r="E81" s="31">
        <f t="shared" si="4"/>
        <v>50</v>
      </c>
      <c r="F81">
        <v>52</v>
      </c>
      <c r="G81">
        <f t="shared" ref="G81:G153" si="26">G$8</f>
        <v>10</v>
      </c>
      <c r="H81">
        <v>3800</v>
      </c>
      <c r="J81">
        <v>4.5</v>
      </c>
      <c r="K81">
        <v>452</v>
      </c>
      <c r="L81" t="s">
        <v>176</v>
      </c>
      <c r="M81" t="str">
        <f t="shared" ref="M81:M153" si="27">C81&amp;"_"&amp;D81*2</f>
        <v>NZTA_Transit Corridors_4</v>
      </c>
      <c r="N81" t="s">
        <v>841</v>
      </c>
    </row>
    <row r="82" spans="2:14">
      <c r="B82" s="31" t="str">
        <f t="shared" si="2"/>
        <v>NZTA_Transit Corridors_2_40</v>
      </c>
      <c r="C82" s="32" t="s">
        <v>1110</v>
      </c>
      <c r="D82" s="31">
        <f t="shared" si="3"/>
        <v>2</v>
      </c>
      <c r="E82" s="31">
        <f t="shared" si="4"/>
        <v>40</v>
      </c>
      <c r="F82">
        <v>42</v>
      </c>
      <c r="G82">
        <f t="shared" si="26"/>
        <v>10</v>
      </c>
      <c r="H82">
        <v>2400</v>
      </c>
      <c r="J82">
        <v>2</v>
      </c>
      <c r="K82">
        <v>442</v>
      </c>
      <c r="L82" t="s">
        <v>177</v>
      </c>
      <c r="M82" t="str">
        <f t="shared" si="27"/>
        <v>NZTA_Transit Corridors_4</v>
      </c>
      <c r="N82" t="s">
        <v>841</v>
      </c>
    </row>
    <row r="83" spans="2:14">
      <c r="B83" s="31" t="str">
        <f t="shared" si="2"/>
        <v>NZTA_Transit Corridors_2_30</v>
      </c>
      <c r="C83" s="32" t="s">
        <v>1110</v>
      </c>
      <c r="D83" s="31">
        <f t="shared" si="3"/>
        <v>2</v>
      </c>
      <c r="E83" s="31">
        <f t="shared" si="4"/>
        <v>30</v>
      </c>
      <c r="F83">
        <v>32</v>
      </c>
      <c r="G83">
        <f t="shared" si="26"/>
        <v>10</v>
      </c>
      <c r="H83">
        <v>1600</v>
      </c>
      <c r="J83">
        <v>2</v>
      </c>
      <c r="K83">
        <v>432</v>
      </c>
      <c r="L83" t="s">
        <v>178</v>
      </c>
      <c r="M83" t="str">
        <f t="shared" si="27"/>
        <v>NZTA_Transit Corridors_4</v>
      </c>
      <c r="N83" t="s">
        <v>841</v>
      </c>
    </row>
    <row r="84" spans="2:14">
      <c r="B84" s="31" t="str">
        <f t="shared" si="2"/>
        <v>NZTA_Transit Corridors_3_100</v>
      </c>
      <c r="C84" s="32" t="s">
        <v>1110</v>
      </c>
      <c r="D84" s="31">
        <f t="shared" si="3"/>
        <v>3</v>
      </c>
      <c r="E84" s="31">
        <f t="shared" si="4"/>
        <v>100</v>
      </c>
      <c r="F84">
        <v>102</v>
      </c>
      <c r="G84">
        <f t="shared" si="26"/>
        <v>10</v>
      </c>
      <c r="H84">
        <v>6300</v>
      </c>
      <c r="J84">
        <v>7</v>
      </c>
      <c r="K84">
        <v>413</v>
      </c>
      <c r="L84" t="s">
        <v>179</v>
      </c>
      <c r="M84" t="str">
        <f t="shared" si="27"/>
        <v>NZTA_Transit Corridors_6</v>
      </c>
      <c r="N84" t="s">
        <v>841</v>
      </c>
    </row>
    <row r="85" spans="2:14">
      <c r="B85" s="31" t="str">
        <f t="shared" si="2"/>
        <v>NZTA_Transit Corridors_3_80</v>
      </c>
      <c r="C85" s="32" t="s">
        <v>1110</v>
      </c>
      <c r="D85" s="31">
        <f t="shared" si="3"/>
        <v>3</v>
      </c>
      <c r="E85" s="31">
        <f t="shared" si="4"/>
        <v>80</v>
      </c>
      <c r="F85">
        <v>82</v>
      </c>
      <c r="G85">
        <f t="shared" si="26"/>
        <v>10</v>
      </c>
      <c r="H85">
        <v>5700</v>
      </c>
      <c r="J85">
        <v>4.5</v>
      </c>
      <c r="K85">
        <v>483</v>
      </c>
      <c r="L85" t="s">
        <v>180</v>
      </c>
      <c r="M85" t="str">
        <f t="shared" si="27"/>
        <v>NZTA_Transit Corridors_6</v>
      </c>
      <c r="N85" t="s">
        <v>841</v>
      </c>
    </row>
    <row r="86" spans="2:14">
      <c r="B86" s="31" t="str">
        <f t="shared" si="2"/>
        <v>NZTA_Transit Corridors_3_70</v>
      </c>
      <c r="C86" s="32" t="s">
        <v>1110</v>
      </c>
      <c r="D86" s="31">
        <f t="shared" si="3"/>
        <v>3</v>
      </c>
      <c r="E86" s="31">
        <f t="shared" si="4"/>
        <v>70</v>
      </c>
      <c r="F86">
        <v>72</v>
      </c>
      <c r="G86">
        <f t="shared" si="26"/>
        <v>10</v>
      </c>
      <c r="H86">
        <v>5700</v>
      </c>
      <c r="J86">
        <v>4.5</v>
      </c>
      <c r="K86">
        <v>473</v>
      </c>
      <c r="L86" t="s">
        <v>181</v>
      </c>
      <c r="M86" t="str">
        <f t="shared" si="27"/>
        <v>NZTA_Transit Corridors_6</v>
      </c>
      <c r="N86" t="s">
        <v>841</v>
      </c>
    </row>
    <row r="87" spans="2:14">
      <c r="B87" s="31" t="str">
        <f t="shared" si="2"/>
        <v>NZTA_Transit Corridors_3_60</v>
      </c>
      <c r="C87" s="32" t="s">
        <v>1110</v>
      </c>
      <c r="D87" s="31">
        <f t="shared" si="3"/>
        <v>3</v>
      </c>
      <c r="E87" s="31">
        <f t="shared" si="4"/>
        <v>60</v>
      </c>
      <c r="F87">
        <v>62</v>
      </c>
      <c r="G87">
        <f t="shared" si="26"/>
        <v>10</v>
      </c>
      <c r="H87">
        <v>5700</v>
      </c>
      <c r="J87">
        <v>4.5</v>
      </c>
      <c r="K87">
        <v>463</v>
      </c>
      <c r="L87" t="s">
        <v>182</v>
      </c>
      <c r="M87" t="str">
        <f t="shared" si="27"/>
        <v>NZTA_Transit Corridors_6</v>
      </c>
      <c r="N87" t="s">
        <v>841</v>
      </c>
    </row>
    <row r="88" spans="2:14">
      <c r="B88" s="31" t="str">
        <f t="shared" si="2"/>
        <v>NZTA_Transit Corridors_3_50</v>
      </c>
      <c r="C88" s="32" t="s">
        <v>1110</v>
      </c>
      <c r="D88" s="31">
        <f t="shared" si="3"/>
        <v>3</v>
      </c>
      <c r="E88" s="31">
        <f t="shared" si="4"/>
        <v>50</v>
      </c>
      <c r="F88">
        <v>52</v>
      </c>
      <c r="G88">
        <f t="shared" si="26"/>
        <v>10</v>
      </c>
      <c r="H88">
        <v>5700</v>
      </c>
      <c r="J88">
        <v>4.5</v>
      </c>
      <c r="K88">
        <v>453</v>
      </c>
      <c r="L88" t="s">
        <v>183</v>
      </c>
      <c r="M88" t="str">
        <f t="shared" si="27"/>
        <v>NZTA_Transit Corridors_6</v>
      </c>
      <c r="N88" t="s">
        <v>841</v>
      </c>
    </row>
    <row r="89" spans="2:14">
      <c r="B89" s="31" t="str">
        <f t="shared" ref="B89:B248" si="28">C89&amp;"_"&amp;D89&amp;"_"&amp;E89</f>
        <v>NZTA_Transit Corridors_4_100</v>
      </c>
      <c r="C89" s="32" t="s">
        <v>1110</v>
      </c>
      <c r="D89" s="31">
        <f t="shared" ref="D89:D120" si="29">VALUE(RIGHT(K89,1))</f>
        <v>4</v>
      </c>
      <c r="E89" s="31">
        <f t="shared" ref="E89:E248" si="30">MROUND(F89,10)</f>
        <v>100</v>
      </c>
      <c r="F89">
        <v>102</v>
      </c>
      <c r="G89">
        <f t="shared" si="26"/>
        <v>10</v>
      </c>
      <c r="H89">
        <v>8400</v>
      </c>
      <c r="J89">
        <v>7</v>
      </c>
      <c r="K89">
        <v>414</v>
      </c>
      <c r="L89" t="s">
        <v>184</v>
      </c>
      <c r="M89" t="str">
        <f t="shared" si="27"/>
        <v>NZTA_Transit Corridors_8</v>
      </c>
      <c r="N89" t="s">
        <v>841</v>
      </c>
    </row>
    <row r="90" spans="2:14">
      <c r="B90" s="31" t="str">
        <f t="shared" si="28"/>
        <v>NZTA_Transit Corridors_4_80</v>
      </c>
      <c r="C90" s="32" t="s">
        <v>1110</v>
      </c>
      <c r="D90" s="31">
        <f t="shared" si="29"/>
        <v>4</v>
      </c>
      <c r="E90" s="31">
        <f t="shared" si="30"/>
        <v>80</v>
      </c>
      <c r="F90">
        <v>82</v>
      </c>
      <c r="G90">
        <f t="shared" si="26"/>
        <v>10</v>
      </c>
      <c r="H90">
        <v>7600</v>
      </c>
      <c r="J90">
        <v>4.5</v>
      </c>
      <c r="K90">
        <v>484</v>
      </c>
      <c r="L90" t="s">
        <v>185</v>
      </c>
      <c r="M90" t="str">
        <f t="shared" si="27"/>
        <v>NZTA_Transit Corridors_8</v>
      </c>
      <c r="N90" t="s">
        <v>841</v>
      </c>
    </row>
    <row r="91" spans="2:14">
      <c r="B91" s="31" t="str">
        <f t="shared" si="28"/>
        <v>NZTA_Transit Corridors_4_70</v>
      </c>
      <c r="C91" s="32" t="s">
        <v>1110</v>
      </c>
      <c r="D91" s="31">
        <f t="shared" si="29"/>
        <v>4</v>
      </c>
      <c r="E91" s="31">
        <f t="shared" si="30"/>
        <v>70</v>
      </c>
      <c r="F91">
        <v>72</v>
      </c>
      <c r="G91">
        <f t="shared" si="26"/>
        <v>10</v>
      </c>
      <c r="H91">
        <v>7600</v>
      </c>
      <c r="J91">
        <v>4.5</v>
      </c>
      <c r="K91">
        <v>474</v>
      </c>
      <c r="L91" t="s">
        <v>186</v>
      </c>
      <c r="M91" t="str">
        <f t="shared" si="27"/>
        <v>NZTA_Transit Corridors_8</v>
      </c>
      <c r="N91" t="s">
        <v>841</v>
      </c>
    </row>
    <row r="92" spans="2:14">
      <c r="B92" s="31" t="str">
        <f t="shared" si="28"/>
        <v>NZTA_Transit Corridors_4_60</v>
      </c>
      <c r="C92" s="32" t="s">
        <v>1110</v>
      </c>
      <c r="D92" s="31">
        <f t="shared" si="29"/>
        <v>4</v>
      </c>
      <c r="E92" s="31">
        <f t="shared" si="30"/>
        <v>60</v>
      </c>
      <c r="F92">
        <v>62</v>
      </c>
      <c r="G92">
        <f t="shared" si="26"/>
        <v>10</v>
      </c>
      <c r="H92">
        <v>7600</v>
      </c>
      <c r="J92">
        <v>4.5</v>
      </c>
      <c r="K92">
        <v>464</v>
      </c>
      <c r="L92" t="s">
        <v>187</v>
      </c>
      <c r="M92" t="str">
        <f t="shared" si="27"/>
        <v>NZTA_Transit Corridors_8</v>
      </c>
      <c r="N92" t="s">
        <v>841</v>
      </c>
    </row>
    <row r="93" spans="2:14">
      <c r="B93" s="31" t="str">
        <f t="shared" si="28"/>
        <v>NZTA_Transit Corridors_4_50</v>
      </c>
      <c r="C93" s="32" t="s">
        <v>1110</v>
      </c>
      <c r="D93" s="31">
        <f t="shared" si="29"/>
        <v>4</v>
      </c>
      <c r="E93" s="31">
        <f t="shared" si="30"/>
        <v>50</v>
      </c>
      <c r="F93">
        <v>52</v>
      </c>
      <c r="G93">
        <f t="shared" si="26"/>
        <v>10</v>
      </c>
      <c r="H93">
        <v>7600</v>
      </c>
      <c r="J93">
        <v>4.5</v>
      </c>
      <c r="K93">
        <v>454</v>
      </c>
      <c r="L93" t="s">
        <v>188</v>
      </c>
      <c r="M93" t="str">
        <f t="shared" si="27"/>
        <v>NZTA_Transit Corridors_8</v>
      </c>
      <c r="N93" t="s">
        <v>841</v>
      </c>
    </row>
    <row r="94" spans="2:14">
      <c r="B94" s="31" t="str">
        <f t="shared" si="28"/>
        <v>Minor  Arterial_1_100</v>
      </c>
      <c r="C94" s="32" t="s">
        <v>254</v>
      </c>
      <c r="D94" s="31">
        <f t="shared" si="29"/>
        <v>1</v>
      </c>
      <c r="E94" s="31">
        <f t="shared" si="30"/>
        <v>100</v>
      </c>
      <c r="F94">
        <v>98</v>
      </c>
      <c r="G94">
        <f t="shared" si="26"/>
        <v>10</v>
      </c>
      <c r="H94">
        <v>1400</v>
      </c>
      <c r="J94">
        <v>4</v>
      </c>
      <c r="K94">
        <v>511</v>
      </c>
      <c r="L94" t="s">
        <v>189</v>
      </c>
      <c r="M94" t="str">
        <f t="shared" si="27"/>
        <v>Minor  Arterial_2</v>
      </c>
      <c r="N94" t="s">
        <v>841</v>
      </c>
    </row>
    <row r="95" spans="2:14">
      <c r="B95" s="31" t="str">
        <f t="shared" si="28"/>
        <v>Minor  Arterial_1_90</v>
      </c>
      <c r="C95" s="32" t="s">
        <v>254</v>
      </c>
      <c r="D95" s="31">
        <f t="shared" si="29"/>
        <v>1</v>
      </c>
      <c r="E95" s="31">
        <f t="shared" si="30"/>
        <v>90</v>
      </c>
      <c r="F95">
        <v>88</v>
      </c>
      <c r="G95">
        <f t="shared" si="26"/>
        <v>10</v>
      </c>
      <c r="H95">
        <v>1400</v>
      </c>
      <c r="J95">
        <v>4</v>
      </c>
      <c r="K95">
        <v>591</v>
      </c>
      <c r="L95" t="s">
        <v>190</v>
      </c>
      <c r="M95" t="str">
        <f t="shared" si="27"/>
        <v>Minor  Arterial_2</v>
      </c>
      <c r="N95" t="s">
        <v>841</v>
      </c>
    </row>
    <row r="96" spans="2:14">
      <c r="B96" s="31" t="str">
        <f t="shared" si="28"/>
        <v>Minor  Arterial_1_80</v>
      </c>
      <c r="C96" s="32" t="s">
        <v>254</v>
      </c>
      <c r="D96" s="31">
        <f t="shared" si="29"/>
        <v>1</v>
      </c>
      <c r="E96" s="31">
        <f t="shared" si="30"/>
        <v>80</v>
      </c>
      <c r="F96">
        <v>78</v>
      </c>
      <c r="G96">
        <f t="shared" si="26"/>
        <v>10</v>
      </c>
      <c r="H96">
        <v>1400</v>
      </c>
      <c r="J96">
        <v>4</v>
      </c>
      <c r="K96">
        <v>581</v>
      </c>
      <c r="L96" t="s">
        <v>191</v>
      </c>
      <c r="M96" t="str">
        <f t="shared" si="27"/>
        <v>Minor  Arterial_2</v>
      </c>
      <c r="N96" t="s">
        <v>841</v>
      </c>
    </row>
    <row r="97" spans="2:14">
      <c r="B97" s="31" t="str">
        <f t="shared" si="28"/>
        <v>Minor  Arterial_1_70</v>
      </c>
      <c r="C97" s="32" t="s">
        <v>254</v>
      </c>
      <c r="D97" s="31">
        <f t="shared" si="29"/>
        <v>1</v>
      </c>
      <c r="E97" s="31">
        <f t="shared" si="30"/>
        <v>70</v>
      </c>
      <c r="F97">
        <v>68</v>
      </c>
      <c r="G97">
        <f t="shared" si="26"/>
        <v>10</v>
      </c>
      <c r="H97">
        <v>1400</v>
      </c>
      <c r="J97">
        <v>4</v>
      </c>
      <c r="K97">
        <v>571</v>
      </c>
      <c r="L97" t="s">
        <v>192</v>
      </c>
      <c r="M97" t="str">
        <f t="shared" si="27"/>
        <v>Minor  Arterial_2</v>
      </c>
      <c r="N97" t="s">
        <v>841</v>
      </c>
    </row>
    <row r="98" spans="2:14">
      <c r="B98" s="31" t="str">
        <f t="shared" si="28"/>
        <v>Minor  Arterial_1_60</v>
      </c>
      <c r="C98" s="32" t="s">
        <v>254</v>
      </c>
      <c r="D98" s="31">
        <f t="shared" si="29"/>
        <v>1</v>
      </c>
      <c r="E98" s="31">
        <f t="shared" si="30"/>
        <v>60</v>
      </c>
      <c r="F98">
        <v>58</v>
      </c>
      <c r="G98">
        <f t="shared" si="26"/>
        <v>10</v>
      </c>
      <c r="H98">
        <v>1600</v>
      </c>
      <c r="J98">
        <v>4</v>
      </c>
      <c r="K98">
        <v>561</v>
      </c>
      <c r="L98" t="s">
        <v>193</v>
      </c>
      <c r="M98" t="str">
        <f t="shared" si="27"/>
        <v>Minor  Arterial_2</v>
      </c>
      <c r="N98" t="s">
        <v>841</v>
      </c>
    </row>
    <row r="99" spans="2:14">
      <c r="B99" s="31" t="str">
        <f t="shared" si="28"/>
        <v>Minor  Arterial_1_50</v>
      </c>
      <c r="C99" s="32" t="s">
        <v>254</v>
      </c>
      <c r="D99" s="31">
        <f t="shared" si="29"/>
        <v>1</v>
      </c>
      <c r="E99" s="31">
        <f t="shared" si="30"/>
        <v>50</v>
      </c>
      <c r="F99">
        <v>48</v>
      </c>
      <c r="G99">
        <f t="shared" si="26"/>
        <v>10</v>
      </c>
      <c r="H99">
        <v>1400</v>
      </c>
      <c r="J99">
        <v>3</v>
      </c>
      <c r="K99">
        <v>551</v>
      </c>
      <c r="L99" t="s">
        <v>194</v>
      </c>
      <c r="M99" t="str">
        <f t="shared" si="27"/>
        <v>Minor  Arterial_2</v>
      </c>
      <c r="N99" t="s">
        <v>841</v>
      </c>
    </row>
    <row r="100" spans="2:14">
      <c r="B100" s="31" t="str">
        <f t="shared" si="28"/>
        <v>Minor  Arterial_1_40</v>
      </c>
      <c r="C100" s="32" t="s">
        <v>254</v>
      </c>
      <c r="D100" s="31">
        <f t="shared" si="29"/>
        <v>1</v>
      </c>
      <c r="E100" s="31">
        <f t="shared" si="30"/>
        <v>40</v>
      </c>
      <c r="F100">
        <v>38</v>
      </c>
      <c r="G100">
        <f t="shared" si="26"/>
        <v>10</v>
      </c>
      <c r="H100">
        <v>1200</v>
      </c>
      <c r="J100">
        <v>2</v>
      </c>
      <c r="K100">
        <v>541</v>
      </c>
      <c r="L100" t="s">
        <v>195</v>
      </c>
      <c r="M100" t="str">
        <f t="shared" si="27"/>
        <v>Minor  Arterial_2</v>
      </c>
      <c r="N100" t="s">
        <v>841</v>
      </c>
    </row>
    <row r="101" spans="2:14">
      <c r="B101" s="31" t="str">
        <f t="shared" si="28"/>
        <v>Minor  Arterial_1_30</v>
      </c>
      <c r="C101" s="32" t="s">
        <v>254</v>
      </c>
      <c r="D101" s="31">
        <f t="shared" si="29"/>
        <v>1</v>
      </c>
      <c r="E101" s="31">
        <f t="shared" si="30"/>
        <v>30</v>
      </c>
      <c r="F101">
        <v>28</v>
      </c>
      <c r="G101">
        <f t="shared" si="26"/>
        <v>10</v>
      </c>
      <c r="H101">
        <v>1000</v>
      </c>
      <c r="J101">
        <v>2</v>
      </c>
      <c r="K101">
        <v>531</v>
      </c>
      <c r="L101" t="s">
        <v>196</v>
      </c>
      <c r="M101" t="str">
        <f t="shared" si="27"/>
        <v>Minor  Arterial_2</v>
      </c>
      <c r="N101" t="s">
        <v>841</v>
      </c>
    </row>
    <row r="102" spans="2:14">
      <c r="B102" s="31" t="str">
        <f t="shared" si="28"/>
        <v>Minor  Arterial_1_20</v>
      </c>
      <c r="C102" s="32" t="s">
        <v>254</v>
      </c>
      <c r="D102" s="31">
        <f t="shared" si="29"/>
        <v>1</v>
      </c>
      <c r="E102" s="31">
        <f t="shared" si="30"/>
        <v>20</v>
      </c>
      <c r="F102">
        <v>18</v>
      </c>
      <c r="G102">
        <f t="shared" si="26"/>
        <v>10</v>
      </c>
      <c r="H102">
        <v>800</v>
      </c>
      <c r="J102">
        <v>2</v>
      </c>
      <c r="K102">
        <v>521</v>
      </c>
      <c r="L102" t="s">
        <v>197</v>
      </c>
      <c r="M102" t="str">
        <f t="shared" si="27"/>
        <v>Minor  Arterial_2</v>
      </c>
      <c r="N102" t="s">
        <v>841</v>
      </c>
    </row>
    <row r="103" spans="2:14">
      <c r="B103" s="31" t="str">
        <f t="shared" si="28"/>
        <v>Minor  Arterial_2_100</v>
      </c>
      <c r="C103" s="32" t="s">
        <v>254</v>
      </c>
      <c r="D103" s="31">
        <f t="shared" si="29"/>
        <v>2</v>
      </c>
      <c r="E103" s="31">
        <f t="shared" si="30"/>
        <v>100</v>
      </c>
      <c r="F103">
        <v>102</v>
      </c>
      <c r="G103">
        <f t="shared" si="26"/>
        <v>10</v>
      </c>
      <c r="H103">
        <v>4200</v>
      </c>
      <c r="J103">
        <v>7</v>
      </c>
      <c r="K103">
        <v>512</v>
      </c>
      <c r="L103" t="s">
        <v>198</v>
      </c>
      <c r="M103" t="str">
        <f t="shared" si="27"/>
        <v>Minor  Arterial_4</v>
      </c>
      <c r="N103" t="s">
        <v>841</v>
      </c>
    </row>
    <row r="104" spans="2:14">
      <c r="B104" s="31" t="str">
        <f t="shared" si="28"/>
        <v>Minor  Arterial_2_80</v>
      </c>
      <c r="C104" s="32" t="s">
        <v>254</v>
      </c>
      <c r="D104" s="31">
        <f t="shared" si="29"/>
        <v>2</v>
      </c>
      <c r="E104" s="31">
        <f t="shared" si="30"/>
        <v>80</v>
      </c>
      <c r="F104">
        <v>82</v>
      </c>
      <c r="G104">
        <f t="shared" si="26"/>
        <v>10</v>
      </c>
      <c r="H104">
        <v>3800</v>
      </c>
      <c r="J104">
        <v>4.5</v>
      </c>
      <c r="K104">
        <v>582</v>
      </c>
      <c r="L104" t="s">
        <v>199</v>
      </c>
      <c r="M104" t="str">
        <f t="shared" si="27"/>
        <v>Minor  Arterial_4</v>
      </c>
      <c r="N104" t="s">
        <v>841</v>
      </c>
    </row>
    <row r="105" spans="2:14">
      <c r="B105" s="31" t="str">
        <f t="shared" si="28"/>
        <v>Minor  Arterial_2_70</v>
      </c>
      <c r="C105" s="32" t="s">
        <v>254</v>
      </c>
      <c r="D105" s="31">
        <f t="shared" si="29"/>
        <v>2</v>
      </c>
      <c r="E105" s="31">
        <f t="shared" si="30"/>
        <v>70</v>
      </c>
      <c r="F105">
        <v>72</v>
      </c>
      <c r="G105">
        <f t="shared" si="26"/>
        <v>10</v>
      </c>
      <c r="H105">
        <v>3800</v>
      </c>
      <c r="J105">
        <v>3.5</v>
      </c>
      <c r="K105">
        <v>572</v>
      </c>
      <c r="L105" t="s">
        <v>200</v>
      </c>
      <c r="M105" t="str">
        <f t="shared" si="27"/>
        <v>Minor  Arterial_4</v>
      </c>
      <c r="N105" t="s">
        <v>841</v>
      </c>
    </row>
    <row r="106" spans="2:14">
      <c r="B106" s="31" t="str">
        <f t="shared" si="28"/>
        <v>Minor  Arterial_2_60</v>
      </c>
      <c r="C106" s="32" t="s">
        <v>254</v>
      </c>
      <c r="D106" s="31">
        <f t="shared" si="29"/>
        <v>2</v>
      </c>
      <c r="E106" s="31">
        <f t="shared" si="30"/>
        <v>60</v>
      </c>
      <c r="F106">
        <v>62</v>
      </c>
      <c r="G106">
        <f t="shared" si="26"/>
        <v>10</v>
      </c>
      <c r="H106">
        <v>3400</v>
      </c>
      <c r="J106">
        <v>3.5</v>
      </c>
      <c r="K106">
        <v>562</v>
      </c>
      <c r="L106" t="s">
        <v>201</v>
      </c>
      <c r="M106" t="str">
        <f t="shared" si="27"/>
        <v>Minor  Arterial_4</v>
      </c>
      <c r="N106" t="s">
        <v>841</v>
      </c>
    </row>
    <row r="107" spans="2:14">
      <c r="B107" s="31" t="str">
        <f t="shared" si="28"/>
        <v>Minor  Arterial_2_50</v>
      </c>
      <c r="C107" s="32" t="s">
        <v>254</v>
      </c>
      <c r="D107" s="31">
        <f t="shared" si="29"/>
        <v>2</v>
      </c>
      <c r="E107" s="31">
        <f t="shared" si="30"/>
        <v>50</v>
      </c>
      <c r="F107">
        <v>52</v>
      </c>
      <c r="G107">
        <f t="shared" si="26"/>
        <v>10</v>
      </c>
      <c r="H107">
        <v>2800</v>
      </c>
      <c r="J107">
        <v>3</v>
      </c>
      <c r="K107">
        <v>552</v>
      </c>
      <c r="L107" t="s">
        <v>202</v>
      </c>
      <c r="M107" t="str">
        <f t="shared" si="27"/>
        <v>Minor  Arterial_4</v>
      </c>
      <c r="N107" t="s">
        <v>841</v>
      </c>
    </row>
    <row r="108" spans="2:14">
      <c r="B108" s="31" t="str">
        <f t="shared" si="28"/>
        <v>Minor  Arterial_2_40</v>
      </c>
      <c r="C108" s="32" t="s">
        <v>254</v>
      </c>
      <c r="D108" s="31">
        <f t="shared" si="29"/>
        <v>2</v>
      </c>
      <c r="E108" s="31">
        <f t="shared" si="30"/>
        <v>40</v>
      </c>
      <c r="F108">
        <v>42</v>
      </c>
      <c r="G108">
        <f t="shared" si="26"/>
        <v>10</v>
      </c>
      <c r="H108">
        <v>2400</v>
      </c>
      <c r="J108">
        <v>2</v>
      </c>
      <c r="K108">
        <v>542</v>
      </c>
      <c r="L108" t="s">
        <v>203</v>
      </c>
      <c r="M108" t="str">
        <f t="shared" si="27"/>
        <v>Minor  Arterial_4</v>
      </c>
      <c r="N108" t="s">
        <v>841</v>
      </c>
    </row>
    <row r="109" spans="2:14">
      <c r="B109" s="31" t="str">
        <f t="shared" si="28"/>
        <v>Minor  Arterial_2_30</v>
      </c>
      <c r="C109" s="32" t="s">
        <v>254</v>
      </c>
      <c r="D109" s="31">
        <f t="shared" si="29"/>
        <v>2</v>
      </c>
      <c r="E109" s="31">
        <f t="shared" si="30"/>
        <v>30</v>
      </c>
      <c r="F109">
        <v>32</v>
      </c>
      <c r="G109">
        <f t="shared" si="26"/>
        <v>10</v>
      </c>
      <c r="H109">
        <v>2400</v>
      </c>
      <c r="J109">
        <v>2.5</v>
      </c>
      <c r="K109">
        <v>532</v>
      </c>
      <c r="L109" t="s">
        <v>204</v>
      </c>
      <c r="M109" t="str">
        <f t="shared" si="27"/>
        <v>Minor  Arterial_4</v>
      </c>
      <c r="N109" t="s">
        <v>841</v>
      </c>
    </row>
    <row r="110" spans="2:14">
      <c r="B110" s="31" t="str">
        <f t="shared" si="28"/>
        <v>Minor  Arterial_3_100</v>
      </c>
      <c r="C110" s="32" t="s">
        <v>254</v>
      </c>
      <c r="D110" s="31">
        <f t="shared" si="29"/>
        <v>3</v>
      </c>
      <c r="E110" s="31">
        <f t="shared" si="30"/>
        <v>100</v>
      </c>
      <c r="F110">
        <v>102</v>
      </c>
      <c r="G110">
        <f t="shared" si="26"/>
        <v>10</v>
      </c>
      <c r="H110">
        <v>6300</v>
      </c>
      <c r="J110">
        <v>7</v>
      </c>
      <c r="K110">
        <v>513</v>
      </c>
      <c r="L110" t="s">
        <v>205</v>
      </c>
      <c r="M110" t="str">
        <f t="shared" si="27"/>
        <v>Minor  Arterial_6</v>
      </c>
      <c r="N110" t="s">
        <v>841</v>
      </c>
    </row>
    <row r="111" spans="2:14">
      <c r="B111" s="31" t="str">
        <f t="shared" si="28"/>
        <v>Minor  Arterial_3_80</v>
      </c>
      <c r="C111" s="32" t="s">
        <v>254</v>
      </c>
      <c r="D111" s="31">
        <f t="shared" si="29"/>
        <v>3</v>
      </c>
      <c r="E111" s="31">
        <f t="shared" si="30"/>
        <v>80</v>
      </c>
      <c r="F111">
        <v>82</v>
      </c>
      <c r="G111">
        <f t="shared" si="26"/>
        <v>10</v>
      </c>
      <c r="H111">
        <v>5700</v>
      </c>
      <c r="J111">
        <v>4.5</v>
      </c>
      <c r="K111">
        <v>583</v>
      </c>
      <c r="L111" t="s">
        <v>206</v>
      </c>
      <c r="M111" t="str">
        <f t="shared" si="27"/>
        <v>Minor  Arterial_6</v>
      </c>
      <c r="N111" t="s">
        <v>841</v>
      </c>
    </row>
    <row r="112" spans="2:14">
      <c r="B112" s="31" t="str">
        <f t="shared" si="28"/>
        <v>Minor  Arterial_3_70</v>
      </c>
      <c r="C112" s="32" t="s">
        <v>254</v>
      </c>
      <c r="D112" s="31">
        <f t="shared" si="29"/>
        <v>3</v>
      </c>
      <c r="E112" s="31">
        <f t="shared" si="30"/>
        <v>70</v>
      </c>
      <c r="F112">
        <v>72</v>
      </c>
      <c r="G112">
        <f t="shared" si="26"/>
        <v>10</v>
      </c>
      <c r="H112">
        <v>5700</v>
      </c>
      <c r="J112">
        <v>3.5</v>
      </c>
      <c r="K112">
        <v>573</v>
      </c>
      <c r="L112" t="s">
        <v>207</v>
      </c>
      <c r="M112" t="str">
        <f t="shared" si="27"/>
        <v>Minor  Arterial_6</v>
      </c>
      <c r="N112" t="s">
        <v>841</v>
      </c>
    </row>
    <row r="113" spans="2:14">
      <c r="B113" s="31" t="str">
        <f t="shared" si="28"/>
        <v>Minor  Arterial_3_60</v>
      </c>
      <c r="C113" s="32" t="s">
        <v>254</v>
      </c>
      <c r="D113" s="31">
        <f t="shared" si="29"/>
        <v>3</v>
      </c>
      <c r="E113" s="31">
        <f t="shared" si="30"/>
        <v>60</v>
      </c>
      <c r="F113">
        <v>62</v>
      </c>
      <c r="G113">
        <f t="shared" si="26"/>
        <v>10</v>
      </c>
      <c r="H113">
        <v>5100</v>
      </c>
      <c r="J113">
        <v>3.5</v>
      </c>
      <c r="K113">
        <v>563</v>
      </c>
      <c r="L113" t="s">
        <v>208</v>
      </c>
      <c r="M113" t="str">
        <f t="shared" si="27"/>
        <v>Minor  Arterial_6</v>
      </c>
      <c r="N113" t="s">
        <v>841</v>
      </c>
    </row>
    <row r="114" spans="2:14">
      <c r="B114" s="31" t="str">
        <f t="shared" si="28"/>
        <v>Minor  Arterial_3_50</v>
      </c>
      <c r="C114" s="32" t="s">
        <v>254</v>
      </c>
      <c r="D114" s="31">
        <f t="shared" si="29"/>
        <v>3</v>
      </c>
      <c r="E114" s="31">
        <f t="shared" si="30"/>
        <v>50</v>
      </c>
      <c r="F114">
        <v>52</v>
      </c>
      <c r="G114">
        <f t="shared" si="26"/>
        <v>10</v>
      </c>
      <c r="H114">
        <v>4200</v>
      </c>
      <c r="J114">
        <v>3</v>
      </c>
      <c r="K114">
        <v>553</v>
      </c>
      <c r="L114" t="s">
        <v>209</v>
      </c>
      <c r="M114" t="str">
        <f t="shared" si="27"/>
        <v>Minor  Arterial_6</v>
      </c>
      <c r="N114" t="s">
        <v>841</v>
      </c>
    </row>
    <row r="115" spans="2:14">
      <c r="B115" s="31" t="str">
        <f t="shared" si="28"/>
        <v>Minor  Arterial_3_40</v>
      </c>
      <c r="C115" s="32" t="s">
        <v>254</v>
      </c>
      <c r="D115" s="31">
        <f t="shared" si="29"/>
        <v>3</v>
      </c>
      <c r="E115" s="31">
        <f t="shared" si="30"/>
        <v>40</v>
      </c>
      <c r="F115">
        <v>42</v>
      </c>
      <c r="G115">
        <f t="shared" si="26"/>
        <v>10</v>
      </c>
      <c r="H115">
        <v>3600</v>
      </c>
      <c r="J115">
        <v>3</v>
      </c>
      <c r="K115">
        <v>543</v>
      </c>
      <c r="L115" t="s">
        <v>210</v>
      </c>
      <c r="M115" t="str">
        <f t="shared" si="27"/>
        <v>Minor  Arterial_6</v>
      </c>
      <c r="N115" t="s">
        <v>841</v>
      </c>
    </row>
    <row r="116" spans="2:14">
      <c r="B116" s="31" t="str">
        <f t="shared" si="28"/>
        <v>Minor  Arterial_4_100</v>
      </c>
      <c r="C116" s="32" t="s">
        <v>254</v>
      </c>
      <c r="D116" s="31">
        <f t="shared" si="29"/>
        <v>4</v>
      </c>
      <c r="E116" s="31">
        <f t="shared" si="30"/>
        <v>100</v>
      </c>
      <c r="F116">
        <v>102</v>
      </c>
      <c r="G116">
        <f t="shared" si="26"/>
        <v>10</v>
      </c>
      <c r="H116">
        <v>8400</v>
      </c>
      <c r="J116">
        <v>7</v>
      </c>
      <c r="K116">
        <v>514</v>
      </c>
      <c r="L116" t="s">
        <v>211</v>
      </c>
      <c r="M116" t="str">
        <f t="shared" si="27"/>
        <v>Minor  Arterial_8</v>
      </c>
      <c r="N116" t="s">
        <v>841</v>
      </c>
    </row>
    <row r="117" spans="2:14">
      <c r="B117" s="31" t="str">
        <f t="shared" si="28"/>
        <v>Minor  Arterial_4_80</v>
      </c>
      <c r="C117" s="32" t="s">
        <v>254</v>
      </c>
      <c r="D117" s="31">
        <f t="shared" si="29"/>
        <v>4</v>
      </c>
      <c r="E117" s="31">
        <f t="shared" si="30"/>
        <v>80</v>
      </c>
      <c r="F117">
        <v>82</v>
      </c>
      <c r="G117">
        <f t="shared" si="26"/>
        <v>10</v>
      </c>
      <c r="H117">
        <v>7600</v>
      </c>
      <c r="J117">
        <v>4.5</v>
      </c>
      <c r="K117">
        <v>584</v>
      </c>
      <c r="L117" t="s">
        <v>212</v>
      </c>
      <c r="M117" t="str">
        <f t="shared" si="27"/>
        <v>Minor  Arterial_8</v>
      </c>
      <c r="N117" t="s">
        <v>841</v>
      </c>
    </row>
    <row r="118" spans="2:14">
      <c r="B118" s="31" t="str">
        <f t="shared" si="28"/>
        <v>Minor  Arterial_4_70</v>
      </c>
      <c r="C118" s="32" t="s">
        <v>254</v>
      </c>
      <c r="D118" s="31">
        <f t="shared" si="29"/>
        <v>4</v>
      </c>
      <c r="E118" s="31">
        <f t="shared" si="30"/>
        <v>70</v>
      </c>
      <c r="F118">
        <v>72</v>
      </c>
      <c r="G118">
        <f t="shared" si="26"/>
        <v>10</v>
      </c>
      <c r="H118">
        <v>7600</v>
      </c>
      <c r="J118">
        <v>3.5</v>
      </c>
      <c r="K118">
        <v>574</v>
      </c>
      <c r="L118" t="s">
        <v>213</v>
      </c>
      <c r="M118" t="str">
        <f t="shared" si="27"/>
        <v>Minor  Arterial_8</v>
      </c>
      <c r="N118" t="s">
        <v>841</v>
      </c>
    </row>
    <row r="119" spans="2:14">
      <c r="B119" s="31" t="str">
        <f t="shared" si="28"/>
        <v>Minor  Arterial_4_60</v>
      </c>
      <c r="C119" s="32" t="s">
        <v>254</v>
      </c>
      <c r="D119" s="31">
        <f t="shared" si="29"/>
        <v>4</v>
      </c>
      <c r="E119" s="31">
        <f t="shared" si="30"/>
        <v>60</v>
      </c>
      <c r="F119">
        <v>62</v>
      </c>
      <c r="G119">
        <f t="shared" si="26"/>
        <v>10</v>
      </c>
      <c r="H119">
        <v>6800</v>
      </c>
      <c r="J119">
        <v>3.5</v>
      </c>
      <c r="K119">
        <v>564</v>
      </c>
      <c r="L119" t="s">
        <v>214</v>
      </c>
      <c r="M119" t="str">
        <f t="shared" si="27"/>
        <v>Minor  Arterial_8</v>
      </c>
      <c r="N119" t="s">
        <v>841</v>
      </c>
    </row>
    <row r="120" spans="2:14">
      <c r="B120" s="31" t="str">
        <f t="shared" si="28"/>
        <v>Minor  Arterial_4_50</v>
      </c>
      <c r="C120" s="32" t="s">
        <v>254</v>
      </c>
      <c r="D120" s="31">
        <f t="shared" si="29"/>
        <v>4</v>
      </c>
      <c r="E120" s="31">
        <f t="shared" si="30"/>
        <v>50</v>
      </c>
      <c r="F120">
        <v>52</v>
      </c>
      <c r="G120">
        <f t="shared" si="26"/>
        <v>10</v>
      </c>
      <c r="H120">
        <v>5600</v>
      </c>
      <c r="J120">
        <v>3</v>
      </c>
      <c r="K120">
        <v>554</v>
      </c>
      <c r="L120" t="s">
        <v>215</v>
      </c>
      <c r="M120" t="str">
        <f t="shared" si="27"/>
        <v>Minor  Arterial_8</v>
      </c>
      <c r="N120" t="s">
        <v>841</v>
      </c>
    </row>
    <row r="121" spans="2:14">
      <c r="B121" s="31" t="str">
        <f t="shared" ref="B121:B167" si="31">C121&amp;"_"&amp;D121&amp;"_"&amp;E121</f>
        <v>Local LTA_Activity Streets_1_100</v>
      </c>
      <c r="C121" s="32" t="s">
        <v>593</v>
      </c>
      <c r="D121" s="31">
        <f t="shared" ref="D121:D167" si="32">VALUE(RIGHT(K121,1))</f>
        <v>1</v>
      </c>
      <c r="E121" s="31">
        <f t="shared" ref="E121:E139" si="33">MROUND(F121,10)</f>
        <v>100</v>
      </c>
      <c r="F121">
        <v>98</v>
      </c>
      <c r="G121">
        <f t="shared" si="26"/>
        <v>10</v>
      </c>
      <c r="H121">
        <v>1200</v>
      </c>
      <c r="J121">
        <v>3.5</v>
      </c>
      <c r="K121">
        <v>611</v>
      </c>
      <c r="L121" t="s">
        <v>216</v>
      </c>
      <c r="M121" t="str">
        <f t="shared" si="27"/>
        <v>Local LTA_Activity Streets_2</v>
      </c>
      <c r="N121" t="s">
        <v>841</v>
      </c>
    </row>
    <row r="122" spans="2:14">
      <c r="B122" s="31" t="str">
        <f t="shared" si="31"/>
        <v>Local LTA_Activity Streets_1_90</v>
      </c>
      <c r="C122" s="32" t="s">
        <v>593</v>
      </c>
      <c r="D122" s="31">
        <f t="shared" si="32"/>
        <v>1</v>
      </c>
      <c r="E122" s="31">
        <f t="shared" si="33"/>
        <v>90</v>
      </c>
      <c r="F122">
        <v>88</v>
      </c>
      <c r="G122">
        <f t="shared" si="26"/>
        <v>10</v>
      </c>
      <c r="H122">
        <v>1200</v>
      </c>
      <c r="J122">
        <v>3.5</v>
      </c>
      <c r="K122">
        <v>691</v>
      </c>
      <c r="L122" t="s">
        <v>217</v>
      </c>
      <c r="M122" t="str">
        <f t="shared" si="27"/>
        <v>Local LTA_Activity Streets_2</v>
      </c>
      <c r="N122" t="s">
        <v>841</v>
      </c>
    </row>
    <row r="123" spans="2:14">
      <c r="B123" s="31" t="str">
        <f t="shared" si="31"/>
        <v>Local LTA_Activity Streets_1_80</v>
      </c>
      <c r="C123" s="32" t="s">
        <v>593</v>
      </c>
      <c r="D123" s="31">
        <f t="shared" si="32"/>
        <v>1</v>
      </c>
      <c r="E123" s="31">
        <f t="shared" si="33"/>
        <v>80</v>
      </c>
      <c r="F123">
        <v>78</v>
      </c>
      <c r="G123">
        <f t="shared" si="26"/>
        <v>10</v>
      </c>
      <c r="H123">
        <v>1200</v>
      </c>
      <c r="J123">
        <v>3.5</v>
      </c>
      <c r="K123">
        <v>681</v>
      </c>
      <c r="L123" t="s">
        <v>218</v>
      </c>
      <c r="M123" t="str">
        <f t="shared" si="27"/>
        <v>Local LTA_Activity Streets_2</v>
      </c>
      <c r="N123" t="s">
        <v>841</v>
      </c>
    </row>
    <row r="124" spans="2:14">
      <c r="B124" s="31" t="str">
        <f t="shared" si="31"/>
        <v>Local LTA_Activity Streets_1_70</v>
      </c>
      <c r="C124" s="32" t="s">
        <v>593</v>
      </c>
      <c r="D124" s="31">
        <f t="shared" si="32"/>
        <v>1</v>
      </c>
      <c r="E124" s="31">
        <f t="shared" si="33"/>
        <v>70</v>
      </c>
      <c r="F124">
        <v>68</v>
      </c>
      <c r="G124">
        <f t="shared" si="26"/>
        <v>10</v>
      </c>
      <c r="H124">
        <v>1200</v>
      </c>
      <c r="J124">
        <v>3.5</v>
      </c>
      <c r="K124">
        <v>671</v>
      </c>
      <c r="L124" t="s">
        <v>219</v>
      </c>
      <c r="M124" t="str">
        <f t="shared" si="27"/>
        <v>Local LTA_Activity Streets_2</v>
      </c>
      <c r="N124" t="s">
        <v>841</v>
      </c>
    </row>
    <row r="125" spans="2:14">
      <c r="B125" s="31" t="str">
        <f t="shared" si="31"/>
        <v>Local LTA_Activity Streets_1_60</v>
      </c>
      <c r="C125" s="32" t="s">
        <v>593</v>
      </c>
      <c r="D125" s="31">
        <f t="shared" si="32"/>
        <v>1</v>
      </c>
      <c r="E125" s="31">
        <f t="shared" si="33"/>
        <v>60</v>
      </c>
      <c r="F125">
        <v>58</v>
      </c>
      <c r="G125">
        <f t="shared" si="26"/>
        <v>10</v>
      </c>
      <c r="H125">
        <v>1600</v>
      </c>
      <c r="J125">
        <v>3.5</v>
      </c>
      <c r="K125">
        <v>661</v>
      </c>
      <c r="L125" t="s">
        <v>220</v>
      </c>
      <c r="M125" t="str">
        <f t="shared" si="27"/>
        <v>Local LTA_Activity Streets_2</v>
      </c>
      <c r="N125" t="s">
        <v>841</v>
      </c>
    </row>
    <row r="126" spans="2:14">
      <c r="B126" s="31" t="str">
        <f t="shared" si="31"/>
        <v>Local LTA_Activity Streets_1_50</v>
      </c>
      <c r="C126" s="32" t="s">
        <v>593</v>
      </c>
      <c r="D126" s="31">
        <f t="shared" si="32"/>
        <v>1</v>
      </c>
      <c r="E126" s="31">
        <v>50</v>
      </c>
      <c r="F126">
        <v>44</v>
      </c>
      <c r="G126">
        <f t="shared" si="26"/>
        <v>10</v>
      </c>
      <c r="H126">
        <v>1400</v>
      </c>
      <c r="J126">
        <v>2.5</v>
      </c>
      <c r="K126">
        <v>651</v>
      </c>
      <c r="L126" t="s">
        <v>221</v>
      </c>
      <c r="M126" t="str">
        <f t="shared" si="27"/>
        <v>Local LTA_Activity Streets_2</v>
      </c>
      <c r="N126" t="s">
        <v>841</v>
      </c>
    </row>
    <row r="127" spans="2:14">
      <c r="B127" s="31" t="str">
        <f t="shared" si="31"/>
        <v>Local LTA_Activity Streets_1_40</v>
      </c>
      <c r="C127" s="32" t="s">
        <v>593</v>
      </c>
      <c r="D127" s="31">
        <f t="shared" si="32"/>
        <v>1</v>
      </c>
      <c r="E127" s="31">
        <f t="shared" si="33"/>
        <v>40</v>
      </c>
      <c r="F127">
        <v>38</v>
      </c>
      <c r="G127">
        <f t="shared" si="26"/>
        <v>10</v>
      </c>
      <c r="H127">
        <v>1200</v>
      </c>
      <c r="J127">
        <v>2</v>
      </c>
      <c r="K127">
        <v>641</v>
      </c>
      <c r="L127" t="s">
        <v>222</v>
      </c>
      <c r="M127" t="str">
        <f t="shared" si="27"/>
        <v>Local LTA_Activity Streets_2</v>
      </c>
      <c r="N127" t="s">
        <v>841</v>
      </c>
    </row>
    <row r="128" spans="2:14">
      <c r="B128" s="31" t="str">
        <f t="shared" si="31"/>
        <v>Local LTA_Activity Streets_1_30</v>
      </c>
      <c r="C128" s="32" t="s">
        <v>593</v>
      </c>
      <c r="D128" s="31">
        <f t="shared" si="32"/>
        <v>1</v>
      </c>
      <c r="E128" s="31">
        <f t="shared" si="33"/>
        <v>30</v>
      </c>
      <c r="F128">
        <v>28</v>
      </c>
      <c r="G128">
        <f t="shared" si="26"/>
        <v>10</v>
      </c>
      <c r="H128">
        <v>800</v>
      </c>
      <c r="J128">
        <v>2</v>
      </c>
      <c r="K128">
        <v>631</v>
      </c>
      <c r="L128" t="s">
        <v>223</v>
      </c>
      <c r="M128" t="str">
        <f t="shared" si="27"/>
        <v>Local LTA_Activity Streets_2</v>
      </c>
      <c r="N128" t="s">
        <v>841</v>
      </c>
    </row>
    <row r="129" spans="2:14">
      <c r="B129" s="31" t="str">
        <f t="shared" si="31"/>
        <v>Local LTA_Activity Streets_1_20</v>
      </c>
      <c r="C129" s="32" t="s">
        <v>593</v>
      </c>
      <c r="D129" s="31">
        <f t="shared" si="32"/>
        <v>1</v>
      </c>
      <c r="E129" s="31">
        <f t="shared" si="33"/>
        <v>20</v>
      </c>
      <c r="F129">
        <v>18</v>
      </c>
      <c r="G129">
        <f t="shared" si="26"/>
        <v>10</v>
      </c>
      <c r="H129">
        <v>800</v>
      </c>
      <c r="J129">
        <v>2</v>
      </c>
      <c r="K129">
        <v>621</v>
      </c>
      <c r="L129" t="s">
        <v>224</v>
      </c>
      <c r="M129" t="str">
        <f t="shared" si="27"/>
        <v>Local LTA_Activity Streets_2</v>
      </c>
      <c r="N129" t="s">
        <v>841</v>
      </c>
    </row>
    <row r="130" spans="2:14">
      <c r="B130" s="31" t="str">
        <f t="shared" ref="B130:B138" si="34">C130&amp;"_"&amp;D130&amp;"_"&amp;E130</f>
        <v>Local LTA_Activity Streets_2_100</v>
      </c>
      <c r="C130" s="32" t="s">
        <v>593</v>
      </c>
      <c r="D130" s="31">
        <v>2</v>
      </c>
      <c r="E130" s="31">
        <f t="shared" ref="E130:E134" si="35">MROUND(F130,10)</f>
        <v>100</v>
      </c>
      <c r="F130">
        <v>98</v>
      </c>
      <c r="G130">
        <f t="shared" si="26"/>
        <v>10</v>
      </c>
      <c r="H130">
        <v>2400</v>
      </c>
      <c r="J130">
        <v>3.5</v>
      </c>
      <c r="K130">
        <v>611</v>
      </c>
      <c r="L130" t="s">
        <v>899</v>
      </c>
      <c r="M130" t="str">
        <f t="shared" ref="M130:M138" si="36">C130&amp;"_"&amp;D130*2</f>
        <v>Local LTA_Activity Streets_4</v>
      </c>
      <c r="N130" t="s">
        <v>841</v>
      </c>
    </row>
    <row r="131" spans="2:14">
      <c r="B131" s="31" t="str">
        <f t="shared" si="34"/>
        <v>Local LTA_Activity Streets_2_90</v>
      </c>
      <c r="C131" s="32" t="s">
        <v>593</v>
      </c>
      <c r="D131" s="31">
        <v>2</v>
      </c>
      <c r="E131" s="31">
        <f t="shared" si="35"/>
        <v>90</v>
      </c>
      <c r="F131">
        <v>88</v>
      </c>
      <c r="G131">
        <f t="shared" si="26"/>
        <v>10</v>
      </c>
      <c r="H131">
        <v>2400</v>
      </c>
      <c r="J131">
        <v>3.5</v>
      </c>
      <c r="K131">
        <v>691</v>
      </c>
      <c r="L131" t="s">
        <v>900</v>
      </c>
      <c r="M131" t="str">
        <f t="shared" si="36"/>
        <v>Local LTA_Activity Streets_4</v>
      </c>
      <c r="N131" t="s">
        <v>841</v>
      </c>
    </row>
    <row r="132" spans="2:14">
      <c r="B132" s="31" t="str">
        <f t="shared" si="34"/>
        <v>Local LTA_Activity Streets_2_80</v>
      </c>
      <c r="C132" s="32" t="s">
        <v>593</v>
      </c>
      <c r="D132" s="31">
        <v>2</v>
      </c>
      <c r="E132" s="31">
        <f t="shared" si="35"/>
        <v>80</v>
      </c>
      <c r="F132">
        <v>78</v>
      </c>
      <c r="G132">
        <f t="shared" si="26"/>
        <v>10</v>
      </c>
      <c r="H132">
        <v>2400</v>
      </c>
      <c r="J132">
        <v>3.5</v>
      </c>
      <c r="K132">
        <v>681</v>
      </c>
      <c r="L132" t="s">
        <v>901</v>
      </c>
      <c r="M132" t="str">
        <f t="shared" si="36"/>
        <v>Local LTA_Activity Streets_4</v>
      </c>
      <c r="N132" t="s">
        <v>841</v>
      </c>
    </row>
    <row r="133" spans="2:14">
      <c r="B133" s="31" t="str">
        <f t="shared" si="34"/>
        <v>Local LTA_Activity Streets_2_70</v>
      </c>
      <c r="C133" s="32" t="s">
        <v>593</v>
      </c>
      <c r="D133" s="31">
        <v>2</v>
      </c>
      <c r="E133" s="31">
        <f t="shared" si="35"/>
        <v>70</v>
      </c>
      <c r="F133">
        <v>68</v>
      </c>
      <c r="G133">
        <f t="shared" si="26"/>
        <v>10</v>
      </c>
      <c r="H133">
        <v>2400</v>
      </c>
      <c r="J133">
        <v>3.5</v>
      </c>
      <c r="K133">
        <v>671</v>
      </c>
      <c r="L133" t="s">
        <v>902</v>
      </c>
      <c r="M133" t="str">
        <f t="shared" si="36"/>
        <v>Local LTA_Activity Streets_4</v>
      </c>
      <c r="N133" t="s">
        <v>841</v>
      </c>
    </row>
    <row r="134" spans="2:14">
      <c r="B134" s="31" t="str">
        <f t="shared" si="34"/>
        <v>Local LTA_Activity Streets_2_60</v>
      </c>
      <c r="C134" s="32" t="s">
        <v>593</v>
      </c>
      <c r="D134" s="31">
        <v>2</v>
      </c>
      <c r="E134" s="31">
        <f t="shared" si="35"/>
        <v>60</v>
      </c>
      <c r="F134">
        <v>58</v>
      </c>
      <c r="G134">
        <f t="shared" si="26"/>
        <v>10</v>
      </c>
      <c r="H134">
        <v>3200</v>
      </c>
      <c r="J134">
        <v>3.5</v>
      </c>
      <c r="K134">
        <v>661</v>
      </c>
      <c r="L134" t="s">
        <v>903</v>
      </c>
      <c r="M134" t="str">
        <f t="shared" si="36"/>
        <v>Local LTA_Activity Streets_4</v>
      </c>
      <c r="N134" t="s">
        <v>841</v>
      </c>
    </row>
    <row r="135" spans="2:14">
      <c r="B135" s="31" t="str">
        <f t="shared" si="34"/>
        <v>Local LTA_Activity Streets_2_50</v>
      </c>
      <c r="C135" s="32" t="s">
        <v>593</v>
      </c>
      <c r="D135" s="31">
        <v>2</v>
      </c>
      <c r="E135" s="31">
        <v>50</v>
      </c>
      <c r="F135">
        <v>44</v>
      </c>
      <c r="G135">
        <f t="shared" si="26"/>
        <v>10</v>
      </c>
      <c r="H135">
        <v>2800</v>
      </c>
      <c r="J135">
        <v>2.5</v>
      </c>
      <c r="K135">
        <v>651</v>
      </c>
      <c r="L135" t="s">
        <v>225</v>
      </c>
      <c r="M135" t="str">
        <f t="shared" si="36"/>
        <v>Local LTA_Activity Streets_4</v>
      </c>
      <c r="N135" t="s">
        <v>841</v>
      </c>
    </row>
    <row r="136" spans="2:14">
      <c r="B136" s="31" t="str">
        <f t="shared" si="34"/>
        <v>Local LTA_Activity Streets_2_40</v>
      </c>
      <c r="C136" s="32" t="s">
        <v>593</v>
      </c>
      <c r="D136" s="31">
        <v>2</v>
      </c>
      <c r="E136" s="31">
        <f t="shared" ref="E136:E138" si="37">MROUND(F136,10)</f>
        <v>40</v>
      </c>
      <c r="F136">
        <v>38</v>
      </c>
      <c r="G136">
        <f t="shared" si="26"/>
        <v>10</v>
      </c>
      <c r="H136">
        <v>2400</v>
      </c>
      <c r="J136">
        <v>2</v>
      </c>
      <c r="K136">
        <v>641</v>
      </c>
      <c r="L136" t="s">
        <v>226</v>
      </c>
      <c r="M136" t="str">
        <f t="shared" si="36"/>
        <v>Local LTA_Activity Streets_4</v>
      </c>
      <c r="N136" t="s">
        <v>841</v>
      </c>
    </row>
    <row r="137" spans="2:14">
      <c r="B137" s="31" t="str">
        <f t="shared" si="34"/>
        <v>Local LTA_Activity Streets_2_30</v>
      </c>
      <c r="C137" s="32" t="s">
        <v>593</v>
      </c>
      <c r="D137" s="31">
        <v>2</v>
      </c>
      <c r="E137" s="31">
        <f t="shared" si="37"/>
        <v>30</v>
      </c>
      <c r="F137">
        <v>28</v>
      </c>
      <c r="G137">
        <f t="shared" si="26"/>
        <v>10</v>
      </c>
      <c r="H137">
        <v>1600</v>
      </c>
      <c r="J137">
        <v>2</v>
      </c>
      <c r="K137">
        <v>631</v>
      </c>
      <c r="L137" t="s">
        <v>904</v>
      </c>
      <c r="M137" t="str">
        <f t="shared" si="36"/>
        <v>Local LTA_Activity Streets_4</v>
      </c>
      <c r="N137" t="s">
        <v>841</v>
      </c>
    </row>
    <row r="138" spans="2:14">
      <c r="B138" s="31" t="str">
        <f t="shared" si="34"/>
        <v>Local LTA_Activity Streets_2_20</v>
      </c>
      <c r="C138" s="32" t="s">
        <v>593</v>
      </c>
      <c r="D138" s="31">
        <v>2</v>
      </c>
      <c r="E138" s="31">
        <f t="shared" si="37"/>
        <v>20</v>
      </c>
      <c r="F138">
        <v>18</v>
      </c>
      <c r="G138">
        <f t="shared" si="26"/>
        <v>10</v>
      </c>
      <c r="H138">
        <v>1600</v>
      </c>
      <c r="J138">
        <v>2</v>
      </c>
      <c r="K138">
        <v>621</v>
      </c>
      <c r="L138" t="s">
        <v>905</v>
      </c>
      <c r="M138" t="str">
        <f t="shared" si="36"/>
        <v>Local LTA_Activity Streets_4</v>
      </c>
      <c r="N138" t="s">
        <v>841</v>
      </c>
    </row>
    <row r="139" spans="2:14">
      <c r="B139" s="31" t="str">
        <f t="shared" si="31"/>
        <v>Local LTA_Rural Connectors_1_100</v>
      </c>
      <c r="C139" s="32" t="s">
        <v>594</v>
      </c>
      <c r="D139" s="31">
        <f t="shared" si="32"/>
        <v>1</v>
      </c>
      <c r="E139" s="31">
        <f t="shared" si="33"/>
        <v>100</v>
      </c>
      <c r="F139">
        <v>98</v>
      </c>
      <c r="G139">
        <f t="shared" si="26"/>
        <v>10</v>
      </c>
      <c r="H139">
        <v>1400</v>
      </c>
      <c r="J139">
        <v>4</v>
      </c>
      <c r="K139">
        <v>211</v>
      </c>
      <c r="L139" t="s">
        <v>125</v>
      </c>
      <c r="M139" t="str">
        <f t="shared" si="27"/>
        <v>Local LTA_Rural Connectors_2</v>
      </c>
      <c r="N139" t="s">
        <v>841</v>
      </c>
    </row>
    <row r="140" spans="2:14">
      <c r="B140" s="31" t="str">
        <f t="shared" si="31"/>
        <v>Local LTA_Rural Connectors_1_80</v>
      </c>
      <c r="C140" s="32" t="s">
        <v>594</v>
      </c>
      <c r="D140" s="31">
        <f t="shared" si="32"/>
        <v>1</v>
      </c>
      <c r="E140" s="31">
        <v>80</v>
      </c>
      <c r="F140">
        <v>78</v>
      </c>
      <c r="G140">
        <f t="shared" si="26"/>
        <v>10</v>
      </c>
      <c r="H140">
        <v>1400</v>
      </c>
      <c r="J140">
        <v>4</v>
      </c>
      <c r="K140">
        <v>291</v>
      </c>
      <c r="L140" t="s">
        <v>126</v>
      </c>
      <c r="M140" t="str">
        <f t="shared" si="27"/>
        <v>Local LTA_Rural Connectors_2</v>
      </c>
      <c r="N140" t="s">
        <v>841</v>
      </c>
    </row>
    <row r="141" spans="2:14">
      <c r="B141" s="31" t="str">
        <f t="shared" si="31"/>
        <v>Local LTA_Rural Connectors_2_100</v>
      </c>
      <c r="C141" s="32" t="s">
        <v>594</v>
      </c>
      <c r="D141" s="31">
        <f t="shared" si="32"/>
        <v>2</v>
      </c>
      <c r="E141" s="31">
        <f t="shared" ref="E141" si="38">MROUND(F141,10)</f>
        <v>100</v>
      </c>
      <c r="F141">
        <v>98</v>
      </c>
      <c r="G141">
        <f t="shared" si="26"/>
        <v>10</v>
      </c>
      <c r="H141">
        <v>2800</v>
      </c>
      <c r="J141">
        <v>4</v>
      </c>
      <c r="K141">
        <v>212</v>
      </c>
      <c r="M141" t="str">
        <f t="shared" si="27"/>
        <v>Local LTA_Rural Connectors_4</v>
      </c>
      <c r="N141" t="s">
        <v>841</v>
      </c>
    </row>
    <row r="142" spans="2:14">
      <c r="B142" s="31" t="str">
        <f t="shared" si="31"/>
        <v>Local LTA_Rural Connectors_2_80</v>
      </c>
      <c r="C142" s="32" t="s">
        <v>594</v>
      </c>
      <c r="D142" s="31">
        <f t="shared" si="32"/>
        <v>2</v>
      </c>
      <c r="E142" s="31">
        <v>80</v>
      </c>
      <c r="F142">
        <v>78</v>
      </c>
      <c r="G142">
        <f t="shared" si="26"/>
        <v>10</v>
      </c>
      <c r="H142">
        <v>2800</v>
      </c>
      <c r="J142">
        <v>4</v>
      </c>
      <c r="K142">
        <v>292</v>
      </c>
      <c r="M142" t="str">
        <f t="shared" si="27"/>
        <v>Local LTA_Rural Connectors_4</v>
      </c>
      <c r="N142" t="s">
        <v>841</v>
      </c>
    </row>
    <row r="143" spans="2:14">
      <c r="B143" s="31" t="str">
        <f t="shared" ref="B143:B144" si="39">C143&amp;"_"&amp;D143&amp;"_"&amp;E143</f>
        <v>Local LTA_Rural Connectors_3_100</v>
      </c>
      <c r="C143" s="32" t="s">
        <v>594</v>
      </c>
      <c r="D143" s="31">
        <v>3</v>
      </c>
      <c r="E143" s="31">
        <f t="shared" ref="E143" si="40">MROUND(F143,10)</f>
        <v>100</v>
      </c>
      <c r="F143">
        <v>98</v>
      </c>
      <c r="G143">
        <f t="shared" si="26"/>
        <v>10</v>
      </c>
      <c r="H143">
        <f>2800/2*3</f>
        <v>4200</v>
      </c>
      <c r="J143">
        <v>4</v>
      </c>
      <c r="K143">
        <v>213</v>
      </c>
      <c r="M143" t="str">
        <f t="shared" ref="M143:M144" si="41">C143&amp;"_"&amp;D143*2</f>
        <v>Local LTA_Rural Connectors_6</v>
      </c>
      <c r="N143" t="s">
        <v>841</v>
      </c>
    </row>
    <row r="144" spans="2:14">
      <c r="B144" s="31" t="str">
        <f t="shared" si="39"/>
        <v>Local LTA_Rural Connectors_3_80</v>
      </c>
      <c r="C144" s="32" t="s">
        <v>594</v>
      </c>
      <c r="D144" s="31">
        <v>3</v>
      </c>
      <c r="E144" s="31">
        <v>80</v>
      </c>
      <c r="F144">
        <v>78</v>
      </c>
      <c r="G144">
        <f t="shared" si="26"/>
        <v>10</v>
      </c>
      <c r="H144">
        <f>2800/2*3</f>
        <v>4200</v>
      </c>
      <c r="J144">
        <v>4</v>
      </c>
      <c r="K144">
        <v>293</v>
      </c>
      <c r="M144" t="str">
        <f t="shared" si="41"/>
        <v>Local LTA_Rural Connectors_6</v>
      </c>
      <c r="N144" t="s">
        <v>841</v>
      </c>
    </row>
    <row r="145" spans="2:14">
      <c r="B145" s="31" t="str">
        <f t="shared" si="31"/>
        <v>Local LTA_Interregional Connectors_1_100</v>
      </c>
      <c r="C145" s="32" t="s">
        <v>595</v>
      </c>
      <c r="D145" s="31">
        <f t="shared" si="32"/>
        <v>1</v>
      </c>
      <c r="E145" s="31">
        <f t="shared" ref="E145:E176" si="42">MROUND(F145,10)</f>
        <v>100</v>
      </c>
      <c r="F145">
        <v>98</v>
      </c>
      <c r="G145">
        <f t="shared" si="26"/>
        <v>10</v>
      </c>
      <c r="H145">
        <v>1400</v>
      </c>
      <c r="J145">
        <v>4</v>
      </c>
      <c r="K145">
        <v>311</v>
      </c>
      <c r="L145" t="s">
        <v>141</v>
      </c>
      <c r="M145" t="str">
        <f t="shared" si="27"/>
        <v>Local LTA_Interregional Connectors_2</v>
      </c>
      <c r="N145" t="s">
        <v>841</v>
      </c>
    </row>
    <row r="146" spans="2:14">
      <c r="B146" s="31" t="str">
        <f t="shared" si="31"/>
        <v>Local LTA_Interregional Connectors_1_90</v>
      </c>
      <c r="C146" s="32" t="s">
        <v>595</v>
      </c>
      <c r="D146" s="31">
        <f t="shared" si="32"/>
        <v>1</v>
      </c>
      <c r="E146" s="31">
        <f t="shared" si="42"/>
        <v>90</v>
      </c>
      <c r="F146">
        <v>88</v>
      </c>
      <c r="G146">
        <f t="shared" si="26"/>
        <v>10</v>
      </c>
      <c r="H146">
        <v>1400</v>
      </c>
      <c r="J146">
        <v>4</v>
      </c>
      <c r="K146">
        <v>391</v>
      </c>
      <c r="L146" t="s">
        <v>142</v>
      </c>
      <c r="M146" t="str">
        <f t="shared" si="27"/>
        <v>Local LTA_Interregional Connectors_2</v>
      </c>
      <c r="N146" t="s">
        <v>841</v>
      </c>
    </row>
    <row r="147" spans="2:14">
      <c r="B147" s="31" t="str">
        <f t="shared" si="31"/>
        <v>Local LTA_Interregional Connectors_1_80</v>
      </c>
      <c r="C147" s="32" t="s">
        <v>595</v>
      </c>
      <c r="D147" s="31">
        <f t="shared" si="32"/>
        <v>1</v>
      </c>
      <c r="E147" s="31">
        <f t="shared" si="42"/>
        <v>80</v>
      </c>
      <c r="F147">
        <v>78</v>
      </c>
      <c r="G147">
        <f t="shared" si="26"/>
        <v>10</v>
      </c>
      <c r="H147">
        <v>1600</v>
      </c>
      <c r="J147">
        <v>4</v>
      </c>
      <c r="K147">
        <v>381</v>
      </c>
      <c r="L147" t="s">
        <v>143</v>
      </c>
      <c r="M147" t="str">
        <f t="shared" si="27"/>
        <v>Local LTA_Interregional Connectors_2</v>
      </c>
      <c r="N147" t="s">
        <v>841</v>
      </c>
    </row>
    <row r="148" spans="2:14">
      <c r="B148" s="31" t="str">
        <f t="shared" si="31"/>
        <v>Local LTA_Interregional Connectors_1_70</v>
      </c>
      <c r="C148" s="32" t="s">
        <v>595</v>
      </c>
      <c r="D148" s="31">
        <f t="shared" si="32"/>
        <v>1</v>
      </c>
      <c r="E148" s="31">
        <f t="shared" si="42"/>
        <v>70</v>
      </c>
      <c r="F148">
        <v>68</v>
      </c>
      <c r="G148">
        <f t="shared" si="26"/>
        <v>10</v>
      </c>
      <c r="H148">
        <v>1600</v>
      </c>
      <c r="J148">
        <v>4</v>
      </c>
      <c r="K148">
        <v>371</v>
      </c>
      <c r="L148" t="s">
        <v>144</v>
      </c>
      <c r="M148" t="str">
        <f t="shared" si="27"/>
        <v>Local LTA_Interregional Connectors_2</v>
      </c>
      <c r="N148" t="s">
        <v>841</v>
      </c>
    </row>
    <row r="149" spans="2:14">
      <c r="B149" s="31" t="str">
        <f t="shared" si="31"/>
        <v>Local LTA_Interregional Connectors_1_60</v>
      </c>
      <c r="C149" s="32" t="s">
        <v>595</v>
      </c>
      <c r="D149" s="31">
        <f t="shared" si="32"/>
        <v>1</v>
      </c>
      <c r="E149" s="31">
        <f t="shared" si="42"/>
        <v>60</v>
      </c>
      <c r="F149">
        <v>58</v>
      </c>
      <c r="G149">
        <f t="shared" si="26"/>
        <v>10</v>
      </c>
      <c r="H149">
        <v>1600</v>
      </c>
      <c r="J149">
        <v>3.5</v>
      </c>
      <c r="K149">
        <v>361</v>
      </c>
      <c r="L149" t="s">
        <v>145</v>
      </c>
      <c r="M149" t="str">
        <f t="shared" si="27"/>
        <v>Local LTA_Interregional Connectors_2</v>
      </c>
      <c r="N149" t="s">
        <v>841</v>
      </c>
    </row>
    <row r="150" spans="2:14">
      <c r="B150" s="31" t="str">
        <f t="shared" si="31"/>
        <v>Local LTA_Interregional Connectors_1_50</v>
      </c>
      <c r="C150" s="32" t="s">
        <v>595</v>
      </c>
      <c r="D150" s="31">
        <f t="shared" si="32"/>
        <v>1</v>
      </c>
      <c r="E150" s="31">
        <f t="shared" si="42"/>
        <v>50</v>
      </c>
      <c r="F150">
        <v>48</v>
      </c>
      <c r="G150">
        <f t="shared" si="26"/>
        <v>10</v>
      </c>
      <c r="H150">
        <v>1600</v>
      </c>
      <c r="J150">
        <v>3.5</v>
      </c>
      <c r="K150">
        <v>351</v>
      </c>
      <c r="L150" t="s">
        <v>146</v>
      </c>
      <c r="M150" t="str">
        <f t="shared" si="27"/>
        <v>Local LTA_Interregional Connectors_2</v>
      </c>
      <c r="N150" t="s">
        <v>841</v>
      </c>
    </row>
    <row r="151" spans="2:14">
      <c r="B151" s="31" t="str">
        <f t="shared" si="31"/>
        <v>Local LTA_Interregional Connectors_1_40</v>
      </c>
      <c r="C151" s="32" t="s">
        <v>595</v>
      </c>
      <c r="D151" s="31">
        <f t="shared" si="32"/>
        <v>1</v>
      </c>
      <c r="E151" s="31">
        <f t="shared" si="42"/>
        <v>40</v>
      </c>
      <c r="F151">
        <v>38</v>
      </c>
      <c r="G151">
        <f t="shared" si="26"/>
        <v>10</v>
      </c>
      <c r="H151">
        <v>1600</v>
      </c>
      <c r="J151">
        <v>3.5</v>
      </c>
      <c r="K151">
        <v>341</v>
      </c>
      <c r="L151" t="s">
        <v>147</v>
      </c>
      <c r="M151" t="str">
        <f t="shared" si="27"/>
        <v>Local LTA_Interregional Connectors_2</v>
      </c>
      <c r="N151" t="s">
        <v>841</v>
      </c>
    </row>
    <row r="152" spans="2:14">
      <c r="B152" s="31" t="str">
        <f t="shared" si="31"/>
        <v>Local LTA_Interregional Connectors_2_100</v>
      </c>
      <c r="C152" s="32" t="s">
        <v>595</v>
      </c>
      <c r="D152" s="31">
        <f t="shared" si="32"/>
        <v>2</v>
      </c>
      <c r="E152" s="31">
        <f t="shared" si="42"/>
        <v>100</v>
      </c>
      <c r="F152">
        <v>102</v>
      </c>
      <c r="G152">
        <f t="shared" si="26"/>
        <v>10</v>
      </c>
      <c r="H152">
        <v>4200</v>
      </c>
      <c r="J152">
        <v>7</v>
      </c>
      <c r="K152">
        <v>312</v>
      </c>
      <c r="L152" t="s">
        <v>148</v>
      </c>
      <c r="M152" t="str">
        <f t="shared" si="27"/>
        <v>Local LTA_Interregional Connectors_4</v>
      </c>
      <c r="N152" t="s">
        <v>841</v>
      </c>
    </row>
    <row r="153" spans="2:14">
      <c r="B153" s="31" t="str">
        <f t="shared" si="31"/>
        <v>Local LTA_Interregional Connectors_2_80</v>
      </c>
      <c r="C153" s="32" t="s">
        <v>595</v>
      </c>
      <c r="D153" s="31">
        <f t="shared" si="32"/>
        <v>2</v>
      </c>
      <c r="E153" s="31">
        <f t="shared" si="42"/>
        <v>80</v>
      </c>
      <c r="F153">
        <v>82</v>
      </c>
      <c r="G153">
        <f t="shared" si="26"/>
        <v>10</v>
      </c>
      <c r="H153">
        <v>3800</v>
      </c>
      <c r="J153">
        <v>4.5</v>
      </c>
      <c r="K153">
        <v>382</v>
      </c>
      <c r="L153" t="s">
        <v>149</v>
      </c>
      <c r="M153" t="str">
        <f t="shared" si="27"/>
        <v>Local LTA_Interregional Connectors_4</v>
      </c>
      <c r="N153" t="s">
        <v>841</v>
      </c>
    </row>
    <row r="154" spans="2:14">
      <c r="B154" s="31" t="str">
        <f t="shared" si="31"/>
        <v>Local LTA_Interregional Connectors_2_70</v>
      </c>
      <c r="C154" s="32" t="s">
        <v>595</v>
      </c>
      <c r="D154" s="31">
        <f t="shared" si="32"/>
        <v>2</v>
      </c>
      <c r="E154" s="31">
        <f t="shared" si="42"/>
        <v>70</v>
      </c>
      <c r="F154">
        <v>72</v>
      </c>
      <c r="G154">
        <f t="shared" ref="G154:G257" si="43">G$8</f>
        <v>10</v>
      </c>
      <c r="H154">
        <v>3400</v>
      </c>
      <c r="J154">
        <v>3.5</v>
      </c>
      <c r="K154">
        <v>372</v>
      </c>
      <c r="L154" t="s">
        <v>150</v>
      </c>
      <c r="M154" t="str">
        <f t="shared" ref="M154:M248" si="44">C154&amp;"_"&amp;D154*2</f>
        <v>Local LTA_Interregional Connectors_4</v>
      </c>
      <c r="N154" t="s">
        <v>841</v>
      </c>
    </row>
    <row r="155" spans="2:14">
      <c r="B155" s="31" t="str">
        <f t="shared" si="31"/>
        <v>Local LTA_Interregional Connectors_2_60</v>
      </c>
      <c r="C155" s="32" t="s">
        <v>595</v>
      </c>
      <c r="D155" s="31">
        <f t="shared" si="32"/>
        <v>2</v>
      </c>
      <c r="E155" s="31">
        <f t="shared" si="42"/>
        <v>60</v>
      </c>
      <c r="F155">
        <v>62</v>
      </c>
      <c r="G155">
        <f t="shared" si="43"/>
        <v>10</v>
      </c>
      <c r="H155">
        <v>3400</v>
      </c>
      <c r="J155">
        <v>3.5</v>
      </c>
      <c r="K155">
        <v>362</v>
      </c>
      <c r="L155" t="s">
        <v>151</v>
      </c>
      <c r="M155" t="str">
        <f t="shared" si="44"/>
        <v>Local LTA_Interregional Connectors_4</v>
      </c>
      <c r="N155" t="s">
        <v>841</v>
      </c>
    </row>
    <row r="156" spans="2:14">
      <c r="B156" s="31" t="str">
        <f t="shared" si="31"/>
        <v>Local LTA_Interregional Connectors_2_50</v>
      </c>
      <c r="C156" s="32" t="s">
        <v>595</v>
      </c>
      <c r="D156" s="31">
        <f t="shared" si="32"/>
        <v>2</v>
      </c>
      <c r="E156" s="31">
        <f t="shared" si="42"/>
        <v>50</v>
      </c>
      <c r="F156">
        <v>52</v>
      </c>
      <c r="G156">
        <f t="shared" si="43"/>
        <v>10</v>
      </c>
      <c r="H156">
        <v>3400</v>
      </c>
      <c r="J156">
        <v>3.5</v>
      </c>
      <c r="K156">
        <v>352</v>
      </c>
      <c r="L156" t="s">
        <v>152</v>
      </c>
      <c r="M156" t="str">
        <f t="shared" si="44"/>
        <v>Local LTA_Interregional Connectors_4</v>
      </c>
      <c r="N156" t="s">
        <v>841</v>
      </c>
    </row>
    <row r="157" spans="2:14">
      <c r="B157" s="31" t="str">
        <f t="shared" si="31"/>
        <v>Local LTA_Interregional Connectors_2_40</v>
      </c>
      <c r="C157" s="32" t="s">
        <v>595</v>
      </c>
      <c r="D157" s="31">
        <f t="shared" si="32"/>
        <v>2</v>
      </c>
      <c r="E157" s="31">
        <f t="shared" si="42"/>
        <v>40</v>
      </c>
      <c r="F157">
        <v>42</v>
      </c>
      <c r="G157">
        <f t="shared" si="43"/>
        <v>10</v>
      </c>
      <c r="H157">
        <v>3400</v>
      </c>
      <c r="J157">
        <v>3.5</v>
      </c>
      <c r="K157">
        <v>342</v>
      </c>
      <c r="L157" t="s">
        <v>153</v>
      </c>
      <c r="M157" t="str">
        <f t="shared" si="44"/>
        <v>Local LTA_Interregional Connectors_4</v>
      </c>
      <c r="N157" t="s">
        <v>841</v>
      </c>
    </row>
    <row r="158" spans="2:14">
      <c r="B158" s="31" t="str">
        <f t="shared" si="31"/>
        <v>Local LTA_Interregional Connectors_3_100</v>
      </c>
      <c r="C158" s="32" t="s">
        <v>595</v>
      </c>
      <c r="D158" s="31">
        <f t="shared" si="32"/>
        <v>3</v>
      </c>
      <c r="E158" s="31">
        <f t="shared" si="42"/>
        <v>100</v>
      </c>
      <c r="F158">
        <v>102</v>
      </c>
      <c r="G158">
        <f t="shared" si="43"/>
        <v>10</v>
      </c>
      <c r="H158">
        <v>6300</v>
      </c>
      <c r="J158">
        <v>7</v>
      </c>
      <c r="K158">
        <v>313</v>
      </c>
      <c r="L158" t="s">
        <v>154</v>
      </c>
      <c r="M158" t="str">
        <f t="shared" si="44"/>
        <v>Local LTA_Interregional Connectors_6</v>
      </c>
      <c r="N158" t="s">
        <v>841</v>
      </c>
    </row>
    <row r="159" spans="2:14">
      <c r="B159" s="31" t="str">
        <f t="shared" si="31"/>
        <v>Local LTA_Interregional Connectors_3_80</v>
      </c>
      <c r="C159" s="32" t="s">
        <v>595</v>
      </c>
      <c r="D159" s="31">
        <f t="shared" si="32"/>
        <v>3</v>
      </c>
      <c r="E159" s="31">
        <f t="shared" si="42"/>
        <v>80</v>
      </c>
      <c r="F159">
        <v>82</v>
      </c>
      <c r="G159">
        <f t="shared" si="43"/>
        <v>10</v>
      </c>
      <c r="H159">
        <v>5700</v>
      </c>
      <c r="J159">
        <v>4.5</v>
      </c>
      <c r="K159">
        <v>383</v>
      </c>
      <c r="L159" t="s">
        <v>155</v>
      </c>
      <c r="M159" t="str">
        <f t="shared" si="44"/>
        <v>Local LTA_Interregional Connectors_6</v>
      </c>
      <c r="N159" t="s">
        <v>841</v>
      </c>
    </row>
    <row r="160" spans="2:14">
      <c r="B160" s="31" t="str">
        <f t="shared" si="31"/>
        <v>Local LTA_Interregional Connectors_3_70</v>
      </c>
      <c r="C160" s="32" t="s">
        <v>595</v>
      </c>
      <c r="D160" s="31">
        <f t="shared" si="32"/>
        <v>3</v>
      </c>
      <c r="E160" s="31">
        <f t="shared" si="42"/>
        <v>70</v>
      </c>
      <c r="F160">
        <v>72</v>
      </c>
      <c r="G160">
        <f t="shared" si="43"/>
        <v>10</v>
      </c>
      <c r="H160">
        <v>5100</v>
      </c>
      <c r="J160">
        <v>3.5</v>
      </c>
      <c r="K160">
        <v>373</v>
      </c>
      <c r="L160" t="s">
        <v>156</v>
      </c>
      <c r="M160" t="str">
        <f t="shared" si="44"/>
        <v>Local LTA_Interregional Connectors_6</v>
      </c>
      <c r="N160" t="s">
        <v>841</v>
      </c>
    </row>
    <row r="161" spans="2:14">
      <c r="B161" s="31" t="str">
        <f t="shared" si="31"/>
        <v>Local LTA_Interregional Connectors_3_60</v>
      </c>
      <c r="C161" s="32" t="s">
        <v>595</v>
      </c>
      <c r="D161" s="31">
        <f t="shared" si="32"/>
        <v>3</v>
      </c>
      <c r="E161" s="31">
        <f t="shared" si="42"/>
        <v>60</v>
      </c>
      <c r="F161">
        <v>62</v>
      </c>
      <c r="G161">
        <f t="shared" si="43"/>
        <v>10</v>
      </c>
      <c r="H161">
        <v>5100</v>
      </c>
      <c r="J161">
        <v>3.5</v>
      </c>
      <c r="K161">
        <v>363</v>
      </c>
      <c r="L161" t="s">
        <v>157</v>
      </c>
      <c r="M161" t="str">
        <f t="shared" si="44"/>
        <v>Local LTA_Interregional Connectors_6</v>
      </c>
      <c r="N161" t="s">
        <v>841</v>
      </c>
    </row>
    <row r="162" spans="2:14">
      <c r="B162" s="31" t="str">
        <f t="shared" si="31"/>
        <v>Local LTA_Interregional Connectors_3_50</v>
      </c>
      <c r="C162" s="32" t="s">
        <v>595</v>
      </c>
      <c r="D162" s="31">
        <f t="shared" si="32"/>
        <v>3</v>
      </c>
      <c r="E162" s="31">
        <f t="shared" si="42"/>
        <v>50</v>
      </c>
      <c r="F162">
        <v>52</v>
      </c>
      <c r="G162">
        <f t="shared" si="43"/>
        <v>10</v>
      </c>
      <c r="H162">
        <v>5100</v>
      </c>
      <c r="J162">
        <v>3.5</v>
      </c>
      <c r="K162">
        <v>353</v>
      </c>
      <c r="L162" t="s">
        <v>158</v>
      </c>
      <c r="M162" t="str">
        <f t="shared" si="44"/>
        <v>Local LTA_Interregional Connectors_6</v>
      </c>
      <c r="N162" t="s">
        <v>841</v>
      </c>
    </row>
    <row r="163" spans="2:14">
      <c r="B163" s="31" t="str">
        <f t="shared" si="31"/>
        <v>Local LTA_Interregional Connectors_4_100</v>
      </c>
      <c r="C163" s="32" t="s">
        <v>595</v>
      </c>
      <c r="D163" s="31">
        <f t="shared" si="32"/>
        <v>4</v>
      </c>
      <c r="E163" s="31">
        <f t="shared" si="42"/>
        <v>100</v>
      </c>
      <c r="F163">
        <v>102</v>
      </c>
      <c r="G163">
        <f t="shared" si="43"/>
        <v>10</v>
      </c>
      <c r="H163">
        <v>8400</v>
      </c>
      <c r="J163">
        <v>7</v>
      </c>
      <c r="K163">
        <v>314</v>
      </c>
      <c r="L163" t="s">
        <v>159</v>
      </c>
      <c r="M163" t="str">
        <f t="shared" si="44"/>
        <v>Local LTA_Interregional Connectors_8</v>
      </c>
      <c r="N163" t="s">
        <v>841</v>
      </c>
    </row>
    <row r="164" spans="2:14">
      <c r="B164" s="31" t="str">
        <f t="shared" si="31"/>
        <v>Local LTA_Interregional Connectors_4_80</v>
      </c>
      <c r="C164" s="32" t="s">
        <v>595</v>
      </c>
      <c r="D164" s="31">
        <f t="shared" si="32"/>
        <v>4</v>
      </c>
      <c r="E164" s="31">
        <f t="shared" si="42"/>
        <v>80</v>
      </c>
      <c r="F164">
        <v>82</v>
      </c>
      <c r="G164">
        <f t="shared" si="43"/>
        <v>10</v>
      </c>
      <c r="H164">
        <v>7600</v>
      </c>
      <c r="J164">
        <v>4.5</v>
      </c>
      <c r="K164">
        <v>384</v>
      </c>
      <c r="L164" t="s">
        <v>160</v>
      </c>
      <c r="M164" t="str">
        <f t="shared" si="44"/>
        <v>Local LTA_Interregional Connectors_8</v>
      </c>
      <c r="N164" t="s">
        <v>841</v>
      </c>
    </row>
    <row r="165" spans="2:14">
      <c r="B165" s="31" t="str">
        <f t="shared" si="31"/>
        <v>Local LTA_Interregional Connectors_4_70</v>
      </c>
      <c r="C165" s="32" t="s">
        <v>595</v>
      </c>
      <c r="D165" s="31">
        <f t="shared" si="32"/>
        <v>4</v>
      </c>
      <c r="E165" s="31">
        <f t="shared" si="42"/>
        <v>70</v>
      </c>
      <c r="F165">
        <v>72</v>
      </c>
      <c r="G165">
        <f t="shared" si="43"/>
        <v>10</v>
      </c>
      <c r="H165">
        <v>6800</v>
      </c>
      <c r="J165">
        <v>3.5</v>
      </c>
      <c r="K165">
        <v>374</v>
      </c>
      <c r="L165" t="s">
        <v>161</v>
      </c>
      <c r="M165" t="str">
        <f t="shared" si="44"/>
        <v>Local LTA_Interregional Connectors_8</v>
      </c>
      <c r="N165" t="s">
        <v>841</v>
      </c>
    </row>
    <row r="166" spans="2:14">
      <c r="B166" s="31" t="str">
        <f t="shared" si="31"/>
        <v>Local LTA_Interregional Connectors_4_60</v>
      </c>
      <c r="C166" s="32" t="s">
        <v>595</v>
      </c>
      <c r="D166" s="31">
        <f t="shared" si="32"/>
        <v>4</v>
      </c>
      <c r="E166" s="31">
        <f t="shared" si="42"/>
        <v>60</v>
      </c>
      <c r="F166">
        <v>62</v>
      </c>
      <c r="G166">
        <f t="shared" si="43"/>
        <v>10</v>
      </c>
      <c r="H166">
        <v>6800</v>
      </c>
      <c r="J166">
        <v>3.5</v>
      </c>
      <c r="K166">
        <v>364</v>
      </c>
      <c r="L166" t="s">
        <v>162</v>
      </c>
      <c r="M166" t="str">
        <f t="shared" si="44"/>
        <v>Local LTA_Interregional Connectors_8</v>
      </c>
      <c r="N166" t="s">
        <v>841</v>
      </c>
    </row>
    <row r="167" spans="2:14">
      <c r="B167" s="31" t="str">
        <f t="shared" si="31"/>
        <v>Local LTA_Interregional Connectors_4_50</v>
      </c>
      <c r="C167" s="32" t="s">
        <v>595</v>
      </c>
      <c r="D167" s="31">
        <f t="shared" si="32"/>
        <v>4</v>
      </c>
      <c r="E167" s="31">
        <f t="shared" si="42"/>
        <v>50</v>
      </c>
      <c r="F167">
        <v>52</v>
      </c>
      <c r="G167">
        <f t="shared" si="43"/>
        <v>10</v>
      </c>
      <c r="H167">
        <v>6800</v>
      </c>
      <c r="J167">
        <v>3.5</v>
      </c>
      <c r="K167">
        <v>354</v>
      </c>
      <c r="L167" t="s">
        <v>163</v>
      </c>
      <c r="M167" t="str">
        <f t="shared" si="44"/>
        <v>Local LTA_Interregional Connectors_8</v>
      </c>
      <c r="N167" t="s">
        <v>841</v>
      </c>
    </row>
    <row r="168" spans="2:14">
      <c r="B168" s="31" t="str">
        <f t="shared" ref="B168:B176" si="45">C168&amp;"_"&amp;D168&amp;"_"&amp;E168</f>
        <v>Local LTA_City Hubs_1_100</v>
      </c>
      <c r="C168" s="32" t="s">
        <v>596</v>
      </c>
      <c r="D168" s="31">
        <f t="shared" ref="D168:D176" si="46">VALUE(RIGHT(K168,1))</f>
        <v>1</v>
      </c>
      <c r="E168" s="31">
        <f t="shared" si="42"/>
        <v>100</v>
      </c>
      <c r="F168">
        <v>98</v>
      </c>
      <c r="G168">
        <f t="shared" si="43"/>
        <v>10</v>
      </c>
      <c r="H168">
        <v>1200</v>
      </c>
      <c r="J168">
        <v>3.5</v>
      </c>
      <c r="K168">
        <v>611</v>
      </c>
      <c r="L168" t="s">
        <v>216</v>
      </c>
      <c r="M168" t="str">
        <f t="shared" si="44"/>
        <v>Local LTA_City Hubs_2</v>
      </c>
      <c r="N168" t="s">
        <v>841</v>
      </c>
    </row>
    <row r="169" spans="2:14">
      <c r="B169" s="31" t="str">
        <f t="shared" si="45"/>
        <v>Local LTA_City Hubs_1_90</v>
      </c>
      <c r="C169" s="32" t="s">
        <v>596</v>
      </c>
      <c r="D169" s="31">
        <f t="shared" si="46"/>
        <v>1</v>
      </c>
      <c r="E169" s="31">
        <f t="shared" si="42"/>
        <v>90</v>
      </c>
      <c r="F169">
        <v>88</v>
      </c>
      <c r="G169">
        <f t="shared" si="43"/>
        <v>10</v>
      </c>
      <c r="H169">
        <v>1200</v>
      </c>
      <c r="J169">
        <v>3.5</v>
      </c>
      <c r="K169">
        <v>691</v>
      </c>
      <c r="L169" t="s">
        <v>217</v>
      </c>
      <c r="M169" t="str">
        <f t="shared" si="44"/>
        <v>Local LTA_City Hubs_2</v>
      </c>
      <c r="N169" t="s">
        <v>841</v>
      </c>
    </row>
    <row r="170" spans="2:14">
      <c r="B170" s="31" t="str">
        <f t="shared" si="45"/>
        <v>Local LTA_City Hubs_1_80</v>
      </c>
      <c r="C170" s="32" t="s">
        <v>596</v>
      </c>
      <c r="D170" s="31">
        <f t="shared" si="46"/>
        <v>1</v>
      </c>
      <c r="E170" s="31">
        <f t="shared" si="42"/>
        <v>80</v>
      </c>
      <c r="F170">
        <v>78</v>
      </c>
      <c r="G170">
        <f t="shared" si="43"/>
        <v>10</v>
      </c>
      <c r="H170">
        <v>1200</v>
      </c>
      <c r="J170">
        <v>3.5</v>
      </c>
      <c r="K170">
        <v>681</v>
      </c>
      <c r="L170" t="s">
        <v>218</v>
      </c>
      <c r="M170" t="str">
        <f t="shared" si="44"/>
        <v>Local LTA_City Hubs_2</v>
      </c>
      <c r="N170" t="s">
        <v>841</v>
      </c>
    </row>
    <row r="171" spans="2:14">
      <c r="B171" s="31" t="str">
        <f t="shared" si="45"/>
        <v>Local LTA_City Hubs_1_70</v>
      </c>
      <c r="C171" s="32" t="s">
        <v>596</v>
      </c>
      <c r="D171" s="31">
        <f t="shared" si="46"/>
        <v>1</v>
      </c>
      <c r="E171" s="31">
        <f t="shared" si="42"/>
        <v>70</v>
      </c>
      <c r="F171">
        <v>68</v>
      </c>
      <c r="G171">
        <f t="shared" si="43"/>
        <v>10</v>
      </c>
      <c r="H171">
        <v>1200</v>
      </c>
      <c r="J171">
        <v>3.5</v>
      </c>
      <c r="K171">
        <v>671</v>
      </c>
      <c r="L171" t="s">
        <v>219</v>
      </c>
      <c r="M171" t="str">
        <f t="shared" si="44"/>
        <v>Local LTA_City Hubs_2</v>
      </c>
      <c r="N171" t="s">
        <v>841</v>
      </c>
    </row>
    <row r="172" spans="2:14">
      <c r="B172" s="31" t="str">
        <f t="shared" si="45"/>
        <v>Local LTA_City Hubs_1_60</v>
      </c>
      <c r="C172" s="32" t="s">
        <v>596</v>
      </c>
      <c r="D172" s="31">
        <f t="shared" si="46"/>
        <v>1</v>
      </c>
      <c r="E172" s="31">
        <f t="shared" si="42"/>
        <v>60</v>
      </c>
      <c r="F172">
        <v>58</v>
      </c>
      <c r="G172">
        <f t="shared" si="43"/>
        <v>10</v>
      </c>
      <c r="H172">
        <v>1600</v>
      </c>
      <c r="J172">
        <v>3.5</v>
      </c>
      <c r="K172">
        <v>661</v>
      </c>
      <c r="L172" t="s">
        <v>220</v>
      </c>
      <c r="M172" t="str">
        <f t="shared" si="44"/>
        <v>Local LTA_City Hubs_2</v>
      </c>
      <c r="N172" t="s">
        <v>841</v>
      </c>
    </row>
    <row r="173" spans="2:14">
      <c r="B173" s="31" t="str">
        <f t="shared" si="45"/>
        <v>Local LTA_City Hubs_1_50</v>
      </c>
      <c r="C173" s="32" t="s">
        <v>596</v>
      </c>
      <c r="D173" s="31">
        <f t="shared" si="46"/>
        <v>1</v>
      </c>
      <c r="E173" s="31">
        <v>50</v>
      </c>
      <c r="F173">
        <v>44</v>
      </c>
      <c r="G173">
        <f t="shared" si="43"/>
        <v>10</v>
      </c>
      <c r="H173">
        <v>1400</v>
      </c>
      <c r="J173">
        <v>2.5</v>
      </c>
      <c r="K173">
        <v>651</v>
      </c>
      <c r="L173" t="s">
        <v>221</v>
      </c>
      <c r="M173" t="str">
        <f t="shared" si="44"/>
        <v>Local LTA_City Hubs_2</v>
      </c>
      <c r="N173" t="s">
        <v>841</v>
      </c>
    </row>
    <row r="174" spans="2:14">
      <c r="B174" s="31" t="str">
        <f t="shared" si="45"/>
        <v>Local LTA_City Hubs_1_40</v>
      </c>
      <c r="C174" s="32" t="s">
        <v>596</v>
      </c>
      <c r="D174" s="31">
        <f t="shared" si="46"/>
        <v>1</v>
      </c>
      <c r="E174" s="31">
        <f t="shared" si="42"/>
        <v>40</v>
      </c>
      <c r="F174">
        <v>38</v>
      </c>
      <c r="G174">
        <f t="shared" si="43"/>
        <v>10</v>
      </c>
      <c r="H174">
        <v>1200</v>
      </c>
      <c r="J174">
        <v>2</v>
      </c>
      <c r="K174">
        <v>641</v>
      </c>
      <c r="L174" t="s">
        <v>222</v>
      </c>
      <c r="M174" t="str">
        <f t="shared" si="44"/>
        <v>Local LTA_City Hubs_2</v>
      </c>
      <c r="N174" t="s">
        <v>841</v>
      </c>
    </row>
    <row r="175" spans="2:14">
      <c r="B175" s="31" t="str">
        <f t="shared" si="45"/>
        <v>Local LTA_City Hubs_1_30</v>
      </c>
      <c r="C175" s="32" t="s">
        <v>596</v>
      </c>
      <c r="D175" s="31">
        <f t="shared" si="46"/>
        <v>1</v>
      </c>
      <c r="E175" s="31">
        <f t="shared" si="42"/>
        <v>30</v>
      </c>
      <c r="F175">
        <v>28</v>
      </c>
      <c r="G175">
        <f t="shared" si="43"/>
        <v>10</v>
      </c>
      <c r="H175">
        <v>800</v>
      </c>
      <c r="J175">
        <v>2</v>
      </c>
      <c r="K175">
        <v>631</v>
      </c>
      <c r="L175" t="s">
        <v>223</v>
      </c>
      <c r="M175" t="str">
        <f t="shared" si="44"/>
        <v>Local LTA_City Hubs_2</v>
      </c>
      <c r="N175" t="s">
        <v>841</v>
      </c>
    </row>
    <row r="176" spans="2:14">
      <c r="B176" s="31" t="str">
        <f t="shared" si="45"/>
        <v>Local LTA_City Hubs_1_20</v>
      </c>
      <c r="C176" s="32" t="s">
        <v>596</v>
      </c>
      <c r="D176" s="31">
        <f t="shared" si="46"/>
        <v>1</v>
      </c>
      <c r="E176" s="31">
        <f t="shared" si="42"/>
        <v>20</v>
      </c>
      <c r="F176">
        <v>18</v>
      </c>
      <c r="G176">
        <f t="shared" si="43"/>
        <v>10</v>
      </c>
      <c r="H176">
        <v>800</v>
      </c>
      <c r="J176">
        <v>2</v>
      </c>
      <c r="K176">
        <v>621</v>
      </c>
      <c r="L176" t="s">
        <v>224</v>
      </c>
      <c r="M176" t="str">
        <f t="shared" si="44"/>
        <v>Local LTA_City Hubs_2</v>
      </c>
      <c r="N176" t="s">
        <v>841</v>
      </c>
    </row>
    <row r="177" spans="2:13">
      <c r="B177" s="31" t="str">
        <f t="shared" ref="B177:B239" si="47">C177&amp;"_"&amp;D177&amp;"_"&amp;E177</f>
        <v>Local LTA_City Hubs_2_100</v>
      </c>
      <c r="C177" s="32" t="s">
        <v>596</v>
      </c>
      <c r="D177" s="31">
        <v>2</v>
      </c>
      <c r="E177" s="31">
        <f t="shared" ref="E177:E181" si="48">MROUND(F177,10)</f>
        <v>100</v>
      </c>
      <c r="F177">
        <v>98</v>
      </c>
      <c r="G177">
        <f t="shared" si="43"/>
        <v>10</v>
      </c>
      <c r="H177">
        <f>H168*2</f>
        <v>2400</v>
      </c>
      <c r="J177">
        <v>3.5</v>
      </c>
      <c r="K177">
        <v>611</v>
      </c>
      <c r="L177" t="s">
        <v>216</v>
      </c>
      <c r="M177" t="str">
        <f t="shared" ref="M177:M239" si="49">C177&amp;"_"&amp;D177*2</f>
        <v>Local LTA_City Hubs_4</v>
      </c>
    </row>
    <row r="178" spans="2:13">
      <c r="B178" s="31" t="str">
        <f t="shared" si="47"/>
        <v>Local LTA_City Hubs_2_90</v>
      </c>
      <c r="C178" s="32" t="s">
        <v>596</v>
      </c>
      <c r="D178" s="31">
        <v>2</v>
      </c>
      <c r="E178" s="31">
        <f t="shared" si="48"/>
        <v>90</v>
      </c>
      <c r="F178">
        <v>88</v>
      </c>
      <c r="G178">
        <f t="shared" si="43"/>
        <v>10</v>
      </c>
      <c r="H178">
        <f t="shared" ref="H178:H185" si="50">H169*2</f>
        <v>2400</v>
      </c>
      <c r="J178">
        <v>3.5</v>
      </c>
      <c r="K178">
        <v>691</v>
      </c>
      <c r="L178" t="s">
        <v>217</v>
      </c>
      <c r="M178" t="str">
        <f t="shared" si="49"/>
        <v>Local LTA_City Hubs_4</v>
      </c>
    </row>
    <row r="179" spans="2:13">
      <c r="B179" s="31" t="str">
        <f t="shared" si="47"/>
        <v>Local LTA_City Hubs_2_80</v>
      </c>
      <c r="C179" s="32" t="s">
        <v>596</v>
      </c>
      <c r="D179" s="31">
        <v>2</v>
      </c>
      <c r="E179" s="31">
        <f t="shared" si="48"/>
        <v>80</v>
      </c>
      <c r="F179">
        <v>78</v>
      </c>
      <c r="G179">
        <f t="shared" si="43"/>
        <v>10</v>
      </c>
      <c r="H179">
        <f t="shared" si="50"/>
        <v>2400</v>
      </c>
      <c r="J179">
        <v>3.5</v>
      </c>
      <c r="K179">
        <v>681</v>
      </c>
      <c r="L179" t="s">
        <v>218</v>
      </c>
      <c r="M179" t="str">
        <f t="shared" si="49"/>
        <v>Local LTA_City Hubs_4</v>
      </c>
    </row>
    <row r="180" spans="2:13">
      <c r="B180" s="31" t="str">
        <f t="shared" si="47"/>
        <v>Local LTA_City Hubs_2_70</v>
      </c>
      <c r="C180" s="32" t="s">
        <v>596</v>
      </c>
      <c r="D180" s="31">
        <v>2</v>
      </c>
      <c r="E180" s="31">
        <f t="shared" si="48"/>
        <v>70</v>
      </c>
      <c r="F180">
        <v>68</v>
      </c>
      <c r="G180">
        <f t="shared" si="43"/>
        <v>10</v>
      </c>
      <c r="H180">
        <f t="shared" si="50"/>
        <v>2400</v>
      </c>
      <c r="J180">
        <v>3.5</v>
      </c>
      <c r="K180">
        <v>671</v>
      </c>
      <c r="L180" t="s">
        <v>219</v>
      </c>
      <c r="M180" t="str">
        <f t="shared" si="49"/>
        <v>Local LTA_City Hubs_4</v>
      </c>
    </row>
    <row r="181" spans="2:13">
      <c r="B181" s="31" t="str">
        <f t="shared" si="47"/>
        <v>Local LTA_City Hubs_2_60</v>
      </c>
      <c r="C181" s="32" t="s">
        <v>596</v>
      </c>
      <c r="D181" s="31">
        <v>2</v>
      </c>
      <c r="E181" s="31">
        <f t="shared" si="48"/>
        <v>60</v>
      </c>
      <c r="F181">
        <v>58</v>
      </c>
      <c r="G181">
        <f t="shared" si="43"/>
        <v>10</v>
      </c>
      <c r="H181">
        <f t="shared" si="50"/>
        <v>3200</v>
      </c>
      <c r="J181">
        <v>3.5</v>
      </c>
      <c r="K181">
        <v>661</v>
      </c>
      <c r="L181" t="s">
        <v>220</v>
      </c>
      <c r="M181" t="str">
        <f t="shared" si="49"/>
        <v>Local LTA_City Hubs_4</v>
      </c>
    </row>
    <row r="182" spans="2:13">
      <c r="B182" s="31" t="str">
        <f t="shared" si="47"/>
        <v>Local LTA_City Hubs_2_50</v>
      </c>
      <c r="C182" s="32" t="s">
        <v>596</v>
      </c>
      <c r="D182" s="31">
        <v>2</v>
      </c>
      <c r="E182" s="31">
        <v>50</v>
      </c>
      <c r="F182">
        <v>44</v>
      </c>
      <c r="G182">
        <f t="shared" si="43"/>
        <v>10</v>
      </c>
      <c r="H182">
        <f t="shared" si="50"/>
        <v>2800</v>
      </c>
      <c r="J182">
        <v>2.5</v>
      </c>
      <c r="K182">
        <v>651</v>
      </c>
      <c r="L182" t="s">
        <v>221</v>
      </c>
      <c r="M182" t="str">
        <f t="shared" si="49"/>
        <v>Local LTA_City Hubs_4</v>
      </c>
    </row>
    <row r="183" spans="2:13">
      <c r="B183" s="31" t="str">
        <f t="shared" si="47"/>
        <v>Local LTA_City Hubs_2_40</v>
      </c>
      <c r="C183" s="32" t="s">
        <v>596</v>
      </c>
      <c r="D183" s="31">
        <v>2</v>
      </c>
      <c r="E183" s="31">
        <f t="shared" ref="E183:E239" si="51">MROUND(F183,10)</f>
        <v>40</v>
      </c>
      <c r="F183">
        <v>38</v>
      </c>
      <c r="G183">
        <f t="shared" si="43"/>
        <v>10</v>
      </c>
      <c r="H183">
        <f t="shared" si="50"/>
        <v>2400</v>
      </c>
      <c r="J183">
        <v>2</v>
      </c>
      <c r="K183">
        <v>641</v>
      </c>
      <c r="L183" t="s">
        <v>222</v>
      </c>
      <c r="M183" t="str">
        <f t="shared" si="49"/>
        <v>Local LTA_City Hubs_4</v>
      </c>
    </row>
    <row r="184" spans="2:13">
      <c r="B184" s="31" t="str">
        <f t="shared" si="47"/>
        <v>Local LTA_City Hubs_2_30</v>
      </c>
      <c r="C184" s="32" t="s">
        <v>596</v>
      </c>
      <c r="D184" s="31">
        <v>2</v>
      </c>
      <c r="E184" s="31">
        <f t="shared" si="51"/>
        <v>30</v>
      </c>
      <c r="F184">
        <v>28</v>
      </c>
      <c r="G184">
        <f t="shared" si="43"/>
        <v>10</v>
      </c>
      <c r="H184">
        <f t="shared" si="50"/>
        <v>1600</v>
      </c>
      <c r="J184">
        <v>2</v>
      </c>
      <c r="K184">
        <v>631</v>
      </c>
      <c r="L184" t="s">
        <v>223</v>
      </c>
      <c r="M184" t="str">
        <f t="shared" si="49"/>
        <v>Local LTA_City Hubs_4</v>
      </c>
    </row>
    <row r="185" spans="2:13">
      <c r="B185" s="31" t="str">
        <f t="shared" si="47"/>
        <v>Local LTA_City Hubs_2_20</v>
      </c>
      <c r="C185" s="32" t="s">
        <v>596</v>
      </c>
      <c r="D185" s="31">
        <v>2</v>
      </c>
      <c r="E185" s="31">
        <f t="shared" si="51"/>
        <v>20</v>
      </c>
      <c r="F185">
        <v>18</v>
      </c>
      <c r="G185">
        <f t="shared" si="43"/>
        <v>10</v>
      </c>
      <c r="H185">
        <f t="shared" si="50"/>
        <v>1600</v>
      </c>
      <c r="J185">
        <v>2</v>
      </c>
      <c r="K185">
        <v>621</v>
      </c>
      <c r="L185" t="s">
        <v>224</v>
      </c>
      <c r="M185" t="str">
        <f t="shared" si="49"/>
        <v>Local LTA_City Hubs_4</v>
      </c>
    </row>
    <row r="186" spans="2:13">
      <c r="B186" s="31" t="str">
        <f t="shared" ref="B186:B221" si="52">C186&amp;"_"&amp;D186&amp;"_"&amp;E186</f>
        <v>Local LTA_NA_1_100</v>
      </c>
      <c r="C186" s="32" t="s">
        <v>846</v>
      </c>
      <c r="D186" s="31">
        <f t="shared" ref="D186:D194" si="53">VALUE(RIGHT(K186,1))</f>
        <v>1</v>
      </c>
      <c r="E186" s="31">
        <f t="shared" ref="E186:E221" si="54">MROUND(F186,10)</f>
        <v>100</v>
      </c>
      <c r="F186">
        <v>98</v>
      </c>
      <c r="G186">
        <f t="shared" si="43"/>
        <v>10</v>
      </c>
      <c r="H186">
        <v>1200</v>
      </c>
      <c r="J186">
        <v>3.5</v>
      </c>
      <c r="K186">
        <v>611</v>
      </c>
      <c r="L186" t="s">
        <v>216</v>
      </c>
      <c r="M186" t="str">
        <f t="shared" ref="M186:M221" si="55">C186&amp;"_"&amp;D186*2</f>
        <v>Local LTA_NA_2</v>
      </c>
    </row>
    <row r="187" spans="2:13">
      <c r="B187" s="31" t="str">
        <f t="shared" si="52"/>
        <v>Local LTA_NA_1_90</v>
      </c>
      <c r="C187" s="32" t="s">
        <v>846</v>
      </c>
      <c r="D187" s="31">
        <f t="shared" si="53"/>
        <v>1</v>
      </c>
      <c r="E187" s="31">
        <f t="shared" si="54"/>
        <v>90</v>
      </c>
      <c r="F187">
        <v>88</v>
      </c>
      <c r="G187">
        <f t="shared" si="43"/>
        <v>10</v>
      </c>
      <c r="H187">
        <v>1200</v>
      </c>
      <c r="J187">
        <v>3.5</v>
      </c>
      <c r="K187">
        <v>691</v>
      </c>
      <c r="L187" t="s">
        <v>217</v>
      </c>
      <c r="M187" t="str">
        <f t="shared" si="55"/>
        <v>Local LTA_NA_2</v>
      </c>
    </row>
    <row r="188" spans="2:13">
      <c r="B188" s="31" t="str">
        <f t="shared" si="52"/>
        <v>Local LTA_NA_1_80</v>
      </c>
      <c r="C188" s="32" t="s">
        <v>846</v>
      </c>
      <c r="D188" s="31">
        <f t="shared" si="53"/>
        <v>1</v>
      </c>
      <c r="E188" s="31">
        <f t="shared" si="54"/>
        <v>80</v>
      </c>
      <c r="F188">
        <v>78</v>
      </c>
      <c r="G188">
        <f t="shared" si="43"/>
        <v>10</v>
      </c>
      <c r="H188">
        <v>1200</v>
      </c>
      <c r="J188">
        <v>3.5</v>
      </c>
      <c r="K188">
        <v>681</v>
      </c>
      <c r="L188" t="s">
        <v>218</v>
      </c>
      <c r="M188" t="str">
        <f t="shared" si="55"/>
        <v>Local LTA_NA_2</v>
      </c>
    </row>
    <row r="189" spans="2:13">
      <c r="B189" s="31" t="str">
        <f t="shared" si="52"/>
        <v>Local LTA_NA_1_70</v>
      </c>
      <c r="C189" s="32" t="s">
        <v>846</v>
      </c>
      <c r="D189" s="31">
        <f t="shared" si="53"/>
        <v>1</v>
      </c>
      <c r="E189" s="31">
        <f t="shared" si="54"/>
        <v>70</v>
      </c>
      <c r="F189">
        <v>68</v>
      </c>
      <c r="G189">
        <f t="shared" si="43"/>
        <v>10</v>
      </c>
      <c r="H189">
        <v>1200</v>
      </c>
      <c r="J189">
        <v>3.5</v>
      </c>
      <c r="K189">
        <v>671</v>
      </c>
      <c r="L189" t="s">
        <v>219</v>
      </c>
      <c r="M189" t="str">
        <f t="shared" si="55"/>
        <v>Local LTA_NA_2</v>
      </c>
    </row>
    <row r="190" spans="2:13">
      <c r="B190" s="31" t="str">
        <f t="shared" si="52"/>
        <v>Local LTA_NA_1_60</v>
      </c>
      <c r="C190" s="32" t="s">
        <v>846</v>
      </c>
      <c r="D190" s="31">
        <f t="shared" si="53"/>
        <v>1</v>
      </c>
      <c r="E190" s="31">
        <f t="shared" si="54"/>
        <v>60</v>
      </c>
      <c r="F190">
        <v>58</v>
      </c>
      <c r="G190">
        <f t="shared" si="43"/>
        <v>10</v>
      </c>
      <c r="H190">
        <v>1600</v>
      </c>
      <c r="J190">
        <v>3.5</v>
      </c>
      <c r="K190">
        <v>661</v>
      </c>
      <c r="L190" t="s">
        <v>220</v>
      </c>
      <c r="M190" t="str">
        <f t="shared" si="55"/>
        <v>Local LTA_NA_2</v>
      </c>
    </row>
    <row r="191" spans="2:13">
      <c r="B191" s="31" t="str">
        <f t="shared" si="52"/>
        <v>Local LTA_NA_1_50</v>
      </c>
      <c r="C191" s="32" t="s">
        <v>846</v>
      </c>
      <c r="D191" s="31">
        <f t="shared" si="53"/>
        <v>1</v>
      </c>
      <c r="E191" s="31">
        <f t="shared" si="54"/>
        <v>50</v>
      </c>
      <c r="F191">
        <v>45</v>
      </c>
      <c r="G191">
        <f t="shared" si="43"/>
        <v>10</v>
      </c>
      <c r="H191">
        <v>1400</v>
      </c>
      <c r="J191">
        <v>2.5</v>
      </c>
      <c r="K191">
        <v>651</v>
      </c>
      <c r="L191" t="s">
        <v>221</v>
      </c>
      <c r="M191" t="str">
        <f t="shared" si="55"/>
        <v>Local LTA_NA_2</v>
      </c>
    </row>
    <row r="192" spans="2:13">
      <c r="B192" s="31" t="str">
        <f t="shared" si="52"/>
        <v>Local LTA_NA_1_40</v>
      </c>
      <c r="C192" s="32" t="s">
        <v>846</v>
      </c>
      <c r="D192" s="31">
        <f t="shared" si="53"/>
        <v>1</v>
      </c>
      <c r="E192" s="31">
        <f t="shared" si="54"/>
        <v>40</v>
      </c>
      <c r="F192">
        <v>38</v>
      </c>
      <c r="G192">
        <f t="shared" si="43"/>
        <v>10</v>
      </c>
      <c r="H192">
        <v>1200</v>
      </c>
      <c r="J192">
        <v>2</v>
      </c>
      <c r="K192">
        <v>641</v>
      </c>
      <c r="L192" t="s">
        <v>222</v>
      </c>
      <c r="M192" t="str">
        <f t="shared" si="55"/>
        <v>Local LTA_NA_2</v>
      </c>
    </row>
    <row r="193" spans="2:13">
      <c r="B193" s="31" t="str">
        <f t="shared" si="52"/>
        <v>Local LTA_NA_1_30</v>
      </c>
      <c r="C193" s="32" t="s">
        <v>846</v>
      </c>
      <c r="D193" s="31">
        <f t="shared" si="53"/>
        <v>1</v>
      </c>
      <c r="E193" s="31">
        <f t="shared" si="54"/>
        <v>30</v>
      </c>
      <c r="F193">
        <v>28</v>
      </c>
      <c r="G193">
        <f t="shared" si="43"/>
        <v>10</v>
      </c>
      <c r="H193">
        <v>800</v>
      </c>
      <c r="J193">
        <v>2</v>
      </c>
      <c r="K193">
        <v>631</v>
      </c>
      <c r="L193" t="s">
        <v>223</v>
      </c>
      <c r="M193" t="str">
        <f t="shared" si="55"/>
        <v>Local LTA_NA_2</v>
      </c>
    </row>
    <row r="194" spans="2:13">
      <c r="B194" s="31" t="str">
        <f t="shared" si="52"/>
        <v>Local LTA_NA_1_20</v>
      </c>
      <c r="C194" s="32" t="s">
        <v>846</v>
      </c>
      <c r="D194" s="31">
        <f t="shared" si="53"/>
        <v>1</v>
      </c>
      <c r="E194" s="31">
        <f t="shared" si="54"/>
        <v>20</v>
      </c>
      <c r="F194">
        <v>18</v>
      </c>
      <c r="G194">
        <f t="shared" si="43"/>
        <v>10</v>
      </c>
      <c r="H194">
        <v>800</v>
      </c>
      <c r="J194">
        <v>2</v>
      </c>
      <c r="K194">
        <v>621</v>
      </c>
      <c r="L194" t="s">
        <v>224</v>
      </c>
      <c r="M194" t="str">
        <f t="shared" si="55"/>
        <v>Local LTA_NA_2</v>
      </c>
    </row>
    <row r="195" spans="2:13">
      <c r="B195" s="31" t="str">
        <f t="shared" si="52"/>
        <v>Local LTA_NA_2_100</v>
      </c>
      <c r="C195" s="32" t="s">
        <v>846</v>
      </c>
      <c r="D195" s="31">
        <v>2</v>
      </c>
      <c r="E195" s="31">
        <f t="shared" si="54"/>
        <v>100</v>
      </c>
      <c r="F195">
        <v>98</v>
      </c>
      <c r="G195">
        <f t="shared" si="43"/>
        <v>10</v>
      </c>
      <c r="H195">
        <f>H186*2</f>
        <v>2400</v>
      </c>
      <c r="J195">
        <v>3.5</v>
      </c>
      <c r="K195">
        <v>611</v>
      </c>
      <c r="L195" t="s">
        <v>216</v>
      </c>
      <c r="M195" t="str">
        <f t="shared" si="55"/>
        <v>Local LTA_NA_4</v>
      </c>
    </row>
    <row r="196" spans="2:13">
      <c r="B196" s="31" t="str">
        <f t="shared" si="52"/>
        <v>Local LTA_NA_2_90</v>
      </c>
      <c r="C196" s="32" t="s">
        <v>846</v>
      </c>
      <c r="D196" s="31">
        <v>2</v>
      </c>
      <c r="E196" s="31">
        <f t="shared" si="54"/>
        <v>90</v>
      </c>
      <c r="F196">
        <v>88</v>
      </c>
      <c r="G196">
        <f t="shared" si="43"/>
        <v>10</v>
      </c>
      <c r="H196">
        <f t="shared" ref="H196:H203" si="56">H187*2</f>
        <v>2400</v>
      </c>
      <c r="J196">
        <v>3.5</v>
      </c>
      <c r="K196">
        <v>691</v>
      </c>
      <c r="L196" t="s">
        <v>217</v>
      </c>
      <c r="M196" t="str">
        <f t="shared" si="55"/>
        <v>Local LTA_NA_4</v>
      </c>
    </row>
    <row r="197" spans="2:13">
      <c r="B197" s="31" t="str">
        <f t="shared" si="52"/>
        <v>Local LTA_NA_2_80</v>
      </c>
      <c r="C197" s="32" t="s">
        <v>846</v>
      </c>
      <c r="D197" s="31">
        <v>2</v>
      </c>
      <c r="E197" s="31">
        <f t="shared" si="54"/>
        <v>80</v>
      </c>
      <c r="F197">
        <v>78</v>
      </c>
      <c r="G197">
        <f t="shared" si="43"/>
        <v>10</v>
      </c>
      <c r="H197">
        <f t="shared" si="56"/>
        <v>2400</v>
      </c>
      <c r="J197">
        <v>3.5</v>
      </c>
      <c r="K197">
        <v>681</v>
      </c>
      <c r="L197" t="s">
        <v>218</v>
      </c>
      <c r="M197" t="str">
        <f t="shared" si="55"/>
        <v>Local LTA_NA_4</v>
      </c>
    </row>
    <row r="198" spans="2:13">
      <c r="B198" s="31" t="str">
        <f t="shared" si="52"/>
        <v>Local LTA_NA_2_70</v>
      </c>
      <c r="C198" s="32" t="s">
        <v>846</v>
      </c>
      <c r="D198" s="31">
        <v>2</v>
      </c>
      <c r="E198" s="31">
        <f t="shared" si="54"/>
        <v>70</v>
      </c>
      <c r="F198">
        <v>68</v>
      </c>
      <c r="G198">
        <f t="shared" si="43"/>
        <v>10</v>
      </c>
      <c r="H198">
        <f t="shared" si="56"/>
        <v>2400</v>
      </c>
      <c r="J198">
        <v>3.5</v>
      </c>
      <c r="K198">
        <v>671</v>
      </c>
      <c r="L198" t="s">
        <v>219</v>
      </c>
      <c r="M198" t="str">
        <f t="shared" si="55"/>
        <v>Local LTA_NA_4</v>
      </c>
    </row>
    <row r="199" spans="2:13">
      <c r="B199" s="31" t="str">
        <f t="shared" si="52"/>
        <v>Local LTA_NA_2_60</v>
      </c>
      <c r="C199" s="32" t="s">
        <v>846</v>
      </c>
      <c r="D199" s="31">
        <v>2</v>
      </c>
      <c r="E199" s="31">
        <f t="shared" si="54"/>
        <v>60</v>
      </c>
      <c r="F199">
        <v>58</v>
      </c>
      <c r="G199">
        <f t="shared" si="43"/>
        <v>10</v>
      </c>
      <c r="H199">
        <f t="shared" si="56"/>
        <v>3200</v>
      </c>
      <c r="J199">
        <v>3.5</v>
      </c>
      <c r="K199">
        <v>661</v>
      </c>
      <c r="L199" t="s">
        <v>220</v>
      </c>
      <c r="M199" t="str">
        <f t="shared" si="55"/>
        <v>Local LTA_NA_4</v>
      </c>
    </row>
    <row r="200" spans="2:13">
      <c r="B200" s="31" t="str">
        <f t="shared" si="52"/>
        <v>Local LTA_NA_2_50</v>
      </c>
      <c r="C200" s="32" t="s">
        <v>846</v>
      </c>
      <c r="D200" s="31">
        <v>2</v>
      </c>
      <c r="E200" s="31">
        <f t="shared" si="54"/>
        <v>50</v>
      </c>
      <c r="F200">
        <v>45</v>
      </c>
      <c r="G200">
        <f t="shared" si="43"/>
        <v>10</v>
      </c>
      <c r="H200">
        <f t="shared" si="56"/>
        <v>2800</v>
      </c>
      <c r="J200">
        <v>2.5</v>
      </c>
      <c r="K200">
        <v>651</v>
      </c>
      <c r="L200" t="s">
        <v>221</v>
      </c>
      <c r="M200" t="str">
        <f t="shared" si="55"/>
        <v>Local LTA_NA_4</v>
      </c>
    </row>
    <row r="201" spans="2:13">
      <c r="B201" s="31" t="str">
        <f t="shared" si="52"/>
        <v>Local LTA_NA_2_40</v>
      </c>
      <c r="C201" s="32" t="s">
        <v>846</v>
      </c>
      <c r="D201" s="31">
        <v>2</v>
      </c>
      <c r="E201" s="31">
        <f t="shared" si="54"/>
        <v>40</v>
      </c>
      <c r="F201">
        <v>38</v>
      </c>
      <c r="G201">
        <f t="shared" si="43"/>
        <v>10</v>
      </c>
      <c r="H201">
        <f t="shared" si="56"/>
        <v>2400</v>
      </c>
      <c r="J201">
        <v>2</v>
      </c>
      <c r="K201">
        <v>641</v>
      </c>
      <c r="L201" t="s">
        <v>222</v>
      </c>
      <c r="M201" t="str">
        <f t="shared" si="55"/>
        <v>Local LTA_NA_4</v>
      </c>
    </row>
    <row r="202" spans="2:13">
      <c r="B202" s="31" t="str">
        <f t="shared" si="52"/>
        <v>Local LTA_NA_2_30</v>
      </c>
      <c r="C202" s="32" t="s">
        <v>846</v>
      </c>
      <c r="D202" s="31">
        <v>2</v>
      </c>
      <c r="E202" s="31">
        <f t="shared" si="54"/>
        <v>30</v>
      </c>
      <c r="F202">
        <v>28</v>
      </c>
      <c r="G202">
        <f t="shared" si="43"/>
        <v>10</v>
      </c>
      <c r="H202">
        <f t="shared" si="56"/>
        <v>1600</v>
      </c>
      <c r="J202">
        <v>2</v>
      </c>
      <c r="K202">
        <v>631</v>
      </c>
      <c r="L202" t="s">
        <v>223</v>
      </c>
      <c r="M202" t="str">
        <f t="shared" si="55"/>
        <v>Local LTA_NA_4</v>
      </c>
    </row>
    <row r="203" spans="2:13">
      <c r="B203" s="31" t="str">
        <f t="shared" si="52"/>
        <v>Local LTA_NA_2_20</v>
      </c>
      <c r="C203" s="32" t="s">
        <v>846</v>
      </c>
      <c r="D203" s="31">
        <v>2</v>
      </c>
      <c r="E203" s="31">
        <f t="shared" si="54"/>
        <v>20</v>
      </c>
      <c r="F203">
        <v>18</v>
      </c>
      <c r="G203">
        <f t="shared" si="43"/>
        <v>10</v>
      </c>
      <c r="H203">
        <f t="shared" si="56"/>
        <v>1600</v>
      </c>
      <c r="J203">
        <v>2</v>
      </c>
      <c r="K203">
        <v>621</v>
      </c>
      <c r="L203" t="s">
        <v>224</v>
      </c>
      <c r="M203" t="str">
        <f t="shared" si="55"/>
        <v>Local LTA_NA_4</v>
      </c>
    </row>
    <row r="204" spans="2:13">
      <c r="B204" s="31" t="str">
        <f t="shared" si="52"/>
        <v>Local LTA_NA_3_100</v>
      </c>
      <c r="C204" s="32" t="s">
        <v>846</v>
      </c>
      <c r="D204" s="31">
        <v>3</v>
      </c>
      <c r="E204" s="31">
        <f t="shared" si="54"/>
        <v>100</v>
      </c>
      <c r="F204">
        <v>98</v>
      </c>
      <c r="G204">
        <f t="shared" si="43"/>
        <v>10</v>
      </c>
      <c r="H204">
        <f>H186*3</f>
        <v>3600</v>
      </c>
      <c r="J204">
        <v>3.5</v>
      </c>
      <c r="K204">
        <v>611</v>
      </c>
      <c r="L204" t="s">
        <v>216</v>
      </c>
      <c r="M204" t="str">
        <f t="shared" si="55"/>
        <v>Local LTA_NA_6</v>
      </c>
    </row>
    <row r="205" spans="2:13">
      <c r="B205" s="31" t="str">
        <f t="shared" si="52"/>
        <v>Local LTA_NA_3_90</v>
      </c>
      <c r="C205" s="32" t="s">
        <v>846</v>
      </c>
      <c r="D205" s="31">
        <v>3</v>
      </c>
      <c r="E205" s="31">
        <f t="shared" si="54"/>
        <v>90</v>
      </c>
      <c r="F205">
        <v>88</v>
      </c>
      <c r="G205">
        <f t="shared" si="43"/>
        <v>10</v>
      </c>
      <c r="H205">
        <f t="shared" ref="H205:H212" si="57">H187*3</f>
        <v>3600</v>
      </c>
      <c r="J205">
        <v>3.5</v>
      </c>
      <c r="K205">
        <v>691</v>
      </c>
      <c r="L205" t="s">
        <v>217</v>
      </c>
      <c r="M205" t="str">
        <f t="shared" si="55"/>
        <v>Local LTA_NA_6</v>
      </c>
    </row>
    <row r="206" spans="2:13">
      <c r="B206" s="31" t="str">
        <f t="shared" si="52"/>
        <v>Local LTA_NA_3_80</v>
      </c>
      <c r="C206" s="32" t="s">
        <v>846</v>
      </c>
      <c r="D206" s="31">
        <v>3</v>
      </c>
      <c r="E206" s="31">
        <f t="shared" si="54"/>
        <v>80</v>
      </c>
      <c r="F206">
        <v>78</v>
      </c>
      <c r="G206">
        <f t="shared" si="43"/>
        <v>10</v>
      </c>
      <c r="H206">
        <f t="shared" si="57"/>
        <v>3600</v>
      </c>
      <c r="J206">
        <v>3.5</v>
      </c>
      <c r="K206">
        <v>681</v>
      </c>
      <c r="L206" t="s">
        <v>218</v>
      </c>
      <c r="M206" t="str">
        <f t="shared" si="55"/>
        <v>Local LTA_NA_6</v>
      </c>
    </row>
    <row r="207" spans="2:13">
      <c r="B207" s="31" t="str">
        <f t="shared" si="52"/>
        <v>Local LTA_NA_3_70</v>
      </c>
      <c r="C207" s="32" t="s">
        <v>846</v>
      </c>
      <c r="D207" s="31">
        <v>3</v>
      </c>
      <c r="E207" s="31">
        <f t="shared" si="54"/>
        <v>70</v>
      </c>
      <c r="F207">
        <v>68</v>
      </c>
      <c r="G207">
        <f t="shared" si="43"/>
        <v>10</v>
      </c>
      <c r="H207">
        <f t="shared" si="57"/>
        <v>3600</v>
      </c>
      <c r="J207">
        <v>3.5</v>
      </c>
      <c r="K207">
        <v>671</v>
      </c>
      <c r="L207" t="s">
        <v>219</v>
      </c>
      <c r="M207" t="str">
        <f t="shared" si="55"/>
        <v>Local LTA_NA_6</v>
      </c>
    </row>
    <row r="208" spans="2:13">
      <c r="B208" s="31" t="str">
        <f t="shared" si="52"/>
        <v>Local LTA_NA_3_60</v>
      </c>
      <c r="C208" s="32" t="s">
        <v>846</v>
      </c>
      <c r="D208" s="31">
        <v>3</v>
      </c>
      <c r="E208" s="31">
        <f t="shared" si="54"/>
        <v>60</v>
      </c>
      <c r="F208">
        <v>58</v>
      </c>
      <c r="G208">
        <f t="shared" si="43"/>
        <v>10</v>
      </c>
      <c r="H208">
        <f t="shared" si="57"/>
        <v>4800</v>
      </c>
      <c r="J208">
        <v>3.5</v>
      </c>
      <c r="K208">
        <v>661</v>
      </c>
      <c r="L208" t="s">
        <v>220</v>
      </c>
      <c r="M208" t="str">
        <f t="shared" si="55"/>
        <v>Local LTA_NA_6</v>
      </c>
    </row>
    <row r="209" spans="1:13">
      <c r="B209" s="31" t="str">
        <f t="shared" si="52"/>
        <v>Local LTA_NA_3_50</v>
      </c>
      <c r="C209" s="32" t="s">
        <v>846</v>
      </c>
      <c r="D209" s="31">
        <v>3</v>
      </c>
      <c r="E209" s="31">
        <f t="shared" si="54"/>
        <v>50</v>
      </c>
      <c r="F209">
        <v>45</v>
      </c>
      <c r="G209">
        <f t="shared" si="43"/>
        <v>10</v>
      </c>
      <c r="H209">
        <f t="shared" si="57"/>
        <v>4200</v>
      </c>
      <c r="J209">
        <v>2.5</v>
      </c>
      <c r="K209">
        <v>651</v>
      </c>
      <c r="L209" t="s">
        <v>221</v>
      </c>
      <c r="M209" t="str">
        <f t="shared" si="55"/>
        <v>Local LTA_NA_6</v>
      </c>
    </row>
    <row r="210" spans="1:13">
      <c r="B210" s="31" t="str">
        <f t="shared" si="52"/>
        <v>Local LTA_NA_3_40</v>
      </c>
      <c r="C210" s="32" t="s">
        <v>846</v>
      </c>
      <c r="D210" s="31">
        <v>3</v>
      </c>
      <c r="E210" s="31">
        <f t="shared" si="54"/>
        <v>40</v>
      </c>
      <c r="F210">
        <v>38</v>
      </c>
      <c r="G210">
        <f t="shared" si="43"/>
        <v>10</v>
      </c>
      <c r="H210">
        <f t="shared" si="57"/>
        <v>3600</v>
      </c>
      <c r="J210">
        <v>2</v>
      </c>
      <c r="K210">
        <v>641</v>
      </c>
      <c r="L210" t="s">
        <v>222</v>
      </c>
      <c r="M210" t="str">
        <f t="shared" si="55"/>
        <v>Local LTA_NA_6</v>
      </c>
    </row>
    <row r="211" spans="1:13">
      <c r="B211" s="31" t="str">
        <f t="shared" si="52"/>
        <v>Local LTA_NA_3_30</v>
      </c>
      <c r="C211" s="32" t="s">
        <v>846</v>
      </c>
      <c r="D211" s="31">
        <v>3</v>
      </c>
      <c r="E211" s="31">
        <f t="shared" si="54"/>
        <v>30</v>
      </c>
      <c r="F211">
        <v>28</v>
      </c>
      <c r="G211">
        <f t="shared" si="43"/>
        <v>10</v>
      </c>
      <c r="H211">
        <f t="shared" si="57"/>
        <v>2400</v>
      </c>
      <c r="J211">
        <v>2</v>
      </c>
      <c r="K211">
        <v>631</v>
      </c>
      <c r="L211" t="s">
        <v>223</v>
      </c>
      <c r="M211" t="str">
        <f t="shared" si="55"/>
        <v>Local LTA_NA_6</v>
      </c>
    </row>
    <row r="212" spans="1:13">
      <c r="B212" s="31" t="str">
        <f t="shared" si="52"/>
        <v>Local LTA_NA_3_20</v>
      </c>
      <c r="C212" s="32" t="s">
        <v>846</v>
      </c>
      <c r="D212" s="31">
        <v>3</v>
      </c>
      <c r="E212" s="31">
        <f t="shared" si="54"/>
        <v>20</v>
      </c>
      <c r="F212">
        <v>18</v>
      </c>
      <c r="G212">
        <f t="shared" si="43"/>
        <v>10</v>
      </c>
      <c r="H212">
        <f t="shared" si="57"/>
        <v>2400</v>
      </c>
      <c r="J212">
        <v>2</v>
      </c>
      <c r="K212">
        <v>621</v>
      </c>
      <c r="L212" t="s">
        <v>224</v>
      </c>
      <c r="M212" t="str">
        <f t="shared" si="55"/>
        <v>Local LTA_NA_6</v>
      </c>
    </row>
    <row r="213" spans="1:13">
      <c r="B213" s="31" t="str">
        <f t="shared" si="52"/>
        <v>Local LTA_NA_4_100</v>
      </c>
      <c r="C213" s="32" t="s">
        <v>846</v>
      </c>
      <c r="D213" s="31">
        <v>4</v>
      </c>
      <c r="E213" s="31">
        <f t="shared" si="54"/>
        <v>100</v>
      </c>
      <c r="F213">
        <v>98</v>
      </c>
      <c r="G213">
        <f t="shared" si="43"/>
        <v>10</v>
      </c>
      <c r="H213">
        <f>H186*4</f>
        <v>4800</v>
      </c>
      <c r="J213">
        <v>3.5</v>
      </c>
      <c r="K213">
        <v>611</v>
      </c>
      <c r="L213" t="s">
        <v>216</v>
      </c>
      <c r="M213" t="str">
        <f t="shared" si="55"/>
        <v>Local LTA_NA_8</v>
      </c>
    </row>
    <row r="214" spans="1:13">
      <c r="B214" s="31" t="str">
        <f t="shared" si="52"/>
        <v>Local LTA_NA_4_90</v>
      </c>
      <c r="C214" s="32" t="s">
        <v>846</v>
      </c>
      <c r="D214" s="31">
        <v>4</v>
      </c>
      <c r="E214" s="31">
        <f t="shared" si="54"/>
        <v>90</v>
      </c>
      <c r="F214">
        <v>88</v>
      </c>
      <c r="G214">
        <f t="shared" si="43"/>
        <v>10</v>
      </c>
      <c r="H214">
        <f t="shared" ref="H214:H221" si="58">H187*4</f>
        <v>4800</v>
      </c>
      <c r="J214">
        <v>3.5</v>
      </c>
      <c r="K214">
        <v>691</v>
      </c>
      <c r="L214" t="s">
        <v>217</v>
      </c>
      <c r="M214" t="str">
        <f t="shared" si="55"/>
        <v>Local LTA_NA_8</v>
      </c>
    </row>
    <row r="215" spans="1:13">
      <c r="B215" s="31" t="str">
        <f t="shared" si="52"/>
        <v>Local LTA_NA_4_80</v>
      </c>
      <c r="C215" s="32" t="s">
        <v>846</v>
      </c>
      <c r="D215" s="31">
        <v>4</v>
      </c>
      <c r="E215" s="31">
        <f t="shared" si="54"/>
        <v>80</v>
      </c>
      <c r="F215">
        <v>78</v>
      </c>
      <c r="G215">
        <f t="shared" si="43"/>
        <v>10</v>
      </c>
      <c r="H215">
        <f t="shared" si="58"/>
        <v>4800</v>
      </c>
      <c r="J215">
        <v>3.5</v>
      </c>
      <c r="K215">
        <v>681</v>
      </c>
      <c r="L215" t="s">
        <v>218</v>
      </c>
      <c r="M215" t="str">
        <f t="shared" si="55"/>
        <v>Local LTA_NA_8</v>
      </c>
    </row>
    <row r="216" spans="1:13">
      <c r="B216" s="31" t="str">
        <f t="shared" si="52"/>
        <v>Local LTA_NA_4_70</v>
      </c>
      <c r="C216" s="32" t="s">
        <v>846</v>
      </c>
      <c r="D216" s="31">
        <v>4</v>
      </c>
      <c r="E216" s="31">
        <f t="shared" si="54"/>
        <v>70</v>
      </c>
      <c r="F216">
        <v>68</v>
      </c>
      <c r="G216">
        <f t="shared" si="43"/>
        <v>10</v>
      </c>
      <c r="H216">
        <f t="shared" si="58"/>
        <v>4800</v>
      </c>
      <c r="J216">
        <v>3.5</v>
      </c>
      <c r="K216">
        <v>671</v>
      </c>
      <c r="L216" t="s">
        <v>219</v>
      </c>
      <c r="M216" t="str">
        <f t="shared" si="55"/>
        <v>Local LTA_NA_8</v>
      </c>
    </row>
    <row r="217" spans="1:13">
      <c r="B217" s="31" t="str">
        <f t="shared" si="52"/>
        <v>Local LTA_NA_4_60</v>
      </c>
      <c r="C217" s="32" t="s">
        <v>846</v>
      </c>
      <c r="D217" s="31">
        <v>4</v>
      </c>
      <c r="E217" s="31">
        <f t="shared" si="54"/>
        <v>60</v>
      </c>
      <c r="F217">
        <v>58</v>
      </c>
      <c r="G217">
        <f t="shared" si="43"/>
        <v>10</v>
      </c>
      <c r="H217">
        <f t="shared" si="58"/>
        <v>6400</v>
      </c>
      <c r="J217">
        <v>3.5</v>
      </c>
      <c r="K217">
        <v>661</v>
      </c>
      <c r="L217" t="s">
        <v>220</v>
      </c>
      <c r="M217" t="str">
        <f t="shared" si="55"/>
        <v>Local LTA_NA_8</v>
      </c>
    </row>
    <row r="218" spans="1:13">
      <c r="B218" s="31" t="str">
        <f t="shared" si="52"/>
        <v>Local LTA_NA_4_50</v>
      </c>
      <c r="C218" s="32" t="s">
        <v>846</v>
      </c>
      <c r="D218" s="31">
        <v>4</v>
      </c>
      <c r="E218" s="31">
        <f t="shared" si="54"/>
        <v>50</v>
      </c>
      <c r="F218">
        <v>45</v>
      </c>
      <c r="G218">
        <f t="shared" si="43"/>
        <v>10</v>
      </c>
      <c r="H218">
        <f t="shared" si="58"/>
        <v>5600</v>
      </c>
      <c r="J218">
        <v>2.5</v>
      </c>
      <c r="K218">
        <v>651</v>
      </c>
      <c r="L218" t="s">
        <v>221</v>
      </c>
      <c r="M218" t="str">
        <f t="shared" si="55"/>
        <v>Local LTA_NA_8</v>
      </c>
    </row>
    <row r="219" spans="1:13">
      <c r="B219" s="31" t="str">
        <f t="shared" si="52"/>
        <v>Local LTA_NA_4_40</v>
      </c>
      <c r="C219" s="32" t="s">
        <v>846</v>
      </c>
      <c r="D219" s="31">
        <v>4</v>
      </c>
      <c r="E219" s="31">
        <f t="shared" si="54"/>
        <v>40</v>
      </c>
      <c r="F219">
        <v>38</v>
      </c>
      <c r="G219">
        <f t="shared" si="43"/>
        <v>10</v>
      </c>
      <c r="H219">
        <f t="shared" si="58"/>
        <v>4800</v>
      </c>
      <c r="J219">
        <v>2</v>
      </c>
      <c r="K219">
        <v>641</v>
      </c>
      <c r="L219" t="s">
        <v>222</v>
      </c>
      <c r="M219" t="str">
        <f t="shared" si="55"/>
        <v>Local LTA_NA_8</v>
      </c>
    </row>
    <row r="220" spans="1:13">
      <c r="B220" s="31" t="str">
        <f t="shared" si="52"/>
        <v>Local LTA_NA_4_30</v>
      </c>
      <c r="C220" s="32" t="s">
        <v>846</v>
      </c>
      <c r="D220" s="31">
        <v>4</v>
      </c>
      <c r="E220" s="31">
        <f t="shared" si="54"/>
        <v>30</v>
      </c>
      <c r="F220">
        <v>28</v>
      </c>
      <c r="G220">
        <f t="shared" si="43"/>
        <v>10</v>
      </c>
      <c r="H220">
        <f t="shared" si="58"/>
        <v>3200</v>
      </c>
      <c r="J220">
        <v>2</v>
      </c>
      <c r="K220">
        <v>631</v>
      </c>
      <c r="L220" t="s">
        <v>223</v>
      </c>
      <c r="M220" t="str">
        <f t="shared" si="55"/>
        <v>Local LTA_NA_8</v>
      </c>
    </row>
    <row r="221" spans="1:13">
      <c r="B221" s="31" t="str">
        <f t="shared" si="52"/>
        <v>Local LTA_NA_4_20</v>
      </c>
      <c r="C221" s="32" t="s">
        <v>846</v>
      </c>
      <c r="D221" s="31">
        <v>4</v>
      </c>
      <c r="E221" s="31">
        <f t="shared" si="54"/>
        <v>20</v>
      </c>
      <c r="F221">
        <v>18</v>
      </c>
      <c r="G221">
        <f t="shared" si="43"/>
        <v>10</v>
      </c>
      <c r="H221">
        <f t="shared" si="58"/>
        <v>3200</v>
      </c>
      <c r="J221">
        <v>2</v>
      </c>
      <c r="K221">
        <v>621</v>
      </c>
      <c r="L221" t="s">
        <v>224</v>
      </c>
      <c r="M221" t="str">
        <f t="shared" si="55"/>
        <v>Local LTA_NA_8</v>
      </c>
    </row>
    <row r="222" spans="1:13">
      <c r="A222" t="s">
        <v>297</v>
      </c>
      <c r="B222" s="31" t="str">
        <f t="shared" si="47"/>
        <v>NZTA_NA_1_100</v>
      </c>
      <c r="C222" s="32" t="s">
        <v>1114</v>
      </c>
      <c r="D222" s="31">
        <f t="shared" ref="D222:D230" si="59">VALUE(RIGHT(K222,1))</f>
        <v>1</v>
      </c>
      <c r="E222" s="31">
        <f t="shared" si="51"/>
        <v>100</v>
      </c>
      <c r="F222">
        <v>98</v>
      </c>
      <c r="G222">
        <f t="shared" si="43"/>
        <v>10</v>
      </c>
      <c r="H222">
        <v>1200</v>
      </c>
      <c r="J222">
        <v>3.5</v>
      </c>
      <c r="K222">
        <v>611</v>
      </c>
      <c r="L222" t="s">
        <v>216</v>
      </c>
      <c r="M222" t="str">
        <f t="shared" si="49"/>
        <v>NZTA_NA_2</v>
      </c>
    </row>
    <row r="223" spans="1:13">
      <c r="B223" s="31" t="str">
        <f t="shared" si="47"/>
        <v>NZTA_NA_1_90</v>
      </c>
      <c r="C223" s="32" t="s">
        <v>1114</v>
      </c>
      <c r="D223" s="31">
        <f t="shared" si="59"/>
        <v>1</v>
      </c>
      <c r="E223" s="31">
        <f t="shared" si="51"/>
        <v>90</v>
      </c>
      <c r="F223">
        <v>88</v>
      </c>
      <c r="G223">
        <f t="shared" si="43"/>
        <v>10</v>
      </c>
      <c r="H223">
        <v>1200</v>
      </c>
      <c r="J223">
        <v>3.5</v>
      </c>
      <c r="K223">
        <v>691</v>
      </c>
      <c r="L223" t="s">
        <v>217</v>
      </c>
      <c r="M223" t="str">
        <f t="shared" si="49"/>
        <v>NZTA_NA_2</v>
      </c>
    </row>
    <row r="224" spans="1:13">
      <c r="B224" s="31" t="str">
        <f t="shared" si="47"/>
        <v>NZTA_NA_1_80</v>
      </c>
      <c r="C224" s="32" t="s">
        <v>1114</v>
      </c>
      <c r="D224" s="31">
        <f t="shared" si="59"/>
        <v>1</v>
      </c>
      <c r="E224" s="31">
        <f t="shared" si="51"/>
        <v>80</v>
      </c>
      <c r="F224">
        <v>78</v>
      </c>
      <c r="G224">
        <f t="shared" si="43"/>
        <v>10</v>
      </c>
      <c r="H224">
        <v>1200</v>
      </c>
      <c r="J224">
        <v>3.5</v>
      </c>
      <c r="K224">
        <v>681</v>
      </c>
      <c r="L224" t="s">
        <v>218</v>
      </c>
      <c r="M224" t="str">
        <f t="shared" si="49"/>
        <v>NZTA_NA_2</v>
      </c>
    </row>
    <row r="225" spans="2:13">
      <c r="B225" s="31" t="str">
        <f t="shared" si="47"/>
        <v>NZTA_NA_1_70</v>
      </c>
      <c r="C225" s="32" t="s">
        <v>1114</v>
      </c>
      <c r="D225" s="31">
        <f t="shared" si="59"/>
        <v>1</v>
      </c>
      <c r="E225" s="31">
        <f t="shared" si="51"/>
        <v>70</v>
      </c>
      <c r="F225">
        <v>68</v>
      </c>
      <c r="G225">
        <f t="shared" si="43"/>
        <v>10</v>
      </c>
      <c r="H225">
        <v>1200</v>
      </c>
      <c r="J225">
        <v>3.5</v>
      </c>
      <c r="K225">
        <v>671</v>
      </c>
      <c r="L225" t="s">
        <v>219</v>
      </c>
      <c r="M225" t="str">
        <f t="shared" si="49"/>
        <v>NZTA_NA_2</v>
      </c>
    </row>
    <row r="226" spans="2:13">
      <c r="B226" s="31" t="str">
        <f t="shared" si="47"/>
        <v>NZTA_NA_1_60</v>
      </c>
      <c r="C226" s="32" t="s">
        <v>1114</v>
      </c>
      <c r="D226" s="31">
        <f t="shared" si="59"/>
        <v>1</v>
      </c>
      <c r="E226" s="31">
        <f t="shared" si="51"/>
        <v>60</v>
      </c>
      <c r="F226">
        <v>58</v>
      </c>
      <c r="G226">
        <f t="shared" si="43"/>
        <v>10</v>
      </c>
      <c r="H226">
        <v>1600</v>
      </c>
      <c r="J226">
        <v>3.5</v>
      </c>
      <c r="K226">
        <v>661</v>
      </c>
      <c r="L226" t="s">
        <v>220</v>
      </c>
      <c r="M226" t="str">
        <f t="shared" si="49"/>
        <v>NZTA_NA_2</v>
      </c>
    </row>
    <row r="227" spans="2:13">
      <c r="B227" s="31" t="str">
        <f t="shared" si="47"/>
        <v>NZTA_NA_1_50</v>
      </c>
      <c r="C227" s="32" t="s">
        <v>1114</v>
      </c>
      <c r="D227" s="31">
        <f t="shared" si="59"/>
        <v>1</v>
      </c>
      <c r="E227" s="31">
        <f t="shared" si="51"/>
        <v>50</v>
      </c>
      <c r="F227">
        <v>45</v>
      </c>
      <c r="G227">
        <f t="shared" si="43"/>
        <v>10</v>
      </c>
      <c r="H227">
        <v>1400</v>
      </c>
      <c r="J227">
        <v>2.5</v>
      </c>
      <c r="K227">
        <v>651</v>
      </c>
      <c r="L227" t="s">
        <v>221</v>
      </c>
      <c r="M227" t="str">
        <f t="shared" si="49"/>
        <v>NZTA_NA_2</v>
      </c>
    </row>
    <row r="228" spans="2:13">
      <c r="B228" s="31" t="str">
        <f t="shared" si="47"/>
        <v>NZTA_NA_1_40</v>
      </c>
      <c r="C228" s="32" t="s">
        <v>1114</v>
      </c>
      <c r="D228" s="31">
        <f t="shared" si="59"/>
        <v>1</v>
      </c>
      <c r="E228" s="31">
        <f t="shared" si="51"/>
        <v>40</v>
      </c>
      <c r="F228">
        <v>38</v>
      </c>
      <c r="G228">
        <f t="shared" si="43"/>
        <v>10</v>
      </c>
      <c r="H228">
        <v>1200</v>
      </c>
      <c r="J228">
        <v>2</v>
      </c>
      <c r="K228">
        <v>641</v>
      </c>
      <c r="L228" t="s">
        <v>222</v>
      </c>
      <c r="M228" t="str">
        <f t="shared" si="49"/>
        <v>NZTA_NA_2</v>
      </c>
    </row>
    <row r="229" spans="2:13">
      <c r="B229" s="31" t="str">
        <f t="shared" si="47"/>
        <v>NZTA_NA_1_30</v>
      </c>
      <c r="C229" s="32" t="s">
        <v>1114</v>
      </c>
      <c r="D229" s="31">
        <f t="shared" si="59"/>
        <v>1</v>
      </c>
      <c r="E229" s="31">
        <f t="shared" si="51"/>
        <v>30</v>
      </c>
      <c r="F229">
        <v>28</v>
      </c>
      <c r="G229">
        <f t="shared" si="43"/>
        <v>10</v>
      </c>
      <c r="H229">
        <v>800</v>
      </c>
      <c r="J229">
        <v>2</v>
      </c>
      <c r="K229">
        <v>631</v>
      </c>
      <c r="L229" t="s">
        <v>223</v>
      </c>
      <c r="M229" t="str">
        <f t="shared" si="49"/>
        <v>NZTA_NA_2</v>
      </c>
    </row>
    <row r="230" spans="2:13">
      <c r="B230" s="31" t="str">
        <f t="shared" si="47"/>
        <v>NZTA_NA_1_20</v>
      </c>
      <c r="C230" s="32" t="s">
        <v>1114</v>
      </c>
      <c r="D230" s="31">
        <f t="shared" si="59"/>
        <v>1</v>
      </c>
      <c r="E230" s="31">
        <f t="shared" si="51"/>
        <v>20</v>
      </c>
      <c r="F230">
        <v>18</v>
      </c>
      <c r="G230">
        <f t="shared" si="43"/>
        <v>10</v>
      </c>
      <c r="H230">
        <v>800</v>
      </c>
      <c r="J230">
        <v>2</v>
      </c>
      <c r="K230">
        <v>621</v>
      </c>
      <c r="L230" t="s">
        <v>224</v>
      </c>
      <c r="M230" t="str">
        <f t="shared" si="49"/>
        <v>NZTA_NA_2</v>
      </c>
    </row>
    <row r="231" spans="2:13">
      <c r="B231" s="31" t="str">
        <f t="shared" si="47"/>
        <v>NZTA_NA_2_100</v>
      </c>
      <c r="C231" s="32" t="s">
        <v>1114</v>
      </c>
      <c r="D231" s="31">
        <v>2</v>
      </c>
      <c r="E231" s="31">
        <f t="shared" si="51"/>
        <v>100</v>
      </c>
      <c r="F231">
        <v>98</v>
      </c>
      <c r="G231">
        <f t="shared" si="43"/>
        <v>10</v>
      </c>
      <c r="H231">
        <f>H222*2</f>
        <v>2400</v>
      </c>
      <c r="J231">
        <v>3.5</v>
      </c>
      <c r="K231">
        <v>611</v>
      </c>
      <c r="L231" t="s">
        <v>216</v>
      </c>
      <c r="M231" t="str">
        <f t="shared" si="49"/>
        <v>NZTA_NA_4</v>
      </c>
    </row>
    <row r="232" spans="2:13">
      <c r="B232" s="31" t="str">
        <f t="shared" si="47"/>
        <v>NZTA_NA_2_90</v>
      </c>
      <c r="C232" s="32" t="s">
        <v>1114</v>
      </c>
      <c r="D232" s="31">
        <v>2</v>
      </c>
      <c r="E232" s="31">
        <f t="shared" si="51"/>
        <v>90</v>
      </c>
      <c r="F232">
        <v>88</v>
      </c>
      <c r="G232">
        <f t="shared" si="43"/>
        <v>10</v>
      </c>
      <c r="H232">
        <f t="shared" ref="H232:H239" si="60">H223*2</f>
        <v>2400</v>
      </c>
      <c r="J232">
        <v>3.5</v>
      </c>
      <c r="K232">
        <v>691</v>
      </c>
      <c r="L232" t="s">
        <v>217</v>
      </c>
      <c r="M232" t="str">
        <f t="shared" si="49"/>
        <v>NZTA_NA_4</v>
      </c>
    </row>
    <row r="233" spans="2:13">
      <c r="B233" s="31" t="str">
        <f t="shared" si="47"/>
        <v>NZTA_NA_2_80</v>
      </c>
      <c r="C233" s="32" t="s">
        <v>1114</v>
      </c>
      <c r="D233" s="31">
        <v>2</v>
      </c>
      <c r="E233" s="31">
        <f t="shared" si="51"/>
        <v>80</v>
      </c>
      <c r="F233">
        <v>78</v>
      </c>
      <c r="G233">
        <f t="shared" si="43"/>
        <v>10</v>
      </c>
      <c r="H233">
        <f t="shared" si="60"/>
        <v>2400</v>
      </c>
      <c r="J233">
        <v>3.5</v>
      </c>
      <c r="K233">
        <v>681</v>
      </c>
      <c r="L233" t="s">
        <v>218</v>
      </c>
      <c r="M233" t="str">
        <f t="shared" si="49"/>
        <v>NZTA_NA_4</v>
      </c>
    </row>
    <row r="234" spans="2:13">
      <c r="B234" s="31" t="str">
        <f t="shared" si="47"/>
        <v>NZTA_NA_2_70</v>
      </c>
      <c r="C234" s="32" t="s">
        <v>1114</v>
      </c>
      <c r="D234" s="31">
        <v>2</v>
      </c>
      <c r="E234" s="31">
        <f t="shared" si="51"/>
        <v>70</v>
      </c>
      <c r="F234">
        <v>68</v>
      </c>
      <c r="G234">
        <f t="shared" si="43"/>
        <v>10</v>
      </c>
      <c r="H234">
        <f t="shared" si="60"/>
        <v>2400</v>
      </c>
      <c r="J234">
        <v>3.5</v>
      </c>
      <c r="K234">
        <v>671</v>
      </c>
      <c r="L234" t="s">
        <v>219</v>
      </c>
      <c r="M234" t="str">
        <f t="shared" si="49"/>
        <v>NZTA_NA_4</v>
      </c>
    </row>
    <row r="235" spans="2:13">
      <c r="B235" s="31" t="str">
        <f t="shared" si="47"/>
        <v>NZTA_NA_2_60</v>
      </c>
      <c r="C235" s="32" t="s">
        <v>1114</v>
      </c>
      <c r="D235" s="31">
        <v>2</v>
      </c>
      <c r="E235" s="31">
        <f t="shared" si="51"/>
        <v>60</v>
      </c>
      <c r="F235">
        <v>58</v>
      </c>
      <c r="G235">
        <f t="shared" si="43"/>
        <v>10</v>
      </c>
      <c r="H235">
        <f t="shared" si="60"/>
        <v>3200</v>
      </c>
      <c r="J235">
        <v>3.5</v>
      </c>
      <c r="K235">
        <v>661</v>
      </c>
      <c r="L235" t="s">
        <v>220</v>
      </c>
      <c r="M235" t="str">
        <f t="shared" si="49"/>
        <v>NZTA_NA_4</v>
      </c>
    </row>
    <row r="236" spans="2:13">
      <c r="B236" s="31" t="str">
        <f t="shared" si="47"/>
        <v>NZTA_NA_2_50</v>
      </c>
      <c r="C236" s="32" t="s">
        <v>1114</v>
      </c>
      <c r="D236" s="31">
        <v>2</v>
      </c>
      <c r="E236" s="31">
        <f t="shared" si="51"/>
        <v>50</v>
      </c>
      <c r="F236">
        <v>45</v>
      </c>
      <c r="G236">
        <f t="shared" si="43"/>
        <v>10</v>
      </c>
      <c r="H236">
        <f t="shared" si="60"/>
        <v>2800</v>
      </c>
      <c r="J236">
        <v>2.5</v>
      </c>
      <c r="K236">
        <v>651</v>
      </c>
      <c r="L236" t="s">
        <v>221</v>
      </c>
      <c r="M236" t="str">
        <f t="shared" si="49"/>
        <v>NZTA_NA_4</v>
      </c>
    </row>
    <row r="237" spans="2:13">
      <c r="B237" s="31" t="str">
        <f t="shared" si="47"/>
        <v>NZTA_NA_2_40</v>
      </c>
      <c r="C237" s="32" t="s">
        <v>1114</v>
      </c>
      <c r="D237" s="31">
        <v>2</v>
      </c>
      <c r="E237" s="31">
        <f t="shared" si="51"/>
        <v>40</v>
      </c>
      <c r="F237">
        <v>38</v>
      </c>
      <c r="G237">
        <f t="shared" si="43"/>
        <v>10</v>
      </c>
      <c r="H237">
        <f t="shared" si="60"/>
        <v>2400</v>
      </c>
      <c r="J237">
        <v>2</v>
      </c>
      <c r="K237">
        <v>641</v>
      </c>
      <c r="L237" t="s">
        <v>222</v>
      </c>
      <c r="M237" t="str">
        <f t="shared" si="49"/>
        <v>NZTA_NA_4</v>
      </c>
    </row>
    <row r="238" spans="2:13">
      <c r="B238" s="31" t="str">
        <f t="shared" si="47"/>
        <v>NZTA_NA_2_30</v>
      </c>
      <c r="C238" s="32" t="s">
        <v>1114</v>
      </c>
      <c r="D238" s="31">
        <v>2</v>
      </c>
      <c r="E238" s="31">
        <f t="shared" si="51"/>
        <v>30</v>
      </c>
      <c r="F238">
        <v>28</v>
      </c>
      <c r="G238">
        <f t="shared" si="43"/>
        <v>10</v>
      </c>
      <c r="H238">
        <f t="shared" si="60"/>
        <v>1600</v>
      </c>
      <c r="J238">
        <v>2</v>
      </c>
      <c r="K238">
        <v>631</v>
      </c>
      <c r="L238" t="s">
        <v>223</v>
      </c>
      <c r="M238" t="str">
        <f t="shared" si="49"/>
        <v>NZTA_NA_4</v>
      </c>
    </row>
    <row r="239" spans="2:13">
      <c r="B239" s="31" t="str">
        <f t="shared" si="47"/>
        <v>NZTA_NA_2_20</v>
      </c>
      <c r="C239" s="32" t="s">
        <v>1114</v>
      </c>
      <c r="D239" s="31">
        <v>2</v>
      </c>
      <c r="E239" s="31">
        <f t="shared" si="51"/>
        <v>20</v>
      </c>
      <c r="F239">
        <v>18</v>
      </c>
      <c r="G239">
        <f t="shared" si="43"/>
        <v>10</v>
      </c>
      <c r="H239">
        <f t="shared" si="60"/>
        <v>1600</v>
      </c>
      <c r="J239">
        <v>2</v>
      </c>
      <c r="K239">
        <v>621</v>
      </c>
      <c r="L239" t="s">
        <v>224</v>
      </c>
      <c r="M239" t="str">
        <f t="shared" si="49"/>
        <v>NZTA_NA_4</v>
      </c>
    </row>
    <row r="240" spans="2:13">
      <c r="B240" s="31" t="str">
        <f t="shared" si="28"/>
        <v>NZTA_NA_3_100</v>
      </c>
      <c r="C240" s="32" t="s">
        <v>1114</v>
      </c>
      <c r="D240" s="31">
        <v>3</v>
      </c>
      <c r="E240" s="31">
        <f t="shared" si="30"/>
        <v>100</v>
      </c>
      <c r="F240">
        <v>98</v>
      </c>
      <c r="G240">
        <f t="shared" si="43"/>
        <v>10</v>
      </c>
      <c r="H240">
        <f>H222*3</f>
        <v>3600</v>
      </c>
      <c r="J240">
        <v>3.5</v>
      </c>
      <c r="K240">
        <v>611</v>
      </c>
      <c r="L240" t="s">
        <v>216</v>
      </c>
      <c r="M240" t="str">
        <f t="shared" si="44"/>
        <v>NZTA_NA_6</v>
      </c>
    </row>
    <row r="241" spans="2:13">
      <c r="B241" s="31" t="str">
        <f t="shared" si="28"/>
        <v>NZTA_NA_3_90</v>
      </c>
      <c r="C241" s="32" t="s">
        <v>1114</v>
      </c>
      <c r="D241" s="31">
        <v>3</v>
      </c>
      <c r="E241" s="31">
        <f t="shared" si="30"/>
        <v>90</v>
      </c>
      <c r="F241">
        <v>88</v>
      </c>
      <c r="G241">
        <f t="shared" si="43"/>
        <v>10</v>
      </c>
      <c r="H241">
        <f t="shared" ref="H241:H248" si="61">H223*3</f>
        <v>3600</v>
      </c>
      <c r="J241">
        <v>3.5</v>
      </c>
      <c r="K241">
        <v>691</v>
      </c>
      <c r="L241" t="s">
        <v>217</v>
      </c>
      <c r="M241" t="str">
        <f t="shared" si="44"/>
        <v>NZTA_NA_6</v>
      </c>
    </row>
    <row r="242" spans="2:13">
      <c r="B242" s="31" t="str">
        <f t="shared" si="28"/>
        <v>NZTA_NA_3_80</v>
      </c>
      <c r="C242" s="32" t="s">
        <v>1114</v>
      </c>
      <c r="D242" s="31">
        <v>3</v>
      </c>
      <c r="E242" s="31">
        <f t="shared" si="30"/>
        <v>80</v>
      </c>
      <c r="F242">
        <v>78</v>
      </c>
      <c r="G242">
        <f t="shared" si="43"/>
        <v>10</v>
      </c>
      <c r="H242">
        <f t="shared" si="61"/>
        <v>3600</v>
      </c>
      <c r="J242">
        <v>3.5</v>
      </c>
      <c r="K242">
        <v>681</v>
      </c>
      <c r="L242" t="s">
        <v>218</v>
      </c>
      <c r="M242" t="str">
        <f t="shared" si="44"/>
        <v>NZTA_NA_6</v>
      </c>
    </row>
    <row r="243" spans="2:13">
      <c r="B243" s="31" t="str">
        <f t="shared" si="28"/>
        <v>NZTA_NA_3_70</v>
      </c>
      <c r="C243" s="32" t="s">
        <v>1114</v>
      </c>
      <c r="D243" s="31">
        <v>3</v>
      </c>
      <c r="E243" s="31">
        <f t="shared" si="30"/>
        <v>70</v>
      </c>
      <c r="F243">
        <v>68</v>
      </c>
      <c r="G243">
        <f t="shared" si="43"/>
        <v>10</v>
      </c>
      <c r="H243">
        <f t="shared" si="61"/>
        <v>3600</v>
      </c>
      <c r="J243">
        <v>3.5</v>
      </c>
      <c r="K243">
        <v>671</v>
      </c>
      <c r="L243" t="s">
        <v>219</v>
      </c>
      <c r="M243" t="str">
        <f t="shared" si="44"/>
        <v>NZTA_NA_6</v>
      </c>
    </row>
    <row r="244" spans="2:13">
      <c r="B244" s="31" t="str">
        <f t="shared" si="28"/>
        <v>NZTA_NA_3_60</v>
      </c>
      <c r="C244" s="32" t="s">
        <v>1114</v>
      </c>
      <c r="D244" s="31">
        <v>3</v>
      </c>
      <c r="E244" s="31">
        <f t="shared" si="30"/>
        <v>60</v>
      </c>
      <c r="F244">
        <v>58</v>
      </c>
      <c r="G244">
        <f t="shared" si="43"/>
        <v>10</v>
      </c>
      <c r="H244">
        <f t="shared" si="61"/>
        <v>4800</v>
      </c>
      <c r="J244">
        <v>3.5</v>
      </c>
      <c r="K244">
        <v>661</v>
      </c>
      <c r="L244" t="s">
        <v>220</v>
      </c>
      <c r="M244" t="str">
        <f t="shared" si="44"/>
        <v>NZTA_NA_6</v>
      </c>
    </row>
    <row r="245" spans="2:13">
      <c r="B245" s="31" t="str">
        <f t="shared" si="28"/>
        <v>NZTA_NA_3_50</v>
      </c>
      <c r="C245" s="32" t="s">
        <v>1114</v>
      </c>
      <c r="D245" s="31">
        <v>3</v>
      </c>
      <c r="E245" s="31">
        <f t="shared" si="30"/>
        <v>50</v>
      </c>
      <c r="F245">
        <v>45</v>
      </c>
      <c r="G245">
        <f t="shared" si="43"/>
        <v>10</v>
      </c>
      <c r="H245">
        <f t="shared" si="61"/>
        <v>4200</v>
      </c>
      <c r="J245">
        <v>2.5</v>
      </c>
      <c r="K245">
        <v>651</v>
      </c>
      <c r="L245" t="s">
        <v>221</v>
      </c>
      <c r="M245" t="str">
        <f t="shared" si="44"/>
        <v>NZTA_NA_6</v>
      </c>
    </row>
    <row r="246" spans="2:13">
      <c r="B246" s="31" t="str">
        <f t="shared" si="28"/>
        <v>NZTA_NA_3_40</v>
      </c>
      <c r="C246" s="32" t="s">
        <v>1114</v>
      </c>
      <c r="D246" s="31">
        <v>3</v>
      </c>
      <c r="E246" s="31">
        <f t="shared" si="30"/>
        <v>40</v>
      </c>
      <c r="F246">
        <v>38</v>
      </c>
      <c r="G246">
        <f t="shared" si="43"/>
        <v>10</v>
      </c>
      <c r="H246">
        <f t="shared" si="61"/>
        <v>3600</v>
      </c>
      <c r="J246">
        <v>2</v>
      </c>
      <c r="K246">
        <v>641</v>
      </c>
      <c r="L246" t="s">
        <v>222</v>
      </c>
      <c r="M246" t="str">
        <f t="shared" si="44"/>
        <v>NZTA_NA_6</v>
      </c>
    </row>
    <row r="247" spans="2:13">
      <c r="B247" s="31" t="str">
        <f t="shared" si="28"/>
        <v>NZTA_NA_3_30</v>
      </c>
      <c r="C247" s="32" t="s">
        <v>1114</v>
      </c>
      <c r="D247" s="31">
        <v>3</v>
      </c>
      <c r="E247" s="31">
        <f t="shared" si="30"/>
        <v>30</v>
      </c>
      <c r="F247">
        <v>28</v>
      </c>
      <c r="G247">
        <f t="shared" si="43"/>
        <v>10</v>
      </c>
      <c r="H247">
        <f t="shared" si="61"/>
        <v>2400</v>
      </c>
      <c r="J247">
        <v>2</v>
      </c>
      <c r="K247">
        <v>631</v>
      </c>
      <c r="L247" t="s">
        <v>223</v>
      </c>
      <c r="M247" t="str">
        <f t="shared" si="44"/>
        <v>NZTA_NA_6</v>
      </c>
    </row>
    <row r="248" spans="2:13">
      <c r="B248" s="31" t="str">
        <f t="shared" si="28"/>
        <v>NZTA_NA_3_20</v>
      </c>
      <c r="C248" s="32" t="s">
        <v>1114</v>
      </c>
      <c r="D248" s="31">
        <v>3</v>
      </c>
      <c r="E248" s="31">
        <f t="shared" si="30"/>
        <v>20</v>
      </c>
      <c r="F248">
        <v>18</v>
      </c>
      <c r="G248">
        <f t="shared" si="43"/>
        <v>10</v>
      </c>
      <c r="H248">
        <f t="shared" si="61"/>
        <v>2400</v>
      </c>
      <c r="J248">
        <v>2</v>
      </c>
      <c r="K248">
        <v>621</v>
      </c>
      <c r="L248" t="s">
        <v>224</v>
      </c>
      <c r="M248" t="str">
        <f t="shared" si="44"/>
        <v>NZTA_NA_6</v>
      </c>
    </row>
    <row r="249" spans="2:13">
      <c r="B249" s="31" t="str">
        <f t="shared" ref="B249:B257" si="62">C249&amp;"_"&amp;D249&amp;"_"&amp;E249</f>
        <v>NZTA_NA_4_100</v>
      </c>
      <c r="C249" s="32" t="s">
        <v>1114</v>
      </c>
      <c r="D249" s="31">
        <v>4</v>
      </c>
      <c r="E249" s="31">
        <f t="shared" ref="E249:E257" si="63">MROUND(F249,10)</f>
        <v>100</v>
      </c>
      <c r="F249">
        <v>98</v>
      </c>
      <c r="G249">
        <f t="shared" si="43"/>
        <v>10</v>
      </c>
      <c r="H249">
        <f>H222*4</f>
        <v>4800</v>
      </c>
      <c r="J249">
        <v>3.5</v>
      </c>
      <c r="K249">
        <v>611</v>
      </c>
      <c r="L249" t="s">
        <v>216</v>
      </c>
      <c r="M249" t="str">
        <f t="shared" ref="M249:M257" si="64">C249&amp;"_"&amp;D249*2</f>
        <v>NZTA_NA_8</v>
      </c>
    </row>
    <row r="250" spans="2:13">
      <c r="B250" s="31" t="str">
        <f t="shared" si="62"/>
        <v>NZTA_NA_4_90</v>
      </c>
      <c r="C250" s="32" t="s">
        <v>1114</v>
      </c>
      <c r="D250" s="31">
        <v>4</v>
      </c>
      <c r="E250" s="31">
        <f t="shared" si="63"/>
        <v>90</v>
      </c>
      <c r="F250">
        <v>88</v>
      </c>
      <c r="G250">
        <f t="shared" si="43"/>
        <v>10</v>
      </c>
      <c r="H250">
        <f t="shared" ref="H250:H257" si="65">H223*4</f>
        <v>4800</v>
      </c>
      <c r="J250">
        <v>3.5</v>
      </c>
      <c r="K250">
        <v>691</v>
      </c>
      <c r="L250" t="s">
        <v>217</v>
      </c>
      <c r="M250" t="str">
        <f t="shared" si="64"/>
        <v>NZTA_NA_8</v>
      </c>
    </row>
    <row r="251" spans="2:13">
      <c r="B251" s="31" t="str">
        <f t="shared" si="62"/>
        <v>NZTA_NA_4_80</v>
      </c>
      <c r="C251" s="32" t="s">
        <v>1114</v>
      </c>
      <c r="D251" s="31">
        <v>4</v>
      </c>
      <c r="E251" s="31">
        <f t="shared" si="63"/>
        <v>80</v>
      </c>
      <c r="F251">
        <v>78</v>
      </c>
      <c r="G251">
        <f t="shared" si="43"/>
        <v>10</v>
      </c>
      <c r="H251">
        <f t="shared" si="65"/>
        <v>4800</v>
      </c>
      <c r="J251">
        <v>3.5</v>
      </c>
      <c r="K251">
        <v>681</v>
      </c>
      <c r="L251" t="s">
        <v>218</v>
      </c>
      <c r="M251" t="str">
        <f t="shared" si="64"/>
        <v>NZTA_NA_8</v>
      </c>
    </row>
    <row r="252" spans="2:13">
      <c r="B252" s="31" t="str">
        <f t="shared" si="62"/>
        <v>NZTA_NA_4_70</v>
      </c>
      <c r="C252" s="32" t="s">
        <v>1114</v>
      </c>
      <c r="D252" s="31">
        <v>4</v>
      </c>
      <c r="E252" s="31">
        <f t="shared" si="63"/>
        <v>70</v>
      </c>
      <c r="F252">
        <v>68</v>
      </c>
      <c r="G252">
        <f t="shared" si="43"/>
        <v>10</v>
      </c>
      <c r="H252">
        <f t="shared" si="65"/>
        <v>4800</v>
      </c>
      <c r="J252">
        <v>3.5</v>
      </c>
      <c r="K252">
        <v>671</v>
      </c>
      <c r="L252" t="s">
        <v>219</v>
      </c>
      <c r="M252" t="str">
        <f t="shared" si="64"/>
        <v>NZTA_NA_8</v>
      </c>
    </row>
    <row r="253" spans="2:13">
      <c r="B253" s="31" t="str">
        <f t="shared" si="62"/>
        <v>NZTA_NA_4_60</v>
      </c>
      <c r="C253" s="32" t="s">
        <v>1114</v>
      </c>
      <c r="D253" s="31">
        <v>4</v>
      </c>
      <c r="E253" s="31">
        <f t="shared" si="63"/>
        <v>60</v>
      </c>
      <c r="F253">
        <v>58</v>
      </c>
      <c r="G253">
        <f t="shared" si="43"/>
        <v>10</v>
      </c>
      <c r="H253">
        <f t="shared" si="65"/>
        <v>6400</v>
      </c>
      <c r="J253">
        <v>3.5</v>
      </c>
      <c r="K253">
        <v>661</v>
      </c>
      <c r="L253" t="s">
        <v>220</v>
      </c>
      <c r="M253" t="str">
        <f t="shared" si="64"/>
        <v>NZTA_NA_8</v>
      </c>
    </row>
    <row r="254" spans="2:13">
      <c r="B254" s="31" t="str">
        <f t="shared" si="62"/>
        <v>NZTA_NA_4_50</v>
      </c>
      <c r="C254" s="32" t="s">
        <v>1114</v>
      </c>
      <c r="D254" s="31">
        <v>4</v>
      </c>
      <c r="E254" s="31">
        <f t="shared" si="63"/>
        <v>50</v>
      </c>
      <c r="F254">
        <v>45</v>
      </c>
      <c r="G254">
        <f t="shared" si="43"/>
        <v>10</v>
      </c>
      <c r="H254">
        <f t="shared" si="65"/>
        <v>5600</v>
      </c>
      <c r="J254">
        <v>2.5</v>
      </c>
      <c r="K254">
        <v>651</v>
      </c>
      <c r="L254" t="s">
        <v>221</v>
      </c>
      <c r="M254" t="str">
        <f t="shared" si="64"/>
        <v>NZTA_NA_8</v>
      </c>
    </row>
    <row r="255" spans="2:13">
      <c r="B255" s="31" t="str">
        <f t="shared" si="62"/>
        <v>NZTA_NA_4_40</v>
      </c>
      <c r="C255" s="32" t="s">
        <v>1114</v>
      </c>
      <c r="D255" s="31">
        <v>4</v>
      </c>
      <c r="E255" s="31">
        <f t="shared" si="63"/>
        <v>40</v>
      </c>
      <c r="F255">
        <v>38</v>
      </c>
      <c r="G255">
        <f t="shared" si="43"/>
        <v>10</v>
      </c>
      <c r="H255">
        <f t="shared" si="65"/>
        <v>4800</v>
      </c>
      <c r="J255">
        <v>2</v>
      </c>
      <c r="K255">
        <v>641</v>
      </c>
      <c r="L255" t="s">
        <v>222</v>
      </c>
      <c r="M255" t="str">
        <f t="shared" si="64"/>
        <v>NZTA_NA_8</v>
      </c>
    </row>
    <row r="256" spans="2:13">
      <c r="B256" s="31" t="str">
        <f t="shared" si="62"/>
        <v>NZTA_NA_4_30</v>
      </c>
      <c r="C256" s="32" t="s">
        <v>1114</v>
      </c>
      <c r="D256" s="31">
        <v>4</v>
      </c>
      <c r="E256" s="31">
        <f t="shared" si="63"/>
        <v>30</v>
      </c>
      <c r="F256">
        <v>28</v>
      </c>
      <c r="G256">
        <f t="shared" si="43"/>
        <v>10</v>
      </c>
      <c r="H256">
        <f t="shared" si="65"/>
        <v>3200</v>
      </c>
      <c r="J256">
        <v>2</v>
      </c>
      <c r="K256">
        <v>631</v>
      </c>
      <c r="L256" t="s">
        <v>223</v>
      </c>
      <c r="M256" t="str">
        <f t="shared" si="64"/>
        <v>NZTA_NA_8</v>
      </c>
    </row>
    <row r="257" spans="1:13">
      <c r="B257" s="31" t="str">
        <f t="shared" si="62"/>
        <v>NZTA_NA_4_20</v>
      </c>
      <c r="C257" s="32" t="s">
        <v>1114</v>
      </c>
      <c r="D257" s="31">
        <v>4</v>
      </c>
      <c r="E257" s="31">
        <f t="shared" si="63"/>
        <v>20</v>
      </c>
      <c r="F257">
        <v>18</v>
      </c>
      <c r="G257">
        <f t="shared" si="43"/>
        <v>10</v>
      </c>
      <c r="H257">
        <f t="shared" si="65"/>
        <v>3200</v>
      </c>
      <c r="J257">
        <v>2</v>
      </c>
      <c r="K257">
        <v>621</v>
      </c>
      <c r="L257" t="s">
        <v>224</v>
      </c>
      <c r="M257" t="str">
        <f t="shared" si="64"/>
        <v>NZTA_NA_8</v>
      </c>
    </row>
    <row r="258" spans="1:13">
      <c r="A258" t="s">
        <v>297</v>
      </c>
    </row>
  </sheetData>
  <sortState xmlns:xlrd2="http://schemas.microsoft.com/office/spreadsheetml/2017/richdata2" ref="AB35:AC163">
    <sortCondition ref="AB35:AB163"/>
    <sortCondition ref="AC35:AC163"/>
  </sortState>
  <mergeCells count="2">
    <mergeCell ref="A1:B1"/>
    <mergeCell ref="K1:M1"/>
  </mergeCells>
  <hyperlinks>
    <hyperlink ref="A1" location="Dashboard!A1" display="Return to dashboard" xr:uid="{61E25507-E72B-4ABF-A36B-231C653F1199}"/>
    <hyperlink ref="K1" location="Dashboard!A1" display="Return to dashboard" xr:uid="{57EF24FC-6274-463A-8899-98E1349AEB25}"/>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783952A-31B8-411B-81C8-65AAC4C0163E}">
          <x14:formula1>
            <xm:f>aMBCMtables!$D$25:$D$37</xm:f>
          </x14:formula1>
          <xm:sqref>C11:C257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8A428-AF1E-4EB2-AB2E-8D586467C3E1}">
  <sheetPr codeName="Sheet17">
    <tabColor theme="7" tint="0.79998168889431442"/>
  </sheetPr>
  <dimension ref="A1"/>
  <sheetViews>
    <sheetView workbookViewId="0"/>
  </sheetViews>
  <sheetFormatPr defaultRowHeight="15"/>
  <cols>
    <col min="1" max="1" width="17.42578125" customWidth="1"/>
  </cols>
  <sheetData>
    <row r="1" spans="1:1">
      <c r="A1" s="84" t="s">
        <v>280</v>
      </c>
    </row>
  </sheetData>
  <hyperlinks>
    <hyperlink ref="A1" location="Dashboard!A1" display="Return to dashboard" xr:uid="{B803DCDF-C19E-41C9-B91E-C28E43A72BE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FE704-1960-4D9F-A57F-D966E1B0FC63}">
  <dimension ref="B2:F26"/>
  <sheetViews>
    <sheetView workbookViewId="0">
      <selection activeCell="B1" sqref="B1"/>
    </sheetView>
  </sheetViews>
  <sheetFormatPr defaultRowHeight="15"/>
  <cols>
    <col min="1" max="1" width="3.5703125" customWidth="1"/>
    <col min="2" max="2" width="5.7109375" customWidth="1"/>
    <col min="3" max="3" width="12.7109375" customWidth="1"/>
    <col min="4" max="4" width="43.5703125" customWidth="1"/>
    <col min="5" max="5" width="5.7109375" customWidth="1"/>
    <col min="6" max="6" width="12.7109375" customWidth="1"/>
    <col min="7" max="7" width="5.85546875" customWidth="1"/>
  </cols>
  <sheetData>
    <row r="2" spans="2:6">
      <c r="B2" s="434"/>
    </row>
    <row r="3" spans="2:6" ht="15.75" thickBot="1"/>
    <row r="4" spans="2:6">
      <c r="B4" s="436"/>
      <c r="C4" s="437"/>
      <c r="D4" s="438"/>
      <c r="E4" s="437"/>
      <c r="F4" s="439"/>
    </row>
    <row r="5" spans="2:6" ht="15.75">
      <c r="B5" s="440"/>
      <c r="C5" s="441"/>
      <c r="D5" s="490" t="s">
        <v>1135</v>
      </c>
      <c r="E5" s="441"/>
      <c r="F5" s="442"/>
    </row>
    <row r="6" spans="2:6" ht="15.75">
      <c r="B6" s="443"/>
      <c r="C6" s="444"/>
      <c r="D6" s="445"/>
      <c r="E6" s="444"/>
      <c r="F6" s="446"/>
    </row>
    <row r="7" spans="2:6" ht="15.75">
      <c r="B7" s="447"/>
      <c r="C7" s="448"/>
      <c r="D7" s="444"/>
      <c r="E7" s="448"/>
      <c r="F7" s="449"/>
    </row>
    <row r="8" spans="2:6" ht="24.95" customHeight="1">
      <c r="B8" s="447"/>
      <c r="C8" s="497" t="s">
        <v>1042</v>
      </c>
      <c r="D8" s="497"/>
      <c r="E8" s="497"/>
      <c r="F8" s="450"/>
    </row>
    <row r="9" spans="2:6" ht="26.25">
      <c r="B9" s="451"/>
      <c r="C9" s="497"/>
      <c r="D9" s="497"/>
      <c r="E9" s="497"/>
      <c r="F9" s="450"/>
    </row>
    <row r="10" spans="2:6" ht="20.25">
      <c r="B10" s="447"/>
      <c r="C10" s="448"/>
      <c r="D10" s="452"/>
      <c r="E10" s="453"/>
      <c r="F10" s="449"/>
    </row>
    <row r="11" spans="2:6" ht="20.25">
      <c r="B11" s="447"/>
      <c r="C11" s="448"/>
      <c r="D11" s="441" t="s">
        <v>1043</v>
      </c>
      <c r="E11" s="453"/>
      <c r="F11" s="449"/>
    </row>
    <row r="12" spans="2:6" ht="15.75">
      <c r="B12" s="447"/>
      <c r="C12" s="448"/>
      <c r="D12" s="454" t="s">
        <v>1041</v>
      </c>
      <c r="E12" s="448"/>
      <c r="F12" s="449"/>
    </row>
    <row r="13" spans="2:6" ht="15.75" thickBot="1">
      <c r="B13" s="455"/>
      <c r="C13" s="456"/>
      <c r="D13" s="456"/>
      <c r="E13" s="456"/>
      <c r="F13" s="457"/>
    </row>
    <row r="15" spans="2:6">
      <c r="B15" s="458" t="s">
        <v>1040</v>
      </c>
      <c r="C15" s="458"/>
      <c r="D15" s="26"/>
      <c r="E15" s="26"/>
      <c r="F15" s="26"/>
    </row>
    <row r="16" spans="2:6" ht="28.5" customHeight="1">
      <c r="B16" s="498" t="s">
        <v>1091</v>
      </c>
      <c r="C16" s="498"/>
      <c r="D16" s="498"/>
      <c r="E16" s="498"/>
      <c r="F16" s="498"/>
    </row>
    <row r="17" spans="2:6" ht="30.95" customHeight="1">
      <c r="B17" s="498" t="s">
        <v>1065</v>
      </c>
      <c r="C17" s="498"/>
      <c r="D17" s="498"/>
      <c r="E17" s="498"/>
      <c r="F17" s="498"/>
    </row>
    <row r="18" spans="2:6" ht="15.75">
      <c r="B18" s="435"/>
      <c r="C18" s="435"/>
      <c r="D18" s="435"/>
      <c r="E18" s="435"/>
      <c r="F18" s="435"/>
    </row>
    <row r="19" spans="2:6">
      <c r="B19" s="459" t="s">
        <v>1066</v>
      </c>
    </row>
    <row r="20" spans="2:6" ht="60.6" customHeight="1">
      <c r="B20" s="499" t="s">
        <v>1055</v>
      </c>
      <c r="C20" s="499"/>
      <c r="D20" s="499"/>
      <c r="E20" s="499"/>
      <c r="F20" s="499"/>
    </row>
    <row r="21" spans="2:6" ht="37.5" customHeight="1">
      <c r="B21" s="499" t="s">
        <v>1056</v>
      </c>
      <c r="C21" s="499"/>
      <c r="D21" s="499"/>
      <c r="E21" s="499"/>
      <c r="F21" s="499"/>
    </row>
    <row r="22" spans="2:6" ht="64.5" customHeight="1">
      <c r="B22" s="499" t="s">
        <v>1057</v>
      </c>
      <c r="C22" s="499"/>
      <c r="D22" s="499"/>
      <c r="E22" s="499"/>
      <c r="F22" s="499"/>
    </row>
    <row r="23" spans="2:6" ht="105.95" customHeight="1">
      <c r="B23" s="499" t="s">
        <v>1064</v>
      </c>
      <c r="C23" s="499"/>
      <c r="D23" s="499"/>
      <c r="E23" s="499"/>
      <c r="F23" s="499"/>
    </row>
    <row r="24" spans="2:6" ht="51" customHeight="1">
      <c r="B24" s="499" t="s">
        <v>1058</v>
      </c>
      <c r="C24" s="499"/>
      <c r="D24" s="499"/>
      <c r="E24" s="499"/>
      <c r="F24" s="499"/>
    </row>
    <row r="25" spans="2:6" ht="77.099999999999994" customHeight="1">
      <c r="B25" s="499" t="s">
        <v>1059</v>
      </c>
      <c r="C25" s="499"/>
      <c r="D25" s="499"/>
      <c r="E25" s="499"/>
      <c r="F25" s="499"/>
    </row>
    <row r="26" spans="2:6" ht="34.5" customHeight="1">
      <c r="B26" s="499" t="s">
        <v>1060</v>
      </c>
      <c r="C26" s="499"/>
      <c r="D26" s="499"/>
      <c r="E26" s="499"/>
      <c r="F26" s="499"/>
    </row>
  </sheetData>
  <mergeCells count="10">
    <mergeCell ref="B22:F22"/>
    <mergeCell ref="B23:F23"/>
    <mergeCell ref="B24:F24"/>
    <mergeCell ref="B25:F25"/>
    <mergeCell ref="B26:F26"/>
    <mergeCell ref="C8:E9"/>
    <mergeCell ref="B16:F16"/>
    <mergeCell ref="B17:F17"/>
    <mergeCell ref="B20:F20"/>
    <mergeCell ref="B21:F21"/>
  </mergeCells>
  <hyperlinks>
    <hyperlink ref="D5" r:id="rId1" display="Waka Kotahi Project TAR21/22: Assessing induced traffic demand in New Zealand" xr:uid="{458BBF45-9AFD-4362-9725-E418240018B0}"/>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D695C-EDAA-49B6-9137-6F1C74F82503}">
  <sheetPr codeName="Sheet18">
    <tabColor theme="7" tint="0.79998168889431442"/>
  </sheetPr>
  <dimension ref="A1:D22"/>
  <sheetViews>
    <sheetView workbookViewId="0">
      <selection activeCell="C1" sqref="C1"/>
    </sheetView>
  </sheetViews>
  <sheetFormatPr defaultRowHeight="15"/>
  <cols>
    <col min="1" max="1" width="1.5703125" customWidth="1"/>
    <col min="2" max="2" width="24.5703125" customWidth="1"/>
    <col min="3" max="3" width="48.5703125" style="91" customWidth="1"/>
    <col min="4" max="4" width="63.140625" customWidth="1"/>
  </cols>
  <sheetData>
    <row r="1" spans="1:4">
      <c r="A1" s="515" t="s">
        <v>280</v>
      </c>
      <c r="B1" s="515"/>
    </row>
    <row r="2" spans="1:4">
      <c r="A2" s="295" t="s">
        <v>684</v>
      </c>
    </row>
    <row r="7" spans="1:4">
      <c r="B7" s="308" t="s">
        <v>684</v>
      </c>
      <c r="C7" s="142" t="s">
        <v>654</v>
      </c>
      <c r="D7" s="308" t="s">
        <v>685</v>
      </c>
    </row>
    <row r="8" spans="1:4" ht="45">
      <c r="B8" s="308" t="s">
        <v>822</v>
      </c>
      <c r="C8" s="142" t="s">
        <v>999</v>
      </c>
      <c r="D8" s="308"/>
    </row>
    <row r="9" spans="1:4" ht="45">
      <c r="B9" s="308" t="s">
        <v>823</v>
      </c>
      <c r="C9" s="142" t="s">
        <v>1000</v>
      </c>
      <c r="D9" s="308"/>
    </row>
    <row r="10" spans="1:4" ht="45">
      <c r="B10" s="308" t="s">
        <v>824</v>
      </c>
      <c r="C10" s="142" t="s">
        <v>1001</v>
      </c>
      <c r="D10" s="308"/>
    </row>
    <row r="11" spans="1:4" ht="45">
      <c r="B11" s="308" t="s">
        <v>1002</v>
      </c>
      <c r="C11" s="142" t="s">
        <v>1003</v>
      </c>
      <c r="D11" s="307" t="s">
        <v>688</v>
      </c>
    </row>
    <row r="12" spans="1:4" ht="30">
      <c r="B12" s="308" t="s">
        <v>689</v>
      </c>
      <c r="C12" s="142" t="s">
        <v>690</v>
      </c>
      <c r="D12" s="307" t="s">
        <v>691</v>
      </c>
    </row>
    <row r="13" spans="1:4" ht="30">
      <c r="B13" s="308" t="s">
        <v>692</v>
      </c>
      <c r="C13" s="142" t="s">
        <v>1004</v>
      </c>
      <c r="D13" s="307" t="s">
        <v>693</v>
      </c>
    </row>
    <row r="14" spans="1:4" ht="45">
      <c r="B14" s="308" t="s">
        <v>694</v>
      </c>
      <c r="C14" s="142" t="s">
        <v>1005</v>
      </c>
      <c r="D14" s="307" t="s">
        <v>695</v>
      </c>
    </row>
    <row r="15" spans="1:4" ht="45">
      <c r="B15" s="308" t="s">
        <v>696</v>
      </c>
      <c r="C15" s="142" t="s">
        <v>697</v>
      </c>
      <c r="D15" s="307" t="s">
        <v>698</v>
      </c>
    </row>
    <row r="16" spans="1:4" ht="45">
      <c r="B16" s="142" t="s">
        <v>1007</v>
      </c>
      <c r="C16" s="142" t="s">
        <v>1006</v>
      </c>
      <c r="D16" s="307" t="s">
        <v>686</v>
      </c>
    </row>
    <row r="17" spans="2:4" ht="45">
      <c r="B17" s="308" t="s">
        <v>3</v>
      </c>
      <c r="C17" s="142" t="s">
        <v>687</v>
      </c>
      <c r="D17" s="308"/>
    </row>
    <row r="18" spans="2:4" ht="30">
      <c r="B18" s="308" t="s">
        <v>699</v>
      </c>
      <c r="C18" s="142" t="s">
        <v>700</v>
      </c>
      <c r="D18" s="307" t="s">
        <v>701</v>
      </c>
    </row>
    <row r="19" spans="2:4" ht="30">
      <c r="B19" s="308" t="s">
        <v>825</v>
      </c>
      <c r="C19" s="142" t="s">
        <v>826</v>
      </c>
      <c r="D19" s="307" t="s">
        <v>827</v>
      </c>
    </row>
    <row r="20" spans="2:4" ht="30">
      <c r="B20" s="372" t="s">
        <v>828</v>
      </c>
      <c r="C20" s="142" t="s">
        <v>829</v>
      </c>
      <c r="D20" s="307" t="s">
        <v>830</v>
      </c>
    </row>
    <row r="21" spans="2:4" ht="45">
      <c r="B21" s="308" t="s">
        <v>365</v>
      </c>
      <c r="C21" s="142" t="s">
        <v>782</v>
      </c>
      <c r="D21" s="308"/>
    </row>
    <row r="22" spans="2:4">
      <c r="B22" s="308"/>
      <c r="C22" s="142"/>
      <c r="D22" s="308"/>
    </row>
  </sheetData>
  <mergeCells count="1">
    <mergeCell ref="A1:B1"/>
  </mergeCells>
  <hyperlinks>
    <hyperlink ref="A1" location="Dashboard!A1" display="Return to dashboard" xr:uid="{301426D0-4524-4C50-86E0-4E5F7B05B64F}"/>
    <hyperlink ref="D16" r:id="rId1" xr:uid="{219744C0-BB47-4B26-82B0-D8767698903D}"/>
    <hyperlink ref="D11" r:id="rId2" xr:uid="{CB3D422E-DA51-4C5B-AD38-7DD4ABE7ED41}"/>
    <hyperlink ref="D14" r:id="rId3" xr:uid="{FAD6A12F-5F27-4381-86C8-D84D5AAB3E24}"/>
    <hyperlink ref="D18" r:id="rId4" xr:uid="{ACED56C8-EDC0-4286-8893-896E061A8C7E}"/>
    <hyperlink ref="D12" location="nMethod3!A1" display="Notes on Method 3" xr:uid="{0DBFA966-D959-4D74-987F-C93C068CCF86}"/>
    <hyperlink ref="D13" location="nLanes!A1" display="Notes on Lanes" xr:uid="{DB3F1EA3-ADB3-469C-BD6C-DDA971EE67B7}"/>
    <hyperlink ref="D15" location="nShort!A1" display="Notes on Short-term" xr:uid="{B49B356C-4FB5-4619-BD2A-8B9F66BD6A70}"/>
    <hyperlink ref="D19" location="nONF!A1" display="Notes on ONF" xr:uid="{5EB2889B-7A7A-4FAF-80CB-54AB3BDCF5DE}"/>
    <hyperlink ref="D20" location="nRegion!A1" display="Notes on Regions" xr:uid="{D05815B9-19AB-4938-BDDD-7D26DD1B476E}"/>
  </hyperlinks>
  <pageMargins left="0.7" right="0.7" top="0.75" bottom="0.75" header="0.3" footer="0.3"/>
  <pageSetup paperSize="9" orientation="portrait" r:id="rId5"/>
  <tableParts count="1">
    <tablePart r:id="rId6"/>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25CDC-8C10-4D71-84A7-69B89D578EE5}">
  <sheetPr codeName="Sheet19">
    <tabColor theme="7" tint="0.79998168889431442"/>
  </sheetPr>
  <dimension ref="A1:D37"/>
  <sheetViews>
    <sheetView workbookViewId="0">
      <selection activeCell="B3" sqref="B3"/>
    </sheetView>
  </sheetViews>
  <sheetFormatPr defaultRowHeight="15"/>
  <cols>
    <col min="1" max="1" width="1.5703125" customWidth="1"/>
    <col min="2" max="2" width="9.42578125" customWidth="1"/>
    <col min="3" max="3" width="48.5703125" bestFit="1" customWidth="1"/>
  </cols>
  <sheetData>
    <row r="1" spans="1:4">
      <c r="A1" s="515" t="s">
        <v>280</v>
      </c>
      <c r="B1" s="515"/>
      <c r="C1" s="515"/>
    </row>
    <row r="2" spans="1:4">
      <c r="A2" s="295" t="s">
        <v>1011</v>
      </c>
    </row>
    <row r="3" spans="1:4">
      <c r="A3" s="86"/>
    </row>
    <row r="5" spans="1:4">
      <c r="B5" s="295" t="s">
        <v>635</v>
      </c>
    </row>
    <row r="6" spans="1:4">
      <c r="B6" s="84" t="s">
        <v>1125</v>
      </c>
      <c r="C6" s="93" t="s">
        <v>1126</v>
      </c>
    </row>
    <row r="7" spans="1:4">
      <c r="B7" s="150" t="s">
        <v>634</v>
      </c>
      <c r="C7" s="93" t="str">
        <f>nMethod1!A2</f>
        <v>Lane-km elasticity approach used in Step 1 (Method 1)</v>
      </c>
    </row>
    <row r="8" spans="1:4">
      <c r="B8" s="278" t="s">
        <v>633</v>
      </c>
      <c r="C8" s="93" t="str">
        <f>nMethod2!A2</f>
        <v>Cost elasticity approach used in Step 2 (Method 2)</v>
      </c>
    </row>
    <row r="9" spans="1:4">
      <c r="B9" s="278" t="s">
        <v>632</v>
      </c>
      <c r="C9" s="93" t="str">
        <f>nMethod3!A2</f>
        <v>Transport models (Method 3 not applied in this tool but recommended as next step)</v>
      </c>
    </row>
    <row r="10" spans="1:4">
      <c r="B10" s="84" t="s">
        <v>769</v>
      </c>
      <c r="C10" s="93" t="s">
        <v>1010</v>
      </c>
    </row>
    <row r="11" spans="1:4">
      <c r="B11" s="295" t="s">
        <v>631</v>
      </c>
    </row>
    <row r="12" spans="1:4">
      <c r="B12" t="s">
        <v>655</v>
      </c>
    </row>
    <row r="13" spans="1:4">
      <c r="B13" s="47" t="s">
        <v>652</v>
      </c>
      <c r="C13" s="4" t="s">
        <v>653</v>
      </c>
      <c r="D13" s="4" t="s">
        <v>654</v>
      </c>
    </row>
    <row r="14" spans="1:4">
      <c r="B14" s="39" t="s">
        <v>656</v>
      </c>
      <c r="C14" t="s">
        <v>910</v>
      </c>
      <c r="D14" t="s">
        <v>1069</v>
      </c>
    </row>
    <row r="15" spans="1:4">
      <c r="B15" s="39" t="s">
        <v>657</v>
      </c>
      <c r="C15" t="s">
        <v>649</v>
      </c>
      <c r="D15" t="s">
        <v>1081</v>
      </c>
    </row>
    <row r="16" spans="1:4">
      <c r="B16" s="39" t="s">
        <v>658</v>
      </c>
      <c r="C16" t="s">
        <v>930</v>
      </c>
      <c r="D16" t="s">
        <v>956</v>
      </c>
    </row>
    <row r="17" spans="2:4">
      <c r="B17" s="39" t="s">
        <v>659</v>
      </c>
      <c r="C17" t="s">
        <v>650</v>
      </c>
      <c r="D17" t="s">
        <v>957</v>
      </c>
    </row>
    <row r="18" spans="2:4">
      <c r="B18" s="39" t="s">
        <v>660</v>
      </c>
      <c r="C18" t="s">
        <v>651</v>
      </c>
      <c r="D18" t="s">
        <v>796</v>
      </c>
    </row>
    <row r="22" spans="2:4">
      <c r="B22" s="295" t="s">
        <v>714</v>
      </c>
    </row>
    <row r="31" spans="2:4">
      <c r="B31" s="294"/>
    </row>
    <row r="37" spans="1:1">
      <c r="A37" t="s">
        <v>297</v>
      </c>
    </row>
  </sheetData>
  <mergeCells count="1">
    <mergeCell ref="A1:C1"/>
  </mergeCells>
  <phoneticPr fontId="60" type="noConversion"/>
  <hyperlinks>
    <hyperlink ref="A1" location="Dashboard!A1" display="Return to dashboard" xr:uid="{C0C437E0-0026-444F-A497-C9C1BF6AF097}"/>
    <hyperlink ref="B7" location="nMethod1!A1" display="Method1" xr:uid="{B30E412F-5E90-431D-8817-626A871519CB}"/>
    <hyperlink ref="B8" location="nMethod2!A1" display="Method2" xr:uid="{4EE88834-C8A6-4FE6-A77C-94DC36671B03}"/>
    <hyperlink ref="B9" location="nMethod3!A1" display="Method3" xr:uid="{9AFC7507-6D74-4DDF-BE23-ECB778204098}"/>
    <hyperlink ref="B10" r:id="rId1" xr:uid="{8E9CB585-7604-4D3A-ADCA-25156F48AAB6}"/>
    <hyperlink ref="B6" r:id="rId2" xr:uid="{4D6BAD3B-F6AA-4002-BA6B-FC63C9A72D71}"/>
  </hyperlinks>
  <pageMargins left="0.7" right="0.7" top="0.75" bottom="0.75" header="0.3" footer="0.3"/>
  <pageSetup paperSize="9" orientation="portrait"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4EFB9-B4A1-4CF7-8A5B-A239BC150760}">
  <sheetPr codeName="Sheet20">
    <tabColor theme="7" tint="0.79998168889431442"/>
  </sheetPr>
  <dimension ref="A1:C32"/>
  <sheetViews>
    <sheetView workbookViewId="0">
      <selection activeCell="B3" sqref="B3"/>
    </sheetView>
  </sheetViews>
  <sheetFormatPr defaultRowHeight="15"/>
  <cols>
    <col min="1" max="1" width="1.5703125" customWidth="1"/>
    <col min="2" max="2" width="21.7109375" customWidth="1"/>
  </cols>
  <sheetData>
    <row r="1" spans="1:3">
      <c r="A1" s="515" t="s">
        <v>280</v>
      </c>
      <c r="B1" s="515"/>
      <c r="C1" s="515"/>
    </row>
    <row r="2" spans="1:3">
      <c r="A2" s="295" t="s">
        <v>1012</v>
      </c>
    </row>
    <row r="3" spans="1:3">
      <c r="A3" s="86"/>
    </row>
    <row r="5" spans="1:3">
      <c r="B5" s="295" t="s">
        <v>635</v>
      </c>
    </row>
    <row r="6" spans="1:3">
      <c r="B6" s="84" t="s">
        <v>1125</v>
      </c>
      <c r="C6" s="93" t="s">
        <v>1126</v>
      </c>
    </row>
    <row r="7" spans="1:3">
      <c r="B7" s="150" t="s">
        <v>636</v>
      </c>
      <c r="C7" s="93" t="str">
        <f>aLanekmElas!A2</f>
        <v>Mapping of US lane-km elasticities to NZ default lane-km elasticities</v>
      </c>
    </row>
    <row r="8" spans="1:3">
      <c r="B8" s="278" t="s">
        <v>783</v>
      </c>
      <c r="C8" s="93" t="s">
        <v>1013</v>
      </c>
    </row>
    <row r="11" spans="1:3">
      <c r="B11" s="295" t="s">
        <v>631</v>
      </c>
    </row>
    <row r="32" spans="1:1">
      <c r="A32" t="s">
        <v>297</v>
      </c>
    </row>
  </sheetData>
  <mergeCells count="1">
    <mergeCell ref="A1:C1"/>
  </mergeCells>
  <hyperlinks>
    <hyperlink ref="A1" location="Dashboard!A1" display="Return to dashboard" xr:uid="{5B5AEEBD-80AD-4358-8B66-740017C6D28F}"/>
    <hyperlink ref="B7" location="aLanekmElas!G5" display="Initial lane-km elasticities" xr:uid="{0CCB07AA-B8E7-4E11-9399-71C091F6D63B}"/>
    <hyperlink ref="B8" r:id="rId1" xr:uid="{26EF7788-5A7C-49EE-BCEB-176BA3E7B039}"/>
    <hyperlink ref="B6" r:id="rId2" xr:uid="{A03EE7DD-FBE9-4878-A11D-02883A90D44C}"/>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61856-6D90-4866-853F-3BF09EF7C37F}">
  <sheetPr codeName="Sheet21">
    <tabColor theme="7" tint="0.79998168889431442"/>
  </sheetPr>
  <dimension ref="A1:Q116"/>
  <sheetViews>
    <sheetView workbookViewId="0">
      <selection activeCell="B3" sqref="B3"/>
    </sheetView>
  </sheetViews>
  <sheetFormatPr defaultRowHeight="15"/>
  <cols>
    <col min="1" max="1" width="1.5703125" customWidth="1"/>
    <col min="4" max="4" width="60.28515625" customWidth="1"/>
    <col min="5" max="5" width="12.42578125" customWidth="1"/>
    <col min="6" max="6" width="13.85546875" customWidth="1"/>
    <col min="7" max="7" width="48.42578125" customWidth="1"/>
    <col min="8" max="8" width="7" customWidth="1"/>
    <col min="9" max="9" width="6.5703125" customWidth="1"/>
    <col min="10" max="10" width="50" customWidth="1"/>
    <col min="12" max="12" width="10.7109375" bestFit="1" customWidth="1"/>
  </cols>
  <sheetData>
    <row r="1" spans="1:4">
      <c r="A1" s="353" t="s">
        <v>280</v>
      </c>
      <c r="B1" s="353"/>
    </row>
    <row r="2" spans="1:4">
      <c r="A2" s="295" t="s">
        <v>985</v>
      </c>
    </row>
    <row r="3" spans="1:4">
      <c r="A3" s="86"/>
    </row>
    <row r="5" spans="1:4">
      <c r="B5" s="295" t="s">
        <v>635</v>
      </c>
    </row>
    <row r="6" spans="1:4">
      <c r="B6" s="84" t="s">
        <v>1125</v>
      </c>
      <c r="D6" s="93" t="s">
        <v>1126</v>
      </c>
    </row>
    <row r="7" spans="1:4">
      <c r="B7" s="150" t="s">
        <v>637</v>
      </c>
      <c r="D7" s="93" t="str">
        <f>aMBCMtables!A2</f>
        <v>Inputs from MBCM used in Step 2</v>
      </c>
    </row>
    <row r="8" spans="1:4">
      <c r="B8" s="278" t="s">
        <v>715</v>
      </c>
      <c r="D8" s="93" t="str">
        <f>cGC!A2</f>
        <v>Cost elasticity calculations undertaken in Steps 2 (given user provided and selected inputs)</v>
      </c>
    </row>
    <row r="11" spans="1:4">
      <c r="B11" s="295" t="s">
        <v>631</v>
      </c>
    </row>
    <row r="30" spans="2:2">
      <c r="B30" s="295" t="s">
        <v>785</v>
      </c>
    </row>
    <row r="51" spans="2:2">
      <c r="B51" s="295" t="s">
        <v>784</v>
      </c>
    </row>
    <row r="83" spans="2:17" ht="21">
      <c r="B83" s="83" t="s">
        <v>848</v>
      </c>
    </row>
    <row r="85" spans="2:17">
      <c r="C85" t="s">
        <v>849</v>
      </c>
      <c r="J85" t="s">
        <v>850</v>
      </c>
    </row>
    <row r="86" spans="2:17">
      <c r="C86" t="s">
        <v>882</v>
      </c>
      <c r="J86" s="388" t="s">
        <v>851</v>
      </c>
    </row>
    <row r="87" spans="2:17">
      <c r="C87" t="s">
        <v>883</v>
      </c>
      <c r="J87" s="286" t="s">
        <v>852</v>
      </c>
    </row>
    <row r="88" spans="2:17">
      <c r="J88" s="398" t="s">
        <v>853</v>
      </c>
    </row>
    <row r="89" spans="2:17">
      <c r="C89" s="399" t="s">
        <v>854</v>
      </c>
    </row>
    <row r="90" spans="2:17">
      <c r="D90" t="s">
        <v>855</v>
      </c>
      <c r="E90" s="400">
        <v>7</v>
      </c>
      <c r="F90" t="s">
        <v>856</v>
      </c>
      <c r="G90" t="s">
        <v>884</v>
      </c>
      <c r="J90" t="s">
        <v>857</v>
      </c>
      <c r="Q90" t="s">
        <v>857</v>
      </c>
    </row>
    <row r="91" spans="2:17">
      <c r="D91" t="s">
        <v>858</v>
      </c>
      <c r="E91" s="400">
        <v>30</v>
      </c>
      <c r="F91" t="s">
        <v>859</v>
      </c>
      <c r="G91" t="s">
        <v>884</v>
      </c>
    </row>
    <row r="92" spans="2:17">
      <c r="D92" t="s">
        <v>860</v>
      </c>
      <c r="E92" s="3">
        <f>E90/E91*60</f>
        <v>14</v>
      </c>
      <c r="F92" t="s">
        <v>861</v>
      </c>
      <c r="G92" t="s">
        <v>885</v>
      </c>
    </row>
    <row r="93" spans="2:17">
      <c r="D93" t="s">
        <v>862</v>
      </c>
      <c r="E93" s="401">
        <v>25000</v>
      </c>
      <c r="F93" t="s">
        <v>863</v>
      </c>
      <c r="G93" t="s">
        <v>864</v>
      </c>
    </row>
    <row r="94" spans="2:17">
      <c r="E94" s="1"/>
    </row>
    <row r="95" spans="2:17">
      <c r="E95" s="1"/>
      <c r="G95" s="80"/>
    </row>
    <row r="96" spans="2:17">
      <c r="C96" s="399" t="s">
        <v>865</v>
      </c>
      <c r="E96" s="1"/>
    </row>
    <row r="97" spans="3:7">
      <c r="D97" t="s">
        <v>866</v>
      </c>
      <c r="E97" s="388">
        <v>2</v>
      </c>
      <c r="F97" t="s">
        <v>856</v>
      </c>
      <c r="G97" t="s">
        <v>886</v>
      </c>
    </row>
    <row r="98" spans="3:7">
      <c r="D98" t="s">
        <v>867</v>
      </c>
      <c r="E98" s="402">
        <v>21</v>
      </c>
      <c r="F98" t="s">
        <v>859</v>
      </c>
      <c r="G98" t="s">
        <v>887</v>
      </c>
    </row>
    <row r="99" spans="3:7">
      <c r="D99" t="s">
        <v>868</v>
      </c>
      <c r="E99" s="3">
        <f>E$97/E98*60</f>
        <v>5.7142857142857135</v>
      </c>
      <c r="F99" t="s">
        <v>861</v>
      </c>
      <c r="G99" t="s">
        <v>888</v>
      </c>
    </row>
    <row r="100" spans="3:7">
      <c r="D100" t="s">
        <v>869</v>
      </c>
      <c r="E100" s="402">
        <v>44</v>
      </c>
      <c r="F100" t="s">
        <v>859</v>
      </c>
      <c r="G100" t="s">
        <v>887</v>
      </c>
    </row>
    <row r="101" spans="3:7">
      <c r="D101" t="s">
        <v>870</v>
      </c>
      <c r="E101" s="3">
        <f>E$97/E100*60</f>
        <v>2.7272727272727275</v>
      </c>
      <c r="F101" t="s">
        <v>861</v>
      </c>
      <c r="G101" t="s">
        <v>888</v>
      </c>
    </row>
    <row r="102" spans="3:7">
      <c r="D102" t="s">
        <v>871</v>
      </c>
      <c r="E102" s="3">
        <f>E101-E99</f>
        <v>-2.987012987012986</v>
      </c>
      <c r="F102" t="s">
        <v>861</v>
      </c>
      <c r="G102" t="s">
        <v>889</v>
      </c>
    </row>
    <row r="104" spans="3:7">
      <c r="C104" s="399" t="s">
        <v>872</v>
      </c>
    </row>
    <row r="105" spans="3:7">
      <c r="D105" t="s">
        <v>873</v>
      </c>
      <c r="E105" s="398">
        <f>E92</f>
        <v>14</v>
      </c>
      <c r="F105" t="s">
        <v>861</v>
      </c>
      <c r="G105" t="s">
        <v>890</v>
      </c>
    </row>
    <row r="106" spans="3:7">
      <c r="D106" t="s">
        <v>871</v>
      </c>
      <c r="E106" s="398">
        <f>E102</f>
        <v>-2.987012987012986</v>
      </c>
      <c r="F106" t="s">
        <v>861</v>
      </c>
      <c r="G106" t="s">
        <v>891</v>
      </c>
    </row>
    <row r="107" spans="3:7">
      <c r="D107" t="s">
        <v>874</v>
      </c>
      <c r="E107" s="3">
        <f>E105+E106</f>
        <v>11.012987012987015</v>
      </c>
      <c r="G107" t="s">
        <v>892</v>
      </c>
    </row>
    <row r="108" spans="3:7">
      <c r="D108" t="s">
        <v>875</v>
      </c>
      <c r="E108" s="40">
        <f>E106/E105</f>
        <v>-0.21335807050092756</v>
      </c>
      <c r="G108" t="s">
        <v>893</v>
      </c>
    </row>
    <row r="110" spans="3:7">
      <c r="C110" t="s">
        <v>876</v>
      </c>
    </row>
    <row r="111" spans="3:7">
      <c r="D111" t="s">
        <v>877</v>
      </c>
      <c r="E111" s="406">
        <v>-0.72</v>
      </c>
      <c r="F111" t="s">
        <v>878</v>
      </c>
    </row>
    <row r="112" spans="3:7">
      <c r="D112" t="s">
        <v>879</v>
      </c>
      <c r="E112" s="403">
        <f>(1+E108)^E111-1</f>
        <v>0.18861305011165252</v>
      </c>
      <c r="G112" t="s">
        <v>894</v>
      </c>
    </row>
    <row r="113" spans="1:8">
      <c r="D113" t="s">
        <v>57</v>
      </c>
      <c r="E113" s="1">
        <f>E112*E93</f>
        <v>4715.326252791313</v>
      </c>
      <c r="F113" t="s">
        <v>863</v>
      </c>
      <c r="G113" t="s">
        <v>895</v>
      </c>
    </row>
    <row r="114" spans="1:8">
      <c r="D114" t="s">
        <v>880</v>
      </c>
      <c r="E114" s="404">
        <f>E113*E90</f>
        <v>33007.283769539194</v>
      </c>
      <c r="F114" t="s">
        <v>881</v>
      </c>
      <c r="G114" t="s">
        <v>896</v>
      </c>
    </row>
    <row r="115" spans="1:8">
      <c r="A115" t="s">
        <v>297</v>
      </c>
      <c r="E115" s="1"/>
    </row>
    <row r="116" spans="1:8">
      <c r="H116" s="405"/>
    </row>
  </sheetData>
  <hyperlinks>
    <hyperlink ref="A1" location="Dashboard!A1" display="Return to dashboard" xr:uid="{B7842BE3-9C03-4A0B-8D14-682A9BFA648B}"/>
    <hyperlink ref="B7" location="aMBCMtables!I63" display="MBCM Table A14" xr:uid="{B010E9AE-9F7B-4472-98DB-3F9BC742E727}"/>
    <hyperlink ref="B8" location="nGC!A1" display="GC composition" xr:uid="{28314B98-12FC-455A-9C37-E0D6D8270243}"/>
    <hyperlink ref="B6" r:id="rId1" xr:uid="{F4118532-A585-43B4-ADF7-18D41496E1D2}"/>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1222B-9C95-4823-BCB3-EEEDC47DAE10}">
  <sheetPr codeName="Sheet22">
    <tabColor theme="7" tint="0.79998168889431442"/>
  </sheetPr>
  <dimension ref="A1:C20"/>
  <sheetViews>
    <sheetView workbookViewId="0">
      <selection activeCell="B3" sqref="B3"/>
    </sheetView>
  </sheetViews>
  <sheetFormatPr defaultRowHeight="15"/>
  <cols>
    <col min="1" max="1" width="1.5703125" customWidth="1"/>
    <col min="2" max="2" width="26.28515625" customWidth="1"/>
  </cols>
  <sheetData>
    <row r="1" spans="1:3">
      <c r="A1" s="515" t="s">
        <v>280</v>
      </c>
      <c r="B1" s="515"/>
    </row>
    <row r="2" spans="1:3">
      <c r="A2" s="295" t="s">
        <v>1008</v>
      </c>
    </row>
    <row r="3" spans="1:3">
      <c r="A3" s="86"/>
    </row>
    <row r="5" spans="1:3">
      <c r="B5" s="295" t="s">
        <v>635</v>
      </c>
    </row>
    <row r="6" spans="1:3">
      <c r="B6" s="84" t="s">
        <v>1125</v>
      </c>
      <c r="C6" s="93" t="s">
        <v>1126</v>
      </c>
    </row>
    <row r="7" spans="1:3">
      <c r="B7" s="150" t="s">
        <v>638</v>
      </c>
    </row>
    <row r="8" spans="1:3">
      <c r="B8" s="278"/>
    </row>
    <row r="11" spans="1:3">
      <c r="B11" s="295" t="s">
        <v>631</v>
      </c>
    </row>
    <row r="13" spans="1:3">
      <c r="B13" s="296"/>
    </row>
    <row r="15" spans="1:3">
      <c r="B15" s="296"/>
    </row>
    <row r="17" spans="1:2">
      <c r="B17" s="296"/>
    </row>
    <row r="19" spans="1:2">
      <c r="B19" s="434" t="s">
        <v>1009</v>
      </c>
    </row>
    <row r="20" spans="1:2">
      <c r="A20" t="s">
        <v>297</v>
      </c>
    </row>
  </sheetData>
  <mergeCells count="1">
    <mergeCell ref="A1:B1"/>
  </mergeCells>
  <hyperlinks>
    <hyperlink ref="A1" location="Dashboard!A1" display="Return to dashboard" xr:uid="{DDC47949-6A90-4E19-B773-4AF308F5920C}"/>
    <hyperlink ref="B7" r:id="rId1" xr:uid="{6AFE3A19-2847-4F5F-A3BA-77EAA469541E}"/>
    <hyperlink ref="B6" r:id="rId2" xr:uid="{180607D3-B909-4859-9C9F-EF6FA8F68A5F}"/>
  </hyperlinks>
  <pageMargins left="0.7" right="0.7" top="0.75" bottom="0.75" header="0.3" footer="0.3"/>
  <pageSetup paperSize="9" orientation="portrait"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8F94C-91F3-4E71-A430-B7D290A1F994}">
  <sheetPr codeName="Sheet23">
    <tabColor theme="7" tint="0.79998168889431442"/>
  </sheetPr>
  <dimension ref="A1:M67"/>
  <sheetViews>
    <sheetView workbookViewId="0">
      <selection activeCell="B3" sqref="B3"/>
    </sheetView>
  </sheetViews>
  <sheetFormatPr defaultRowHeight="15"/>
  <cols>
    <col min="1" max="1" width="1.5703125" customWidth="1"/>
    <col min="2" max="2" width="41.42578125" customWidth="1"/>
  </cols>
  <sheetData>
    <row r="1" spans="1:3">
      <c r="A1" s="84" t="s">
        <v>280</v>
      </c>
    </row>
    <row r="2" spans="1:3">
      <c r="A2" s="295" t="s">
        <v>1028</v>
      </c>
    </row>
    <row r="3" spans="1:3">
      <c r="A3" s="84"/>
    </row>
    <row r="4" spans="1:3">
      <c r="B4" s="84"/>
    </row>
    <row r="5" spans="1:3">
      <c r="B5" s="295" t="s">
        <v>635</v>
      </c>
    </row>
    <row r="6" spans="1:3">
      <c r="B6" s="84" t="s">
        <v>1125</v>
      </c>
      <c r="C6" s="93" t="s">
        <v>1126</v>
      </c>
    </row>
    <row r="7" spans="1:3">
      <c r="B7" s="150" t="s">
        <v>641</v>
      </c>
      <c r="C7" s="93" t="s">
        <v>1027</v>
      </c>
    </row>
    <row r="8" spans="1:3">
      <c r="B8" s="150" t="s">
        <v>640</v>
      </c>
      <c r="C8" s="93" t="s">
        <v>1026</v>
      </c>
    </row>
    <row r="11" spans="1:3">
      <c r="B11" s="295" t="s">
        <v>631</v>
      </c>
    </row>
    <row r="23" spans="2:2">
      <c r="B23" s="295" t="s">
        <v>639</v>
      </c>
    </row>
    <row r="35" spans="1:1">
      <c r="A35" s="297"/>
    </row>
    <row r="59" spans="13:13">
      <c r="M59" s="84"/>
    </row>
    <row r="67" spans="1:1">
      <c r="A67" t="s">
        <v>297</v>
      </c>
    </row>
  </sheetData>
  <hyperlinks>
    <hyperlink ref="A1" location="Dashboard!A1" display="Return to dashboard" xr:uid="{02426955-3D0A-4883-8D68-7D7530A14768}"/>
    <hyperlink ref="B7" r:id="rId1" xr:uid="{0D538EDF-EABF-4057-BD7A-22A6DD751C67}"/>
    <hyperlink ref="B8" r:id="rId2" xr:uid="{557C2740-8A3D-40A2-A7EA-F3ECAB19397C}"/>
    <hyperlink ref="B6" r:id="rId3" xr:uid="{5A4D48C1-997C-470B-AF13-AB06AF9FD3FB}"/>
  </hyperlinks>
  <pageMargins left="0.7" right="0.7" top="0.75" bottom="0.75" header="0.3" footer="0.3"/>
  <pageSetup paperSize="9" orientation="portrait" r:id="rId4"/>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CE9D8-B14D-4F53-88AA-685808D1B8A9}">
  <sheetPr codeName="Sheet24">
    <tabColor theme="7" tint="0.79998168889431442"/>
  </sheetPr>
  <dimension ref="A1:C28"/>
  <sheetViews>
    <sheetView workbookViewId="0">
      <selection activeCell="B3" sqref="B3"/>
    </sheetView>
  </sheetViews>
  <sheetFormatPr defaultRowHeight="15"/>
  <cols>
    <col min="1" max="1" width="1.5703125" customWidth="1"/>
    <col min="2" max="2" width="43.42578125" customWidth="1"/>
  </cols>
  <sheetData>
    <row r="1" spans="1:3">
      <c r="A1" s="84" t="s">
        <v>280</v>
      </c>
    </row>
    <row r="2" spans="1:3">
      <c r="A2" s="295" t="s">
        <v>1019</v>
      </c>
    </row>
    <row r="5" spans="1:3">
      <c r="B5" s="295" t="s">
        <v>635</v>
      </c>
    </row>
    <row r="6" spans="1:3">
      <c r="B6" s="84" t="s">
        <v>1125</v>
      </c>
      <c r="C6" s="93" t="s">
        <v>1126</v>
      </c>
    </row>
    <row r="7" spans="1:3">
      <c r="B7" s="150" t="s">
        <v>1017</v>
      </c>
      <c r="C7" s="93" t="s">
        <v>1016</v>
      </c>
    </row>
    <row r="8" spans="1:3">
      <c r="B8" s="150" t="s">
        <v>1030</v>
      </c>
      <c r="C8" s="93" t="s">
        <v>1018</v>
      </c>
    </row>
    <row r="9" spans="1:3">
      <c r="A9" s="297"/>
    </row>
    <row r="10" spans="1:3">
      <c r="A10" s="297"/>
    </row>
    <row r="11" spans="1:3">
      <c r="B11" s="295" t="s">
        <v>631</v>
      </c>
    </row>
    <row r="14" spans="1:3">
      <c r="A14" s="297"/>
    </row>
    <row r="21" spans="1:2">
      <c r="A21" s="297"/>
    </row>
    <row r="22" spans="1:2">
      <c r="A22" s="297"/>
    </row>
    <row r="23" spans="1:2">
      <c r="B23" s="295" t="s">
        <v>639</v>
      </c>
    </row>
    <row r="28" spans="1:2">
      <c r="A28" t="s">
        <v>297</v>
      </c>
    </row>
  </sheetData>
  <hyperlinks>
    <hyperlink ref="A1" location="Dashboard!A1" display="Return to dashboard" xr:uid="{F1F2FC24-C81C-4558-A197-69C92979858C}"/>
    <hyperlink ref="B8" r:id="rId1" display="NZTA database (including map)" xr:uid="{746166F6-CA14-4771-8A4E-8C440F602FCF}"/>
    <hyperlink ref="B7" r:id="rId2" display="Transport Insights database (the source for this tool)" xr:uid="{6EC65AF2-7437-40C4-8CB1-DA7622108CE2}"/>
    <hyperlink ref="B6" r:id="rId3" xr:uid="{B614BCF4-0E9F-4E56-9BE7-156656C0FACE}"/>
  </hyperlinks>
  <pageMargins left="0.7" right="0.7" top="0.75" bottom="0.75" header="0.3" footer="0.3"/>
  <pageSetup paperSize="9" orientation="portrait" r:id="rId4"/>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F311D-2761-4053-A85B-417419E6C31D}">
  <sheetPr codeName="Sheet25">
    <tabColor theme="7" tint="0.79998168889431442"/>
  </sheetPr>
  <dimension ref="A1:C41"/>
  <sheetViews>
    <sheetView workbookViewId="0">
      <selection activeCell="B3" sqref="B3"/>
    </sheetView>
  </sheetViews>
  <sheetFormatPr defaultRowHeight="15"/>
  <cols>
    <col min="1" max="1" width="1.5703125" customWidth="1"/>
    <col min="2" max="2" width="11.85546875" customWidth="1"/>
    <col min="3" max="3" width="153.28515625" customWidth="1"/>
  </cols>
  <sheetData>
    <row r="1" spans="1:3">
      <c r="A1" s="515" t="s">
        <v>280</v>
      </c>
      <c r="B1" s="515"/>
      <c r="C1" s="515"/>
    </row>
    <row r="2" spans="1:3">
      <c r="A2" s="295" t="s">
        <v>1020</v>
      </c>
      <c r="C2" s="84"/>
    </row>
    <row r="3" spans="1:3">
      <c r="A3" s="84"/>
      <c r="C3" s="84"/>
    </row>
    <row r="4" spans="1:3">
      <c r="A4" s="84"/>
      <c r="C4" s="84"/>
    </row>
    <row r="5" spans="1:3">
      <c r="B5" s="295" t="s">
        <v>635</v>
      </c>
    </row>
    <row r="6" spans="1:3">
      <c r="B6" s="84" t="s">
        <v>1125</v>
      </c>
      <c r="C6" s="93" t="s">
        <v>1126</v>
      </c>
    </row>
    <row r="7" spans="1:3">
      <c r="B7" s="84" t="s">
        <v>719</v>
      </c>
    </row>
    <row r="8" spans="1:3">
      <c r="B8" s="84" t="s">
        <v>643</v>
      </c>
    </row>
    <row r="9" spans="1:3">
      <c r="B9" s="150" t="s">
        <v>1029</v>
      </c>
    </row>
    <row r="10" spans="1:3">
      <c r="B10" s="84" t="s">
        <v>642</v>
      </c>
    </row>
    <row r="11" spans="1:3">
      <c r="B11" s="295" t="s">
        <v>631</v>
      </c>
    </row>
    <row r="23" spans="2:3">
      <c r="B23" s="295" t="s">
        <v>639</v>
      </c>
    </row>
    <row r="27" spans="2:3">
      <c r="B27" s="295" t="s">
        <v>661</v>
      </c>
    </row>
    <row r="28" spans="2:3" ht="342.95" customHeight="1"/>
    <row r="30" spans="2:3" ht="28.5" customHeight="1">
      <c r="B30" s="316" t="s">
        <v>720</v>
      </c>
    </row>
    <row r="31" spans="2:3" ht="266.45" customHeight="1">
      <c r="B31" s="143" t="s">
        <v>416</v>
      </c>
      <c r="C31" s="117"/>
    </row>
    <row r="32" spans="2:3" ht="408.95" customHeight="1">
      <c r="B32" s="143" t="s">
        <v>409</v>
      </c>
      <c r="C32" s="117"/>
    </row>
    <row r="33" spans="1:3" ht="408.95" customHeight="1">
      <c r="B33" s="143" t="s">
        <v>418</v>
      </c>
      <c r="C33" s="117"/>
    </row>
    <row r="34" spans="1:3" ht="408.95" customHeight="1">
      <c r="B34" s="143" t="s">
        <v>411</v>
      </c>
      <c r="C34" s="117"/>
    </row>
    <row r="35" spans="1:3" ht="408.95" customHeight="1">
      <c r="B35" s="143" t="s">
        <v>410</v>
      </c>
      <c r="C35" s="117"/>
    </row>
    <row r="36" spans="1:3" ht="408.95" customHeight="1">
      <c r="B36" s="143" t="s">
        <v>404</v>
      </c>
      <c r="C36" s="117"/>
    </row>
    <row r="37" spans="1:3" ht="408.95" customHeight="1">
      <c r="B37" s="143" t="s">
        <v>406</v>
      </c>
      <c r="C37" s="117"/>
    </row>
    <row r="38" spans="1:3" ht="408.95" customHeight="1">
      <c r="B38" s="143" t="s">
        <v>414</v>
      </c>
      <c r="C38" s="117"/>
    </row>
    <row r="39" spans="1:3" ht="408.95" customHeight="1">
      <c r="B39" s="143" t="s">
        <v>515</v>
      </c>
      <c r="C39" s="117"/>
    </row>
    <row r="40" spans="1:3" ht="408.95" customHeight="1">
      <c r="B40" s="143" t="s">
        <v>415</v>
      </c>
      <c r="C40" s="117"/>
    </row>
    <row r="41" spans="1:3">
      <c r="A41" t="s">
        <v>297</v>
      </c>
    </row>
  </sheetData>
  <autoFilter ref="B30:B40" xr:uid="{CB7F311D-2761-4053-A85B-417419E6C31D}"/>
  <mergeCells count="1">
    <mergeCell ref="A1:C1"/>
  </mergeCells>
  <hyperlinks>
    <hyperlink ref="A1" location="Dashboard!A1" display="Return to dashboard" xr:uid="{6B74E936-B0E5-4BC3-9021-F25D266D58C3}"/>
    <hyperlink ref="B9" r:id="rId1" display="NZTA One National Framework  webpage and notes" xr:uid="{9A0F526C-6F6A-4C1F-8D13-6E752028741E}"/>
    <hyperlink ref="B7" location="pMenus!B9" display="ONF groups as used in this tool" xr:uid="{AEB331E2-3E32-488E-8D1F-CACCBC43F05D}"/>
    <hyperlink ref="B8" location="pONF!A1" display="ONF mapping to US road classes" xr:uid="{00507F96-C23A-433D-9D15-17D48880E3F8}"/>
    <hyperlink ref="B10" location="nAdmin!B14" display="Data available by ONF" xr:uid="{193FC6A4-5AE1-4537-AC61-FA4AAD6E01A6}"/>
    <hyperlink ref="B6" r:id="rId2" xr:uid="{2CE1EE90-4C04-464D-8D75-E483AB7D2CF5}"/>
  </hyperlinks>
  <pageMargins left="0.7" right="0.7" top="0.75" bottom="0.75" header="0.3" footer="0.3"/>
  <pageSetup paperSize="9" orientation="portrait"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F9D1-8DCC-49FA-978A-71ADEA4864E8}">
  <sheetPr codeName="Sheet26">
    <tabColor theme="7" tint="0.79998168889431442"/>
  </sheetPr>
  <dimension ref="A1:C27"/>
  <sheetViews>
    <sheetView workbookViewId="0">
      <selection activeCell="B3" sqref="B3"/>
    </sheetView>
  </sheetViews>
  <sheetFormatPr defaultRowHeight="15"/>
  <cols>
    <col min="1" max="1" width="1.5703125" customWidth="1"/>
    <col min="2" max="2" width="22.7109375" customWidth="1"/>
  </cols>
  <sheetData>
    <row r="1" spans="1:3">
      <c r="A1" s="515" t="s">
        <v>280</v>
      </c>
      <c r="B1" s="515"/>
    </row>
    <row r="2" spans="1:3">
      <c r="A2" s="295" t="s">
        <v>1021</v>
      </c>
    </row>
    <row r="5" spans="1:3">
      <c r="B5" s="295" t="s">
        <v>635</v>
      </c>
    </row>
    <row r="6" spans="1:3">
      <c r="B6" s="84" t="s">
        <v>1125</v>
      </c>
      <c r="C6" s="93" t="s">
        <v>1126</v>
      </c>
    </row>
    <row r="7" spans="1:3">
      <c r="B7" s="84" t="s">
        <v>644</v>
      </c>
      <c r="C7" s="93" t="s">
        <v>1022</v>
      </c>
    </row>
    <row r="8" spans="1:3">
      <c r="B8" s="84" t="s">
        <v>786</v>
      </c>
      <c r="C8" s="93" t="str">
        <f>nMethod2!A2</f>
        <v>Cost elasticity approach used in Step 2 (Method 2)</v>
      </c>
    </row>
    <row r="9" spans="1:3">
      <c r="B9" s="84"/>
    </row>
    <row r="10" spans="1:3">
      <c r="B10" s="84"/>
    </row>
    <row r="11" spans="1:3">
      <c r="B11" s="295" t="s">
        <v>631</v>
      </c>
    </row>
    <row r="23" spans="1:2">
      <c r="B23" s="295"/>
    </row>
    <row r="27" spans="1:2">
      <c r="A27" t="s">
        <v>297</v>
      </c>
    </row>
  </sheetData>
  <mergeCells count="1">
    <mergeCell ref="A1:B1"/>
  </mergeCells>
  <hyperlinks>
    <hyperlink ref="A1" location="Dashboard!A1" display="Return to dashboard" xr:uid="{8943E177-A6EE-444D-969B-DFF16F9D803C}"/>
    <hyperlink ref="B7" r:id="rId1" xr:uid="{3D2AD24A-4DF9-4639-83E6-5AAB0DB6DEA2}"/>
    <hyperlink ref="B8" location="nMethod2!A1" display="Method 2" xr:uid="{CB5A4D08-5A95-4C84-B29F-3464C393DFE3}"/>
    <hyperlink ref="B6" r:id="rId2" xr:uid="{D53D4039-6BB2-4B59-9A8D-27DD5925866F}"/>
  </hyperlinks>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FB583-D70D-44E5-A322-8714D506AFBE}">
  <sheetPr codeName="Sheet27">
    <tabColor theme="7" tint="0.79998168889431442"/>
  </sheetPr>
  <dimension ref="A1:P48"/>
  <sheetViews>
    <sheetView workbookViewId="0">
      <selection activeCell="B4" sqref="B4"/>
    </sheetView>
  </sheetViews>
  <sheetFormatPr defaultRowHeight="15"/>
  <cols>
    <col min="1" max="1" width="1.5703125" customWidth="1"/>
    <col min="2" max="2" width="16.7109375" customWidth="1"/>
  </cols>
  <sheetData>
    <row r="1" spans="1:3">
      <c r="A1" s="515" t="s">
        <v>280</v>
      </c>
      <c r="B1" s="515"/>
    </row>
    <row r="2" spans="1:3">
      <c r="A2" s="295" t="s">
        <v>1023</v>
      </c>
    </row>
    <row r="3" spans="1:3">
      <c r="A3" s="434" t="s">
        <v>844</v>
      </c>
    </row>
    <row r="4" spans="1:3">
      <c r="A4" s="84"/>
    </row>
    <row r="5" spans="1:3">
      <c r="B5" s="295" t="s">
        <v>635</v>
      </c>
    </row>
    <row r="6" spans="1:3">
      <c r="B6" s="84" t="s">
        <v>1125</v>
      </c>
      <c r="C6" s="93" t="s">
        <v>1126</v>
      </c>
    </row>
    <row r="7" spans="1:3">
      <c r="B7" s="84"/>
    </row>
    <row r="8" spans="1:3">
      <c r="B8" s="150"/>
    </row>
    <row r="9" spans="1:3">
      <c r="A9" s="297"/>
      <c r="B9" s="84"/>
    </row>
    <row r="10" spans="1:3">
      <c r="B10" s="84"/>
    </row>
    <row r="11" spans="1:3">
      <c r="B11" s="295" t="s">
        <v>631</v>
      </c>
    </row>
    <row r="13" spans="1:3">
      <c r="A13" s="297"/>
    </row>
    <row r="18" spans="1:2">
      <c r="B18" s="41" t="s">
        <v>804</v>
      </c>
    </row>
    <row r="19" spans="1:2">
      <c r="B19" s="86" t="s">
        <v>803</v>
      </c>
    </row>
    <row r="20" spans="1:2">
      <c r="A20" s="297"/>
      <c r="B20" s="86" t="s">
        <v>805</v>
      </c>
    </row>
    <row r="21" spans="1:2">
      <c r="A21" t="s">
        <v>297</v>
      </c>
    </row>
    <row r="23" spans="1:2">
      <c r="B23" s="295"/>
    </row>
    <row r="48" spans="8:16">
      <c r="H48" s="84"/>
      <c r="P48" s="84"/>
    </row>
  </sheetData>
  <mergeCells count="1">
    <mergeCell ref="A1:B1"/>
  </mergeCells>
  <hyperlinks>
    <hyperlink ref="A1" location="Dashboard!A1" display="Return to dashboard" xr:uid="{F1B60D2C-0484-4862-8287-6C83705AC633}"/>
    <hyperlink ref="B6" r:id="rId1" xr:uid="{EC189C8D-8455-47EB-9FBD-623583532842}"/>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FC865-AB00-4337-AE19-C586EDF6EA2C}">
  <sheetPr codeName="Sheet1">
    <pageSetUpPr fitToPage="1"/>
  </sheetPr>
  <dimension ref="A1:U105"/>
  <sheetViews>
    <sheetView zoomScale="80" zoomScaleNormal="80" workbookViewId="0">
      <selection activeCell="C1" sqref="C1"/>
    </sheetView>
  </sheetViews>
  <sheetFormatPr defaultRowHeight="15" outlineLevelRow="2"/>
  <cols>
    <col min="1" max="2" width="1.5703125" customWidth="1"/>
    <col min="3" max="3" width="48.7109375" customWidth="1"/>
    <col min="4" max="4" width="34.5703125" customWidth="1"/>
    <col min="5" max="5" width="3.5703125" customWidth="1"/>
    <col min="6" max="6" width="37.5703125" style="78" customWidth="1"/>
    <col min="7" max="7" width="1.5703125" customWidth="1"/>
    <col min="8" max="8" width="55.85546875" customWidth="1"/>
    <col min="9" max="10" width="10.5703125" customWidth="1"/>
    <col min="11" max="11" width="3.28515625" customWidth="1"/>
    <col min="12" max="12" width="35" customWidth="1"/>
    <col min="13" max="13" width="1.5703125" customWidth="1"/>
    <col min="14" max="14" width="12.140625" bestFit="1" customWidth="1"/>
    <col min="15" max="15" width="3.140625" customWidth="1"/>
    <col min="16" max="16" width="12" bestFit="1" customWidth="1"/>
    <col min="18" max="18" width="3.5703125" customWidth="1"/>
    <col min="20" max="20" width="29.7109375" customWidth="1"/>
    <col min="21" max="21" width="19.140625" customWidth="1"/>
  </cols>
  <sheetData>
    <row r="1" spans="1:13">
      <c r="A1" s="84"/>
      <c r="B1" s="84"/>
      <c r="M1" s="84"/>
    </row>
    <row r="5" spans="1:13" ht="23.25">
      <c r="C5" s="340" t="s">
        <v>675</v>
      </c>
      <c r="D5" s="341"/>
      <c r="E5" s="341"/>
      <c r="F5" s="342"/>
    </row>
    <row r="6" spans="1:13">
      <c r="C6" s="93" t="s">
        <v>1087</v>
      </c>
    </row>
    <row r="7" spans="1:13">
      <c r="C7" s="93" t="s">
        <v>1067</v>
      </c>
    </row>
    <row r="8" spans="1:13">
      <c r="C8" s="93" t="s">
        <v>1068</v>
      </c>
    </row>
    <row r="9" spans="1:13">
      <c r="C9" s="138" t="s">
        <v>663</v>
      </c>
      <c r="J9" s="85"/>
      <c r="K9" s="85"/>
    </row>
    <row r="10" spans="1:13">
      <c r="B10" s="301"/>
      <c r="C10" s="301"/>
      <c r="D10" s="301"/>
      <c r="E10" s="301"/>
      <c r="F10" s="302"/>
      <c r="G10" s="310"/>
      <c r="H10" s="301"/>
      <c r="I10" s="301"/>
      <c r="J10" s="303"/>
      <c r="K10" s="303"/>
      <c r="L10" s="301"/>
      <c r="M10" s="301"/>
    </row>
    <row r="11" spans="1:13">
      <c r="B11" s="304"/>
      <c r="C11" s="4" t="s">
        <v>281</v>
      </c>
      <c r="D11" s="4" t="s">
        <v>367</v>
      </c>
      <c r="E11" s="4"/>
      <c r="F11" s="281" t="s">
        <v>598</v>
      </c>
      <c r="G11" s="310"/>
      <c r="H11" s="4" t="s">
        <v>282</v>
      </c>
      <c r="L11" s="281" t="s">
        <v>598</v>
      </c>
      <c r="M11" s="304"/>
    </row>
    <row r="12" spans="1:13">
      <c r="B12" s="304"/>
      <c r="C12" s="479" t="str">
        <f>nMethods!$B$14 &amp; nMethods!$C$14</f>
        <v>Step 1. Estimate VKT change based on (minimal) lane-km information</v>
      </c>
      <c r="D12" s="480"/>
      <c r="E12" s="480"/>
      <c r="F12" s="481"/>
      <c r="G12" s="482"/>
      <c r="H12" s="480"/>
      <c r="I12" s="480"/>
      <c r="J12" s="480"/>
      <c r="K12" s="480"/>
      <c r="L12" s="480"/>
      <c r="M12" s="304"/>
    </row>
    <row r="13" spans="1:13" ht="29.45" customHeight="1">
      <c r="B13" s="301"/>
      <c r="C13" s="500" t="str">
        <f>nMethods!$D$14</f>
        <v xml:space="preserve">Takes road statistics for user-selected region and road class (see #1), plus user-provided project data (#2), plus tool-provided lane-km elasticities (#3), to give initial unadjusted estimate of change in VKT (labelled A) using international research on lane-km elasticities </v>
      </c>
      <c r="D13" s="500"/>
      <c r="E13" s="500"/>
      <c r="F13" s="500"/>
      <c r="G13" s="310"/>
      <c r="L13" s="280" t="s">
        <v>704</v>
      </c>
      <c r="M13" s="301"/>
    </row>
    <row r="14" spans="1:13" ht="45">
      <c r="B14" s="301"/>
      <c r="C14" s="153" t="s">
        <v>706</v>
      </c>
      <c r="D14" s="312" t="s">
        <v>1088</v>
      </c>
      <c r="F14" s="299" t="s">
        <v>702</v>
      </c>
      <c r="G14" s="310"/>
      <c r="H14" s="241" t="str">
        <f>"Road data for "&amp;D17&amp;" (selected class in red)"</f>
        <v>Road data for Canterbury (selected class in red)</v>
      </c>
      <c r="I14" s="282" t="s">
        <v>677</v>
      </c>
      <c r="J14" s="282" t="s">
        <v>678</v>
      </c>
      <c r="K14" s="282"/>
      <c r="L14" s="282" t="s">
        <v>771</v>
      </c>
      <c r="M14" s="301"/>
    </row>
    <row r="15" spans="1:13">
      <c r="B15" s="301"/>
      <c r="G15" s="310"/>
      <c r="H15" s="283" t="s">
        <v>1103</v>
      </c>
      <c r="I15" s="209"/>
      <c r="J15" s="284"/>
      <c r="K15" s="284"/>
      <c r="L15" s="284"/>
      <c r="M15" s="301"/>
    </row>
    <row r="16" spans="1:13">
      <c r="B16" s="301"/>
      <c r="C16" s="180" t="s">
        <v>1070</v>
      </c>
      <c r="F16" s="280" t="s">
        <v>1071</v>
      </c>
      <c r="G16" s="310">
        <v>1</v>
      </c>
      <c r="H16" s="209" t="s">
        <v>410</v>
      </c>
      <c r="I16" s="286">
        <f>cLanekmElasticity!C13</f>
        <v>91.98</v>
      </c>
      <c r="J16" s="286">
        <f>cLanekmElasticity!F13</f>
        <v>7185.3023438686787</v>
      </c>
      <c r="K16" s="286"/>
      <c r="L16" s="111">
        <f>cLanekmElasticity!E13</f>
        <v>660904.10958904109</v>
      </c>
      <c r="M16" s="301"/>
    </row>
    <row r="17" spans="2:13">
      <c r="B17" s="301"/>
      <c r="C17" s="153" t="s">
        <v>710</v>
      </c>
      <c r="D17" s="97" t="s">
        <v>283</v>
      </c>
      <c r="F17" s="299" t="s">
        <v>665</v>
      </c>
      <c r="G17" s="310">
        <v>2</v>
      </c>
      <c r="H17" s="209" t="s">
        <v>411</v>
      </c>
      <c r="I17" s="286">
        <f>cLanekmElasticity!C14</f>
        <v>240.57000000000002</v>
      </c>
      <c r="J17" s="286">
        <f>cLanekmElasticity!F14</f>
        <v>5821.3341487483203</v>
      </c>
      <c r="K17" s="286"/>
      <c r="L17" s="111">
        <f>cLanekmElasticity!E14</f>
        <v>1400438.3561643835</v>
      </c>
      <c r="M17" s="301"/>
    </row>
    <row r="18" spans="2:13">
      <c r="B18" s="301"/>
      <c r="C18" s="153" t="s">
        <v>1100</v>
      </c>
      <c r="D18" s="97" t="s">
        <v>1101</v>
      </c>
      <c r="F18" s="299" t="s">
        <v>666</v>
      </c>
      <c r="G18" s="310">
        <v>3</v>
      </c>
      <c r="H18" s="209" t="s">
        <v>404</v>
      </c>
      <c r="I18" s="286">
        <f>cLanekmElasticity!C15</f>
        <v>1203.17</v>
      </c>
      <c r="J18" s="286">
        <f>cLanekmElasticity!F15</f>
        <v>3121.5712010088414</v>
      </c>
      <c r="K18" s="286"/>
      <c r="L18" s="111">
        <f>cLanekmElasticity!E15</f>
        <v>3755780.8219178081</v>
      </c>
      <c r="M18" s="301"/>
    </row>
    <row r="19" spans="2:13">
      <c r="B19" s="301"/>
      <c r="C19" s="153" t="s">
        <v>709</v>
      </c>
      <c r="D19" s="118" t="s">
        <v>411</v>
      </c>
      <c r="F19" s="299" t="s">
        <v>667</v>
      </c>
      <c r="G19" s="310">
        <v>4</v>
      </c>
      <c r="H19" s="209" t="s">
        <v>406</v>
      </c>
      <c r="I19" s="286">
        <f>cLanekmElasticity!C16</f>
        <v>1243.9000000000001</v>
      </c>
      <c r="J19" s="286">
        <f>cLanekmElasticity!F16</f>
        <v>1218.63736128196</v>
      </c>
      <c r="K19" s="286"/>
      <c r="L19" s="111">
        <f>cLanekmElasticity!E16</f>
        <v>1515863.01369863</v>
      </c>
      <c r="M19" s="301"/>
    </row>
    <row r="20" spans="2:13">
      <c r="B20" s="301"/>
      <c r="F20" s="362" t="str">
        <f>IF(I31=0.0001,"No selected class exists in region - change existing road settings","")</f>
        <v/>
      </c>
      <c r="G20" s="310">
        <v>5</v>
      </c>
      <c r="H20" s="283" t="s">
        <v>707</v>
      </c>
      <c r="I20" s="287"/>
      <c r="J20" s="287"/>
      <c r="K20" s="287"/>
      <c r="L20" s="288"/>
      <c r="M20" s="301"/>
    </row>
    <row r="21" spans="2:13">
      <c r="B21" s="301"/>
      <c r="C21" s="180" t="s">
        <v>934</v>
      </c>
      <c r="F21" s="485" t="s">
        <v>1045</v>
      </c>
      <c r="G21" s="310">
        <v>6</v>
      </c>
      <c r="H21" s="209" t="s">
        <v>416</v>
      </c>
      <c r="I21" s="286">
        <f>cLanekmElasticity!C18</f>
        <v>3.09</v>
      </c>
      <c r="J21" s="286">
        <f>cLanekmElasticity!F18</f>
        <v>2021.5454182737067</v>
      </c>
      <c r="K21" s="286"/>
      <c r="L21" s="111">
        <f>cLanekmElasticity!E18</f>
        <v>6246.5753424657532</v>
      </c>
      <c r="M21" s="301"/>
    </row>
    <row r="22" spans="2:13">
      <c r="B22" s="301"/>
      <c r="C22" s="153" t="s">
        <v>908</v>
      </c>
      <c r="D22" s="97">
        <v>1</v>
      </c>
      <c r="F22" s="280" t="s">
        <v>1089</v>
      </c>
      <c r="G22" s="310">
        <v>7</v>
      </c>
      <c r="H22" s="209" t="s">
        <v>411</v>
      </c>
      <c r="I22" s="286">
        <f>cLanekmElasticity!C19</f>
        <v>1180.82</v>
      </c>
      <c r="J22" s="286">
        <f>cLanekmElasticity!F19</f>
        <v>4014.7629010070323</v>
      </c>
      <c r="K22" s="286"/>
      <c r="L22" s="111">
        <f>cLanekmElasticity!E19</f>
        <v>4740712.3287671236</v>
      </c>
      <c r="M22" s="301"/>
    </row>
    <row r="23" spans="2:13">
      <c r="B23" s="301"/>
      <c r="C23" s="153" t="s">
        <v>917</v>
      </c>
      <c r="D23" s="97">
        <v>2</v>
      </c>
      <c r="E23" s="374">
        <f>IF(COUNTIF(aCASTCI!P26:P32,Dashboard!D23)&lt;1,0,IF(D23="",0,1))</f>
        <v>1</v>
      </c>
      <c r="F23" s="280" t="s">
        <v>787</v>
      </c>
      <c r="G23" s="310">
        <v>8</v>
      </c>
      <c r="H23" s="209" t="s">
        <v>408</v>
      </c>
      <c r="I23" s="286">
        <f>cLanekmElasticity!C20</f>
        <v>196.07</v>
      </c>
      <c r="J23" s="286">
        <f>cLanekmElasticity!F20</f>
        <v>2225.2326713062362</v>
      </c>
      <c r="K23" s="286"/>
      <c r="L23" s="111">
        <f>cLanekmElasticity!E20</f>
        <v>436301.36986301368</v>
      </c>
      <c r="M23" s="301"/>
    </row>
    <row r="24" spans="2:13">
      <c r="B24" s="301"/>
      <c r="C24" s="153" t="s">
        <v>918</v>
      </c>
      <c r="D24" s="97">
        <v>4</v>
      </c>
      <c r="E24" s="374">
        <f>IF(COUNTIF(aCASTCI!Q26:Q32,Dashboard!D24)&lt;1,0,IF(D24&lt;=D23,0,1))</f>
        <v>1</v>
      </c>
      <c r="F24" s="362" t="str">
        <f>IF(I33&lt;=0,"STOP. No. of lanes must be above existing","")</f>
        <v/>
      </c>
      <c r="G24" s="310">
        <v>9</v>
      </c>
      <c r="H24" s="209" t="s">
        <v>404</v>
      </c>
      <c r="I24" s="286">
        <f>cLanekmElasticity!C21</f>
        <v>0.36999999999989086</v>
      </c>
      <c r="J24" s="286">
        <f>cLanekmElasticity!F21</f>
        <v>2591.6327286208048</v>
      </c>
      <c r="K24" s="286"/>
      <c r="L24" s="111">
        <f>cLanekmElasticity!E21</f>
        <v>958.90410958941493</v>
      </c>
      <c r="M24" s="301"/>
    </row>
    <row r="25" spans="2:13">
      <c r="B25" s="301"/>
      <c r="C25" s="411" t="s">
        <v>922</v>
      </c>
      <c r="F25" s="299" t="s">
        <v>669</v>
      </c>
      <c r="G25" s="310">
        <v>10</v>
      </c>
      <c r="H25" s="209" t="s">
        <v>406</v>
      </c>
      <c r="I25" s="286">
        <f>cLanekmElasticity!C22</f>
        <v>25064.49</v>
      </c>
      <c r="J25" s="286">
        <f>cLanekmElasticity!F22</f>
        <v>200.78397546510939</v>
      </c>
      <c r="K25" s="286"/>
      <c r="L25" s="111">
        <f>cLanekmElasticity!E22</f>
        <v>5032547.9452054799</v>
      </c>
      <c r="M25" s="301"/>
    </row>
    <row r="26" spans="2:13" outlineLevel="1">
      <c r="B26" s="301"/>
      <c r="G26" s="310"/>
      <c r="M26" s="301"/>
    </row>
    <row r="27" spans="2:13" ht="60" outlineLevel="1">
      <c r="B27" s="301"/>
      <c r="F27" s="299" t="s">
        <v>668</v>
      </c>
      <c r="G27" s="310"/>
      <c r="I27" s="158" t="s">
        <v>366</v>
      </c>
      <c r="J27" s="158" t="s">
        <v>909</v>
      </c>
      <c r="K27" s="158"/>
      <c r="M27" s="301"/>
    </row>
    <row r="28" spans="2:13" outlineLevel="1">
      <c r="B28" s="301"/>
      <c r="C28" t="s">
        <v>911</v>
      </c>
      <c r="F28" s="311" t="s">
        <v>705</v>
      </c>
      <c r="G28" s="310"/>
      <c r="H28" s="176" t="s">
        <v>370</v>
      </c>
      <c r="I28" s="421">
        <f>cLanekmElasticity!D26</f>
        <v>0.6</v>
      </c>
      <c r="L28" s="280" t="s">
        <v>912</v>
      </c>
      <c r="M28" s="301"/>
    </row>
    <row r="29" spans="2:13" outlineLevel="1">
      <c r="B29" s="301"/>
      <c r="C29" s="408" t="s">
        <v>1063</v>
      </c>
      <c r="G29" s="310"/>
      <c r="H29" s="410" t="s">
        <v>662</v>
      </c>
      <c r="I29" s="167">
        <f>IFERROR(cLanekmElasticity!C75,0)</f>
        <v>6974.0307352457721</v>
      </c>
      <c r="L29" s="315" t="s">
        <v>713</v>
      </c>
      <c r="M29" s="301"/>
    </row>
    <row r="30" spans="2:13" outlineLevel="1">
      <c r="B30" s="301"/>
      <c r="C30" s="484" t="s">
        <v>1073</v>
      </c>
      <c r="G30" s="310"/>
      <c r="H30" s="176" t="s">
        <v>373</v>
      </c>
      <c r="I30" s="423">
        <f>(D24-D23)*D22</f>
        <v>2</v>
      </c>
      <c r="L30" s="315" t="s">
        <v>711</v>
      </c>
      <c r="M30" s="301"/>
    </row>
    <row r="31" spans="2:13" outlineLevel="1">
      <c r="B31" s="301"/>
      <c r="C31" s="484" t="s">
        <v>920</v>
      </c>
      <c r="G31" s="310"/>
      <c r="H31" s="176" t="s">
        <v>374</v>
      </c>
      <c r="I31" s="424">
        <f>IFERROR(cLanekmElasticity!C32,0.0001)</f>
        <v>8.3135885605021397E-3</v>
      </c>
      <c r="L31" s="315" t="s">
        <v>712</v>
      </c>
      <c r="M31" s="301"/>
    </row>
    <row r="32" spans="2:13" outlineLevel="1">
      <c r="B32" s="301"/>
      <c r="C32" s="484" t="s">
        <v>913</v>
      </c>
      <c r="G32" s="310"/>
      <c r="H32" s="176" t="s">
        <v>676</v>
      </c>
      <c r="I32" s="422">
        <f>IFERROR(cLanekmElasticity!F29*IF(D23=0,2,D23),0)</f>
        <v>11642.668297496641</v>
      </c>
      <c r="L32" s="315" t="s">
        <v>916</v>
      </c>
      <c r="M32" s="301"/>
    </row>
    <row r="33" spans="2:21" outlineLevel="1">
      <c r="B33" s="301"/>
      <c r="C33" s="484" t="s">
        <v>1074</v>
      </c>
      <c r="G33" s="310"/>
      <c r="H33" s="176" t="s">
        <v>372</v>
      </c>
      <c r="I33" s="423">
        <f>D24-D23</f>
        <v>2</v>
      </c>
      <c r="J33" s="179"/>
      <c r="K33" s="179"/>
      <c r="L33" s="315" t="s">
        <v>919</v>
      </c>
      <c r="M33" s="301"/>
    </row>
    <row r="34" spans="2:21" outlineLevel="1">
      <c r="B34" s="301"/>
      <c r="G34" s="310"/>
      <c r="I34" s="86"/>
      <c r="J34" s="86"/>
      <c r="K34" s="86"/>
      <c r="M34" s="301"/>
    </row>
    <row r="35" spans="2:21">
      <c r="B35" s="301"/>
      <c r="C35" s="298" t="s">
        <v>772</v>
      </c>
      <c r="G35" s="310"/>
      <c r="M35" s="301"/>
    </row>
    <row r="36" spans="2:21">
      <c r="B36" s="304"/>
      <c r="C36" s="479" t="str">
        <f>nMethods!$B$15 &amp; nMethods!$C$15</f>
        <v>Step 2. Estimate VKT based on travel cost changes</v>
      </c>
      <c r="D36" s="480"/>
      <c r="E36" s="480"/>
      <c r="F36" s="481"/>
      <c r="G36" s="482"/>
      <c r="H36" s="480"/>
      <c r="I36" s="480"/>
      <c r="J36" s="480"/>
      <c r="K36" s="480"/>
      <c r="L36" s="480"/>
      <c r="M36" s="304"/>
    </row>
    <row r="37" spans="2:21" s="308" customFormat="1" ht="45.6" customHeight="1">
      <c r="B37" s="313"/>
      <c r="C37" s="500" t="str">
        <f>nMethods!$D$15</f>
        <v>If Step 2 is enabled (see #4), then  a second estimate of change in VKT (labelled B) is made from user-provided project data (#5), plus tool-provided speed-flow curves (#6), plus user-provided tolls (#7), plus MBCM-reported cost elasticities (#8). IMPORTANT: results are sensitive to current AADT and implied congestion levels.</v>
      </c>
      <c r="D37" s="500"/>
      <c r="E37" s="500"/>
      <c r="F37" s="500"/>
      <c r="G37" s="314"/>
      <c r="J37" s="412" t="str">
        <f>D18&amp;"_"&amp;D19</f>
        <v>NZTA_Urban Connectors</v>
      </c>
      <c r="K37" s="374">
        <f>IF(LEFT($D$19,5)="Rural",0,1)</f>
        <v>1</v>
      </c>
      <c r="L37" s="425" t="str">
        <f>IF(LEFT($D$19,5)="Rural","Step 2 disabled as Rural Road type selected","Step 2 possible as non Rural Road type selected")</f>
        <v>Step 2 possible as non Rural Road type selected</v>
      </c>
      <c r="M37" s="313"/>
      <c r="T37"/>
      <c r="U37"/>
    </row>
    <row r="38" spans="2:21" s="308" customFormat="1" ht="14.45" customHeight="1">
      <c r="B38" s="313"/>
      <c r="C38" s="180" t="s">
        <v>1072</v>
      </c>
      <c r="D38" s="420" t="s">
        <v>1127</v>
      </c>
      <c r="E38" s="374">
        <f>IF(D38="Enable",1,0)</f>
        <v>0</v>
      </c>
      <c r="F38" s="280" t="s">
        <v>1082</v>
      </c>
      <c r="G38" s="314"/>
      <c r="J38" s="412"/>
      <c r="K38" s="374"/>
      <c r="L38" s="425"/>
      <c r="M38" s="313"/>
      <c r="T38"/>
      <c r="U38"/>
    </row>
    <row r="39" spans="2:21" ht="14.45" customHeight="1" outlineLevel="1">
      <c r="B39" s="301"/>
      <c r="C39" s="180" t="str">
        <f>"#5 Input further project context for "&amp;IF(D23=0,"'Case 2 - Add a New Road'", "'Case 1 - Modify Existing Road'")</f>
        <v>#5 Input further project context for 'Case 1 - Modify Existing Road'</v>
      </c>
      <c r="D39" s="4"/>
      <c r="F39" s="280" t="s">
        <v>926</v>
      </c>
      <c r="G39" s="310"/>
      <c r="H39" s="176" t="s">
        <v>923</v>
      </c>
      <c r="I39" s="86"/>
      <c r="J39" s="380">
        <f>J40/IF(D23&gt;1,D23,D24)/cConvergenceC1!E54</f>
        <v>646.81490541648009</v>
      </c>
      <c r="K39">
        <f>IF(J39&lt;2000,1,0)</f>
        <v>1</v>
      </c>
      <c r="L39" s="426" t="str">
        <f>IF(K39=1,"AADT implies lane capacity is available","AADT implies unrealistic lane capacity")</f>
        <v>AADT implies lane capacity is available</v>
      </c>
      <c r="M39" s="301"/>
    </row>
    <row r="40" spans="2:21" outlineLevel="1">
      <c r="B40" s="301"/>
      <c r="C40" s="153" t="str">
        <f>IF(D23&gt;0,"AADT of existing road (if known):","AADT of nearest alternate road (if known):")</f>
        <v>AADT of existing road (if known):</v>
      </c>
      <c r="D40" s="151">
        <v>0</v>
      </c>
      <c r="E40" s="374">
        <f>IF(D40=0,0,1)</f>
        <v>0</v>
      </c>
      <c r="F40" s="280" t="s">
        <v>1078</v>
      </c>
      <c r="G40" s="310"/>
      <c r="H40" s="176" t="s">
        <v>775</v>
      </c>
      <c r="J40" s="359">
        <f>IF(D40&gt;0,D40,I32)</f>
        <v>11642.668297496641</v>
      </c>
      <c r="L40" s="486" t="s">
        <v>1083</v>
      </c>
      <c r="M40" s="301"/>
    </row>
    <row r="41" spans="2:21" outlineLevel="1">
      <c r="B41" s="301"/>
      <c r="C41" s="170" t="s">
        <v>386</v>
      </c>
      <c r="D41" s="118" t="s">
        <v>79</v>
      </c>
      <c r="F41" s="299" t="s">
        <v>599</v>
      </c>
      <c r="G41" s="310"/>
      <c r="H41" s="176" t="s">
        <v>832</v>
      </c>
      <c r="J41" s="26">
        <f>IFERROR(IF(_xlfn.XLOOKUP(D41,aMBCMtables!D12:D21,aMBCMtables!E12:E21)&gt;D22,_xlfn.XLOOKUP(D41,aMBCMtables!D12:D21,aMBCMtables!E12:E21),D22),0)</f>
        <v>8.0500000000000007</v>
      </c>
      <c r="K41" s="413">
        <f>IF(D22&lt;=_xlfn.XLOOKUP(D41,aMBCMtables!D12:D21,aMBCMtables!E12:E21),1,0)</f>
        <v>1</v>
      </c>
      <c r="L41" s="487" t="s">
        <v>1079</v>
      </c>
      <c r="M41" s="301"/>
    </row>
    <row r="42" spans="2:21" outlineLevel="1">
      <c r="B42" s="301"/>
      <c r="C42" s="280"/>
      <c r="D42" s="280"/>
      <c r="E42" s="280"/>
      <c r="F42" s="280"/>
      <c r="G42" s="310"/>
      <c r="H42" s="176" t="s">
        <v>790</v>
      </c>
      <c r="J42" s="2">
        <f>IF(D23=0,D22,0)</f>
        <v>0</v>
      </c>
      <c r="K42" s="77"/>
      <c r="L42" s="419" t="s">
        <v>601</v>
      </c>
      <c r="M42" s="301"/>
    </row>
    <row r="43" spans="2:21" outlineLevel="1">
      <c r="B43" s="301"/>
      <c r="C43" s="153" t="str">
        <f>IF(D23&gt;0,"","Number of lanes on nearest alternative route:")</f>
        <v/>
      </c>
      <c r="D43" s="151">
        <v>0</v>
      </c>
      <c r="E43" s="374"/>
      <c r="F43" s="280" t="s">
        <v>791</v>
      </c>
      <c r="G43" s="310"/>
      <c r="M43" s="301"/>
    </row>
    <row r="44" spans="2:21" outlineLevel="1">
      <c r="B44" s="301"/>
      <c r="C44" s="153" t="str">
        <f>IF(D23&gt;0,"Posted speed limit of existing road (kph):","Posted speed limit nearest alternative roads (kph):")</f>
        <v>Posted speed limit of existing road (kph):</v>
      </c>
      <c r="D44" s="151">
        <v>80</v>
      </c>
      <c r="E44" s="374">
        <f>IF(COUNTIF(aCASTCI!P11:P20,Dashboard!D44)&lt;1,0,IF(D44="",0,1))</f>
        <v>1</v>
      </c>
      <c r="F44" s="374">
        <f>IF(AND(D23=0,D45&lt;D44),0,1)</f>
        <v>1</v>
      </c>
      <c r="G44" s="310"/>
      <c r="L44" s="179" t="s">
        <v>1094</v>
      </c>
      <c r="M44" s="301"/>
    </row>
    <row r="45" spans="2:21" outlineLevel="1">
      <c r="B45" s="301"/>
      <c r="C45" s="153" t="s">
        <v>569</v>
      </c>
      <c r="D45" s="97">
        <v>80</v>
      </c>
      <c r="E45" s="374">
        <f>IF(COUNTIF(aCASTCI!Q11:Q20,Dashboard!D45)&lt;1,0,IF(D45="",0,1))</f>
        <v>1</v>
      </c>
      <c r="F45" s="407" t="str">
        <f>IF(AND(D23=0,D$45&lt;D$44),"Warning, speed is lower than alternative","")</f>
        <v/>
      </c>
      <c r="G45" s="310"/>
      <c r="L45" s="427" t="str">
        <f>IF(cConvergenceC1!E54=9,"V/C calculated using default parameter of 9","V/C default parameter 9 has been changed - see above warning")</f>
        <v>V/C calculated using default parameter of 9</v>
      </c>
      <c r="M45" s="301"/>
    </row>
    <row r="46" spans="2:21" outlineLevel="1">
      <c r="B46" s="301"/>
      <c r="C46" s="180" t="s">
        <v>1075</v>
      </c>
      <c r="D46" s="150"/>
      <c r="E46" s="150"/>
      <c r="F46" s="407"/>
      <c r="G46" s="310"/>
      <c r="H46" s="176" t="s">
        <v>1092</v>
      </c>
      <c r="J46" s="414">
        <f>IF(D23&gt;0,IFERROR(cVolDelay!D22,0),IFERROR(cVolDelay!D28,0))</f>
        <v>0.40425931588530006</v>
      </c>
      <c r="K46" s="379">
        <f>IFERROR(IF(J46&gt;0.7,0,1),-1)</f>
        <v>1</v>
      </c>
      <c r="L46" s="430" t="str">
        <f>IF(K46=0,"Congested. BEWARE: large change possible",IF(K46=1,"Not Congested","Error - no Vol Delay Curve"))</f>
        <v>Not Congested</v>
      </c>
      <c r="M46" s="301"/>
    </row>
    <row r="47" spans="2:21" outlineLevel="1">
      <c r="B47" s="301"/>
      <c r="C47" s="180" t="s">
        <v>937</v>
      </c>
      <c r="D47" s="150"/>
      <c r="E47" s="150"/>
      <c r="F47" s="150"/>
      <c r="G47" s="310"/>
      <c r="H47" s="176" t="s">
        <v>925</v>
      </c>
      <c r="J47" s="415">
        <f>IFERROR(ROUND(IF($D$23=0,cVolDelay!D$27,cVolDelay!D$21),0),0)</f>
        <v>66</v>
      </c>
      <c r="K47" s="379">
        <f>IF(J47&lt;=cVolDelay!D$16,0,1)</f>
        <v>1</v>
      </c>
      <c r="L47" s="430" t="str">
        <f>IFERROR(IF(K47=0,"Low speed cut-off invoked", "Congested speed"),"V/C Not able to be calculated, posted speed used")</f>
        <v>Congested speed</v>
      </c>
      <c r="M47" s="301"/>
    </row>
    <row r="48" spans="2:21" outlineLevel="1">
      <c r="B48" s="301"/>
      <c r="C48" s="170" t="s">
        <v>607</v>
      </c>
      <c r="D48" s="97">
        <v>0</v>
      </c>
      <c r="F48" s="299" t="s">
        <v>600</v>
      </c>
      <c r="G48" s="310"/>
      <c r="H48" s="176" t="s">
        <v>834</v>
      </c>
      <c r="J48" s="80">
        <f>IF(D23&gt;0,IFERROR(cVolDelay!S22,0),IFERROR(cVolDelay!S28,0))</f>
        <v>0.17079959666063646</v>
      </c>
      <c r="K48" s="379">
        <f>IFERROR(IF(J48&gt;0.7,0,1),-1)</f>
        <v>1</v>
      </c>
      <c r="L48" s="430" t="str">
        <f>IF(K48=0,"Congested", IF(K48=1,"Not Congested","Check speed and lane choice for vol delay curve"))</f>
        <v>Not Congested</v>
      </c>
      <c r="M48" s="301"/>
    </row>
    <row r="49" spans="2:13" outlineLevel="1">
      <c r="B49" s="301"/>
      <c r="C49" s="170" t="str">
        <f>IF(D23&gt;0,"Tolling on existing road ($):","Tolling on nearest alternative roads ($):")</f>
        <v>Tolling on existing road ($):</v>
      </c>
      <c r="D49" s="97">
        <v>0</v>
      </c>
      <c r="F49" s="280" t="s">
        <v>792</v>
      </c>
      <c r="G49" s="310"/>
      <c r="H49" s="176" t="s">
        <v>924</v>
      </c>
      <c r="J49" s="415">
        <f>IFERROR(ROUND(IF($D$23=0,cVolDelay!S$27,cVolDelay!S$21),0),D45)</f>
        <v>82</v>
      </c>
      <c r="K49" s="379">
        <f>IF(J49&lt;=cVolDelay!S$16,0,1)</f>
        <v>1</v>
      </c>
      <c r="L49" s="430" t="str">
        <f>IFERROR(IF(K49=0,"Low speed cut-off invoked", "Congested speed"),"V/C Not able to be calculated, posted speed used")</f>
        <v>Congested speed</v>
      </c>
      <c r="M49" s="301"/>
    </row>
    <row r="50" spans="2:13" outlineLevel="1">
      <c r="B50" s="301"/>
      <c r="C50" s="180" t="s">
        <v>938</v>
      </c>
      <c r="D50" s="150"/>
      <c r="F50" s="299"/>
      <c r="G50" s="310"/>
      <c r="H50" s="176" t="s">
        <v>835</v>
      </c>
      <c r="J50" s="416">
        <f>IFERROR(IF(D$23=0,cConvergenceC2!T47,cConvergenceC1!T47),0)</f>
        <v>40.024114090892908</v>
      </c>
      <c r="K50" s="417"/>
      <c r="M50" s="301"/>
    </row>
    <row r="51" spans="2:13" outlineLevel="1">
      <c r="B51" s="301"/>
      <c r="C51" s="411" t="s">
        <v>929</v>
      </c>
      <c r="D51" s="150"/>
      <c r="F51" s="299"/>
      <c r="G51" s="310"/>
      <c r="H51" s="176" t="s">
        <v>836</v>
      </c>
      <c r="J51" s="418">
        <f>IFERROR(IF(D$23=0,cConvergenceC2!T48,cConvergenceC1!T48),0)</f>
        <v>3.4377097301224952E-3</v>
      </c>
      <c r="K51" s="77"/>
      <c r="M51" s="301"/>
    </row>
    <row r="52" spans="2:13" outlineLevel="1">
      <c r="B52" s="301"/>
      <c r="G52" s="310"/>
      <c r="H52" s="176" t="s">
        <v>927</v>
      </c>
      <c r="I52" s="78"/>
      <c r="J52" s="361">
        <f>IF(D38="Disable",0,IFERROR(cConvergenceC1!T36/cConvergenceC1!E36-1,0))</f>
        <v>0</v>
      </c>
      <c r="K52" s="78"/>
      <c r="L52" s="280" t="s">
        <v>921</v>
      </c>
      <c r="M52" s="301"/>
    </row>
    <row r="53" spans="2:13" outlineLevel="1">
      <c r="B53" s="301"/>
      <c r="C53" s="408" t="s">
        <v>1062</v>
      </c>
      <c r="G53" s="310"/>
      <c r="L53" s="280" t="s">
        <v>807</v>
      </c>
      <c r="M53" s="301"/>
    </row>
    <row r="54" spans="2:13" outlineLevel="1">
      <c r="B54" s="301"/>
      <c r="C54" s="408" t="s">
        <v>1095</v>
      </c>
      <c r="D54" s="86"/>
      <c r="F54" s="299"/>
      <c r="G54" s="310"/>
      <c r="M54" s="301"/>
    </row>
    <row r="55" spans="2:13" ht="30" outlineLevel="1">
      <c r="B55" s="301"/>
      <c r="C55" s="408" t="s">
        <v>1096</v>
      </c>
      <c r="F55" s="299"/>
      <c r="G55" s="310"/>
      <c r="H55" s="410" t="s">
        <v>788</v>
      </c>
      <c r="I55" s="375"/>
      <c r="J55" s="360">
        <f>IFERROR(cGC!E50,"Cannot compute")</f>
        <v>322.194118431682</v>
      </c>
      <c r="K55" s="374">
        <f>IF(AND(E38=1,K37=1),IF(ISERROR(cGC!E50),0,1),0)</f>
        <v>0</v>
      </c>
      <c r="L55" s="488" t="str">
        <f>IF(K55=1, "Step 2 has been calculated", "Step 2 not applied, result not used in subsequent calculations.")</f>
        <v>Step 2 not applied, result not used in subsequent calculations.</v>
      </c>
      <c r="M55" s="301"/>
    </row>
    <row r="56" spans="2:13" outlineLevel="1">
      <c r="B56" s="301"/>
      <c r="C56" s="408" t="s">
        <v>1097</v>
      </c>
      <c r="F56" s="299"/>
      <c r="G56" s="310"/>
      <c r="H56" s="176" t="s">
        <v>379</v>
      </c>
      <c r="J56" s="168">
        <f>IFERROR(I28*J55/I29,"")</f>
        <v>2.7719475063683743E-2</v>
      </c>
      <c r="L56" s="280" t="s">
        <v>789</v>
      </c>
      <c r="M56" s="301"/>
    </row>
    <row r="57" spans="2:13" outlineLevel="1">
      <c r="B57" s="301"/>
      <c r="C57" s="408"/>
      <c r="F57" s="299"/>
      <c r="G57" s="310"/>
      <c r="H57" s="176"/>
      <c r="L57" s="280" t="s">
        <v>800</v>
      </c>
      <c r="M57" s="301"/>
    </row>
    <row r="58" spans="2:13">
      <c r="B58" s="301"/>
      <c r="C58" s="298" t="s">
        <v>648</v>
      </c>
      <c r="F58" s="299"/>
      <c r="G58" s="310"/>
      <c r="H58" s="78"/>
      <c r="L58" s="280"/>
      <c r="M58" s="301"/>
    </row>
    <row r="59" spans="2:13">
      <c r="B59" s="301"/>
      <c r="C59" s="479" t="str">
        <f>nMethods!$B$16 &amp; nMethods!$C$16</f>
        <v>Step 3. Choose between A and B (or other), then adjust for other known factors</v>
      </c>
      <c r="D59" s="480"/>
      <c r="E59" s="480"/>
      <c r="F59" s="483"/>
      <c r="G59" s="482"/>
      <c r="H59" s="480"/>
      <c r="I59" s="480"/>
      <c r="J59" s="480"/>
      <c r="K59" s="480"/>
      <c r="L59" s="480"/>
      <c r="M59" s="301"/>
    </row>
    <row r="60" spans="2:13" ht="35.25" customHeight="1">
      <c r="B60" s="301"/>
      <c r="C60" s="500" t="str">
        <f>nMethods!$D$16</f>
        <v>Uses a lane-km elasticity, either from A or implied by B or a user-provided override (#9), then adjusts for user-selected PT and land use factors (#10), and then allows provides another opportunity for a user-provided override (#11) (NB this step can be skipped)</v>
      </c>
      <c r="D60" s="500"/>
      <c r="E60" s="500"/>
      <c r="F60" s="500"/>
      <c r="G60" s="310"/>
      <c r="L60" s="280"/>
      <c r="M60" s="301"/>
    </row>
    <row r="61" spans="2:13" outlineLevel="2">
      <c r="B61" s="301"/>
      <c r="C61" s="150"/>
      <c r="D61" s="86"/>
      <c r="F61" s="299"/>
      <c r="G61" s="310"/>
      <c r="H61" t="s">
        <v>932</v>
      </c>
      <c r="I61" s="165">
        <f>I28</f>
        <v>0.6</v>
      </c>
      <c r="K61" s="374">
        <f>IF(K$55=1,-1,1)</f>
        <v>1</v>
      </c>
      <c r="M61" s="301"/>
    </row>
    <row r="62" spans="2:13" ht="14.45" customHeight="1" outlineLevel="2">
      <c r="B62" s="301"/>
      <c r="C62" t="s">
        <v>931</v>
      </c>
      <c r="D62" s="4"/>
      <c r="F62" s="299" t="s">
        <v>664</v>
      </c>
      <c r="G62" s="310"/>
      <c r="H62" t="s">
        <v>933</v>
      </c>
      <c r="J62" s="165" t="str">
        <f>IF(D38="Enable",IF(J56&gt;0,J56,""),"")</f>
        <v/>
      </c>
      <c r="K62" s="374">
        <f>IF(K$55=1,1,-1)</f>
        <v>-1</v>
      </c>
      <c r="L62" s="280" t="s">
        <v>1084</v>
      </c>
      <c r="M62" s="301"/>
    </row>
    <row r="63" spans="2:13" outlineLevel="2">
      <c r="B63" s="301"/>
      <c r="C63" s="171" t="s">
        <v>603</v>
      </c>
      <c r="D63" s="97"/>
      <c r="F63" s="280" t="s">
        <v>673</v>
      </c>
      <c r="G63" s="310"/>
      <c r="H63" s="176" t="s">
        <v>679</v>
      </c>
      <c r="I63" s="165">
        <f>cLanekmElasticity!D37</f>
        <v>0.6</v>
      </c>
      <c r="L63" s="280" t="s">
        <v>1085</v>
      </c>
      <c r="M63" s="301"/>
    </row>
    <row r="64" spans="2:13" outlineLevel="2">
      <c r="B64" s="301"/>
      <c r="G64" s="310"/>
      <c r="J64" s="289"/>
      <c r="K64" s="289"/>
      <c r="L64" s="280" t="s">
        <v>1086</v>
      </c>
      <c r="M64" s="301"/>
    </row>
    <row r="65" spans="2:13" outlineLevel="2">
      <c r="B65" s="301"/>
      <c r="C65" t="s">
        <v>939</v>
      </c>
      <c r="G65" s="310"/>
      <c r="J65" s="289"/>
      <c r="K65" s="289"/>
      <c r="L65" s="280"/>
      <c r="M65" s="301"/>
    </row>
    <row r="66" spans="2:13" ht="14.45" customHeight="1" outlineLevel="2">
      <c r="B66" s="301"/>
      <c r="C66" s="169" t="s">
        <v>380</v>
      </c>
      <c r="D66" s="97" t="s">
        <v>99</v>
      </c>
      <c r="F66" s="299" t="s">
        <v>670</v>
      </c>
      <c r="G66" s="310"/>
      <c r="M66" s="301"/>
    </row>
    <row r="67" spans="2:13" outlineLevel="2">
      <c r="B67" s="301"/>
      <c r="F67" s="280" t="s">
        <v>818</v>
      </c>
      <c r="G67" s="310"/>
      <c r="M67" s="301"/>
    </row>
    <row r="68" spans="2:13" outlineLevel="2">
      <c r="B68" s="301"/>
      <c r="C68" s="504" t="s">
        <v>292</v>
      </c>
      <c r="D68" s="505"/>
      <c r="F68" s="299" t="s">
        <v>671</v>
      </c>
      <c r="G68" s="310"/>
      <c r="M68" s="301"/>
    </row>
    <row r="69" spans="2:13" outlineLevel="2">
      <c r="B69" s="301"/>
      <c r="C69" s="173" t="s">
        <v>381</v>
      </c>
      <c r="D69" s="97" t="s">
        <v>360</v>
      </c>
      <c r="G69" s="310"/>
      <c r="M69" s="301"/>
    </row>
    <row r="70" spans="2:13" outlineLevel="2">
      <c r="B70" s="301"/>
      <c r="C70" s="173" t="s">
        <v>382</v>
      </c>
      <c r="D70" s="97" t="s">
        <v>360</v>
      </c>
      <c r="G70" s="310"/>
      <c r="M70" s="301"/>
    </row>
    <row r="71" spans="2:13" ht="30" outlineLevel="2">
      <c r="B71" s="301"/>
      <c r="C71" s="178" t="s">
        <v>383</v>
      </c>
      <c r="D71" s="97" t="s">
        <v>736</v>
      </c>
      <c r="F71" s="280" t="s">
        <v>907</v>
      </c>
      <c r="G71" s="310"/>
      <c r="M71" s="301"/>
    </row>
    <row r="72" spans="2:13" outlineLevel="2">
      <c r="B72" s="301"/>
      <c r="G72" s="310"/>
      <c r="H72" s="300" t="s">
        <v>384</v>
      </c>
      <c r="I72" s="300"/>
      <c r="M72" s="301"/>
    </row>
    <row r="73" spans="2:13" outlineLevel="2">
      <c r="B73" s="301"/>
      <c r="C73" t="s">
        <v>940</v>
      </c>
      <c r="F73" s="299" t="s">
        <v>672</v>
      </c>
      <c r="G73" s="310"/>
      <c r="H73" s="152" t="s">
        <v>285</v>
      </c>
      <c r="I73" s="89"/>
      <c r="M73" s="301"/>
    </row>
    <row r="74" spans="2:13" outlineLevel="2">
      <c r="B74" s="301"/>
      <c r="C74" s="171" t="s">
        <v>942</v>
      </c>
      <c r="D74" s="97"/>
      <c r="F74" s="280" t="s">
        <v>673</v>
      </c>
      <c r="G74" s="310"/>
      <c r="H74" s="177" t="s">
        <v>286</v>
      </c>
      <c r="I74" s="172">
        <f>cLanekmElasticity!G53</f>
        <v>0.60000000000000442</v>
      </c>
      <c r="L74" s="280" t="s">
        <v>718</v>
      </c>
      <c r="M74" s="301"/>
    </row>
    <row r="75" spans="2:13" outlineLevel="2">
      <c r="B75" s="301"/>
      <c r="C75" s="411" t="s">
        <v>941</v>
      </c>
      <c r="F75" s="299"/>
      <c r="G75" s="310"/>
      <c r="L75" s="280"/>
      <c r="M75" s="301"/>
    </row>
    <row r="76" spans="2:13" outlineLevel="2">
      <c r="B76" s="301"/>
      <c r="C76" s="411"/>
      <c r="F76" s="299"/>
      <c r="G76" s="310"/>
      <c r="L76" s="280"/>
      <c r="M76" s="301"/>
    </row>
    <row r="77" spans="2:13">
      <c r="B77" s="301"/>
      <c r="C77" s="298" t="s">
        <v>648</v>
      </c>
      <c r="G77" s="310"/>
      <c r="M77" s="301"/>
    </row>
    <row r="78" spans="2:13">
      <c r="B78" s="301"/>
      <c r="C78" s="479" t="str">
        <f>nMethods!$B$17 &amp; nMethods!$C$17</f>
        <v>Step 4. Adjust for diverted traffic</v>
      </c>
      <c r="D78" s="480"/>
      <c r="E78" s="480"/>
      <c r="F78" s="481"/>
      <c r="G78" s="482"/>
      <c r="H78" s="480"/>
      <c r="I78" s="480"/>
      <c r="J78" s="480"/>
      <c r="K78" s="480"/>
      <c r="L78" s="480"/>
      <c r="M78" s="301"/>
    </row>
    <row r="79" spans="2:13" ht="20.100000000000001" customHeight="1">
      <c r="B79" s="301"/>
      <c r="C79" s="506" t="str">
        <f>nMethods!$D$17</f>
        <v>Applies a simple conversion factor, with the user ability to override (#12), to isolate extra national VKT</v>
      </c>
      <c r="D79" s="506"/>
      <c r="E79" s="506"/>
      <c r="F79" s="506"/>
      <c r="G79" s="310"/>
      <c r="L79" s="280"/>
      <c r="M79" s="301"/>
    </row>
    <row r="80" spans="2:13" s="91" customFormat="1" ht="14.45" customHeight="1" outlineLevel="1">
      <c r="B80" s="301"/>
      <c r="C80" t="s">
        <v>943</v>
      </c>
      <c r="E80"/>
      <c r="F80" s="299" t="s">
        <v>674</v>
      </c>
      <c r="G80" s="310"/>
      <c r="J80"/>
      <c r="K80"/>
      <c r="L80" s="280"/>
      <c r="M80" s="301"/>
    </row>
    <row r="81" spans="2:13" s="91" customFormat="1" ht="14.45" customHeight="1" outlineLevel="1">
      <c r="B81" s="301"/>
      <c r="C81" s="90" t="s">
        <v>945</v>
      </c>
      <c r="D81" s="277"/>
      <c r="E81"/>
      <c r="F81" s="280" t="s">
        <v>673</v>
      </c>
      <c r="G81" s="310"/>
      <c r="H81" s="274" t="s">
        <v>587</v>
      </c>
      <c r="I81" s="276">
        <f>cLanekmElasticity!E47</f>
        <v>0.49999999999999634</v>
      </c>
      <c r="J81"/>
      <c r="K81"/>
      <c r="L81" s="280" t="s">
        <v>944</v>
      </c>
      <c r="M81" s="301"/>
    </row>
    <row r="82" spans="2:13" outlineLevel="1">
      <c r="B82" s="301"/>
      <c r="G82" s="310"/>
      <c r="H82" s="503" t="s">
        <v>384</v>
      </c>
      <c r="I82" s="503"/>
      <c r="M82" s="301"/>
    </row>
    <row r="83" spans="2:13" outlineLevel="1">
      <c r="B83" s="301"/>
      <c r="G83" s="310"/>
      <c r="H83" s="501" t="s">
        <v>287</v>
      </c>
      <c r="I83" s="502"/>
      <c r="M83" s="301"/>
    </row>
    <row r="84" spans="2:13" ht="14.45" customHeight="1" outlineLevel="1">
      <c r="B84" s="301"/>
      <c r="G84" s="310"/>
      <c r="H84" s="177" t="s">
        <v>286</v>
      </c>
      <c r="I84" s="172">
        <f>cLanekmElasticity!G56</f>
        <v>0.30000000000000443</v>
      </c>
      <c r="L84" s="280" t="s">
        <v>725</v>
      </c>
      <c r="M84" s="301"/>
    </row>
    <row r="85" spans="2:13">
      <c r="B85" s="301"/>
      <c r="C85" s="298" t="s">
        <v>648</v>
      </c>
      <c r="G85" s="310"/>
      <c r="H85" s="273"/>
      <c r="I85" s="273"/>
      <c r="M85" s="301"/>
    </row>
    <row r="86" spans="2:13">
      <c r="B86" s="301"/>
      <c r="C86" s="479" t="str">
        <f>nMethods!$B$18 &amp; nMethods!$C$18</f>
        <v>Step 5. Present results</v>
      </c>
      <c r="D86" s="480"/>
      <c r="E86" s="480"/>
      <c r="F86" s="481"/>
      <c r="G86" s="482"/>
      <c r="H86" s="480"/>
      <c r="I86" s="480"/>
      <c r="J86" s="480"/>
      <c r="K86" s="480"/>
      <c r="L86" s="480"/>
      <c r="M86" s="301"/>
    </row>
    <row r="87" spans="2:13" ht="20.100000000000001" customHeight="1">
      <c r="B87" s="301"/>
      <c r="C87" s="428" t="str">
        <f>nMethods!$D$18</f>
        <v>Provide the adjusted VKT estimates and summary</v>
      </c>
      <c r="D87" s="429" t="s">
        <v>794</v>
      </c>
      <c r="E87" s="301"/>
      <c r="F87" s="305"/>
      <c r="G87" s="310"/>
      <c r="L87" s="280" t="s">
        <v>815</v>
      </c>
      <c r="M87" s="301"/>
    </row>
    <row r="88" spans="2:13" ht="14.45" customHeight="1">
      <c r="B88" s="301"/>
      <c r="C88" s="78" t="s">
        <v>793</v>
      </c>
      <c r="D88" s="357">
        <f>J52</f>
        <v>0</v>
      </c>
      <c r="F88" s="356" t="str">
        <f>IF(K55=1,"You applied Step 2","Step 2 was skipped")</f>
        <v>Step 2 was skipped</v>
      </c>
      <c r="G88" s="310"/>
      <c r="L88" s="280"/>
      <c r="M88" s="301"/>
    </row>
    <row r="89" spans="2:13" ht="14.45" customHeight="1">
      <c r="B89" s="301"/>
      <c r="C89" s="78" t="s">
        <v>797</v>
      </c>
      <c r="D89" s="358" t="b">
        <f>OR(D63&lt;&gt;"",D74&lt;&gt;"")</f>
        <v>0</v>
      </c>
      <c r="F89" s="356" t="str">
        <f>IF(D89=TRUE,"You applied elasticity overrrides","You chose default elasticities")</f>
        <v>You chose default elasticities</v>
      </c>
      <c r="G89" s="310"/>
      <c r="L89" s="280"/>
      <c r="M89" s="301"/>
    </row>
    <row r="90" spans="2:13" ht="14.45" customHeight="1">
      <c r="B90" s="301"/>
      <c r="C90" s="78" t="s">
        <v>798</v>
      </c>
      <c r="D90" s="358" t="b">
        <f>NOT(AND(D69=pMenus!$B$61,D70=pMenus!$B$61))</f>
        <v>0</v>
      </c>
      <c r="F90" s="356" t="str">
        <f>IF(D90=TRUE,"You applied land use effects","You did not apply land use affects")</f>
        <v>You did not apply land use affects</v>
      </c>
      <c r="G90" s="310"/>
      <c r="L90" s="280"/>
      <c r="M90" s="301"/>
    </row>
    <row r="91" spans="2:13" ht="14.45" customHeight="1">
      <c r="B91" s="301"/>
      <c r="C91" s="78" t="s">
        <v>799</v>
      </c>
      <c r="D91" s="358" t="b">
        <f>(D81&lt;&gt;"")</f>
        <v>0</v>
      </c>
      <c r="F91" s="356" t="str">
        <f>IF(D91=TRUE,"You applied a diversion overrride","You chose default diversion")</f>
        <v>You chose default diversion</v>
      </c>
      <c r="G91" s="310"/>
      <c r="L91" s="280"/>
      <c r="M91" s="301"/>
    </row>
    <row r="92" spans="2:13" ht="14.45" customHeight="1">
      <c r="B92" s="301"/>
      <c r="C92" s="78" t="s">
        <v>795</v>
      </c>
      <c r="D92" s="166">
        <f>I30</f>
        <v>2</v>
      </c>
      <c r="F92" s="356"/>
      <c r="G92" s="310"/>
      <c r="L92" s="280"/>
      <c r="M92" s="301"/>
    </row>
    <row r="93" spans="2:13" ht="15.75">
      <c r="B93" s="301"/>
      <c r="F93" s="8" t="str">
        <f>H93</f>
        <v>Induced VKT per day</v>
      </c>
      <c r="G93" s="310"/>
      <c r="H93" s="300" t="s">
        <v>289</v>
      </c>
      <c r="I93" s="88"/>
      <c r="J93" s="431" t="s">
        <v>952</v>
      </c>
      <c r="K93" s="377"/>
      <c r="L93" s="123"/>
      <c r="M93" s="301"/>
    </row>
    <row r="94" spans="2:13">
      <c r="B94" s="301"/>
      <c r="F94" s="8" t="str">
        <f>H94</f>
        <v>Within locality</v>
      </c>
      <c r="G94" s="310"/>
      <c r="H94" s="152" t="s">
        <v>285</v>
      </c>
      <c r="I94" s="89"/>
      <c r="M94" s="301"/>
    </row>
    <row r="95" spans="2:13" ht="14.45" customHeight="1">
      <c r="B95" s="301"/>
      <c r="E95" s="78" t="s">
        <v>755</v>
      </c>
      <c r="F95" s="350">
        <f>I95</f>
        <v>7000</v>
      </c>
      <c r="G95" s="310"/>
      <c r="H95" s="145" t="s">
        <v>286</v>
      </c>
      <c r="I95" s="174">
        <f>1000*ROUND(cLanekmElasticity!G75/1000,0)</f>
        <v>7000</v>
      </c>
      <c r="J95" s="432">
        <f>I95*aMBCMtables!$E$80/1000000</f>
        <v>1.3846000000000001</v>
      </c>
      <c r="L95" s="280" t="s">
        <v>953</v>
      </c>
      <c r="M95" s="301"/>
    </row>
    <row r="96" spans="2:13">
      <c r="B96" s="301"/>
      <c r="F96" s="351" t="str">
        <f>H96</f>
        <v>At NZ level</v>
      </c>
      <c r="G96" s="310"/>
      <c r="H96" s="152" t="s">
        <v>287</v>
      </c>
      <c r="M96" s="301"/>
    </row>
    <row r="97" spans="1:13">
      <c r="B97" s="301"/>
      <c r="E97" s="78" t="s">
        <v>385</v>
      </c>
      <c r="F97" s="350">
        <f>I97</f>
        <v>3000</v>
      </c>
      <c r="G97" s="310"/>
      <c r="H97" s="145" t="s">
        <v>286</v>
      </c>
      <c r="I97" s="174">
        <f>1000*ROUND(cLanekmElasticity!G78/1000,0)</f>
        <v>3000</v>
      </c>
      <c r="J97" s="432">
        <f>I97*aMBCMtables!$E$80/1000000</f>
        <v>0.59340000000000004</v>
      </c>
      <c r="L97" s="280" t="s">
        <v>953</v>
      </c>
      <c r="M97" s="301"/>
    </row>
    <row r="98" spans="1:13">
      <c r="B98" s="301"/>
      <c r="E98" s="78" t="s">
        <v>812</v>
      </c>
      <c r="F98" s="182">
        <f t="shared" ref="F98" si="0">I98</f>
        <v>0</v>
      </c>
      <c r="G98" s="310"/>
      <c r="H98" s="145" t="s">
        <v>813</v>
      </c>
      <c r="I98" s="175">
        <f>1000*ROUND((cLanekmElasticity!F78-cLanekmElasticity!E78)/1000,0)</f>
        <v>0</v>
      </c>
      <c r="L98" s="280" t="s">
        <v>953</v>
      </c>
      <c r="M98" s="301"/>
    </row>
    <row r="99" spans="1:13">
      <c r="B99" s="301"/>
      <c r="D99" s="4"/>
      <c r="E99" s="8" t="s">
        <v>817</v>
      </c>
      <c r="F99" s="351" t="str">
        <f>IF($I$97&gt;pMenus!$E$108,pMenus!$H$108,IF($I$97&gt;pMenus!$E$109,pMenus!$H$109,pMenus!$H$110))</f>
        <v>Bottom of range. VKT less than 50k</v>
      </c>
      <c r="G99" s="310"/>
      <c r="H99" s="39"/>
      <c r="I99" s="39"/>
      <c r="M99" s="301"/>
    </row>
    <row r="100" spans="1:13">
      <c r="B100" s="301"/>
      <c r="C100" s="298"/>
      <c r="E100" s="78" t="s">
        <v>814</v>
      </c>
      <c r="F100" s="299" t="s">
        <v>703</v>
      </c>
      <c r="G100" s="310"/>
      <c r="M100" s="301"/>
    </row>
    <row r="101" spans="1:13">
      <c r="B101" s="301"/>
      <c r="C101" s="298"/>
      <c r="E101" s="78"/>
      <c r="F101" s="362" t="s">
        <v>1076</v>
      </c>
      <c r="G101" s="310"/>
      <c r="M101" s="301"/>
    </row>
    <row r="102" spans="1:13">
      <c r="B102" s="301"/>
      <c r="C102" s="298"/>
      <c r="E102" s="78"/>
      <c r="F102" s="371" t="s">
        <v>1080</v>
      </c>
      <c r="G102" s="310"/>
      <c r="M102" s="301"/>
    </row>
    <row r="103" spans="1:13">
      <c r="B103" s="301"/>
      <c r="C103" s="301"/>
      <c r="D103" s="301"/>
      <c r="E103" s="301"/>
      <c r="F103" s="305"/>
      <c r="G103" s="310"/>
      <c r="H103" s="301"/>
      <c r="I103" s="301"/>
      <c r="J103" s="301"/>
      <c r="K103" s="301"/>
      <c r="L103" s="301"/>
      <c r="M103" s="301"/>
    </row>
    <row r="104" spans="1:13">
      <c r="B104" s="298" t="s">
        <v>1115</v>
      </c>
    </row>
    <row r="105" spans="1:13">
      <c r="A105" t="s">
        <v>297</v>
      </c>
      <c r="C105" s="86"/>
    </row>
  </sheetData>
  <mergeCells count="7">
    <mergeCell ref="C13:F13"/>
    <mergeCell ref="C37:F37"/>
    <mergeCell ref="H83:I83"/>
    <mergeCell ref="H82:I82"/>
    <mergeCell ref="C68:D68"/>
    <mergeCell ref="C60:F60"/>
    <mergeCell ref="C79:F79"/>
  </mergeCells>
  <conditionalFormatting sqref="E23:E24">
    <cfRule type="iconSet" priority="4">
      <iconSet iconSet="3Symbols">
        <cfvo type="percent" val="0"/>
        <cfvo type="num" val="0"/>
        <cfvo type="num" val="1"/>
      </iconSet>
    </cfRule>
  </conditionalFormatting>
  <conditionalFormatting sqref="E40 E38">
    <cfRule type="iconSet" priority="31">
      <iconSet iconSet="3Symbols">
        <cfvo type="percent" val="0"/>
        <cfvo type="num" val="0"/>
        <cfvo type="num" val="1"/>
      </iconSet>
    </cfRule>
  </conditionalFormatting>
  <conditionalFormatting sqref="E42">
    <cfRule type="expression" dxfId="9" priority="29">
      <formula>$D$23=0</formula>
    </cfRule>
  </conditionalFormatting>
  <conditionalFormatting sqref="E43">
    <cfRule type="iconSet" priority="3">
      <iconSet iconSet="3Symbols">
        <cfvo type="percent" val="0"/>
        <cfvo type="num" val="0"/>
        <cfvo type="num" val="1"/>
      </iconSet>
    </cfRule>
  </conditionalFormatting>
  <conditionalFormatting sqref="E45">
    <cfRule type="iconSet" priority="5">
      <iconSet iconSet="3Symbols">
        <cfvo type="percent" val="0"/>
        <cfvo type="num" val="0"/>
        <cfvo type="num" val="1"/>
      </iconSet>
    </cfRule>
  </conditionalFormatting>
  <conditionalFormatting sqref="E44:F44">
    <cfRule type="iconSet" priority="6">
      <iconSet iconSet="3Symbols">
        <cfvo type="percent" val="0"/>
        <cfvo type="num" val="0"/>
        <cfvo type="num" val="1"/>
      </iconSet>
    </cfRule>
  </conditionalFormatting>
  <conditionalFormatting sqref="K37:K38">
    <cfRule type="iconSet" priority="15">
      <iconSet iconSet="3Symbols">
        <cfvo type="percent" val="0"/>
        <cfvo type="num" val="0"/>
        <cfvo type="num" val="1"/>
      </iconSet>
    </cfRule>
  </conditionalFormatting>
  <conditionalFormatting sqref="K39">
    <cfRule type="iconSet" priority="7">
      <iconSet iconSet="3Symbols">
        <cfvo type="percent" val="0"/>
        <cfvo type="num" val="0"/>
        <cfvo type="num" val="1"/>
      </iconSet>
    </cfRule>
  </conditionalFormatting>
  <conditionalFormatting sqref="K41">
    <cfRule type="iconSet" priority="10">
      <iconSet iconSet="3Symbols">
        <cfvo type="percent" val="0"/>
        <cfvo type="num" val="0"/>
        <cfvo type="num" val="1"/>
      </iconSet>
    </cfRule>
  </conditionalFormatting>
  <conditionalFormatting sqref="K46 K48">
    <cfRule type="iconSet" priority="30">
      <iconSet iconSet="3Symbols">
        <cfvo type="percent" val="0"/>
        <cfvo type="num" val="0"/>
        <cfvo type="num" val="1"/>
      </iconSet>
    </cfRule>
  </conditionalFormatting>
  <conditionalFormatting sqref="K49 K47">
    <cfRule type="iconSet" priority="8">
      <iconSet iconSet="3Symbols">
        <cfvo type="percent" val="0"/>
        <cfvo type="num" val="0"/>
        <cfvo type="num" val="1"/>
      </iconSet>
    </cfRule>
  </conditionalFormatting>
  <conditionalFormatting sqref="K55">
    <cfRule type="iconSet" priority="13">
      <iconSet iconSet="3Symbols">
        <cfvo type="percent" val="0"/>
        <cfvo type="num" val="0"/>
        <cfvo type="num" val="1"/>
      </iconSet>
    </cfRule>
  </conditionalFormatting>
  <conditionalFormatting sqref="K61:K62">
    <cfRule type="iconSet" priority="12">
      <iconSet iconSet="3Symbols">
        <cfvo type="percent" val="0"/>
        <cfvo type="num" val="0"/>
        <cfvo type="num" val="1"/>
      </iconSet>
    </cfRule>
  </conditionalFormatting>
  <dataValidations count="1">
    <dataValidation type="list" allowBlank="1" showInputMessage="1" showErrorMessage="1" sqref="D38" xr:uid="{E237633E-A52B-4475-AB72-4735257784DA}">
      <formula1>"Enable,Disable"</formula1>
    </dataValidation>
  </dataValidations>
  <hyperlinks>
    <hyperlink ref="F17" location="nRegion!A1" display="Note on regions" xr:uid="{3F17AD5D-6F24-465D-AC78-E46A03DD5375}"/>
    <hyperlink ref="F19" location="nONF!A1" display="Note on ONF" xr:uid="{103DE837-5558-4219-894C-8419768C90E6}"/>
    <hyperlink ref="F18" location="nAdmin!A1" display="Note on Admin" xr:uid="{3117940F-AD99-485F-8ED9-7C97E2B515D8}"/>
    <hyperlink ref="F25" location="nLanes!A1" display="Note on lanes" xr:uid="{A98AE135-AFF5-4F53-B4BB-0CFC56D7AF1E}"/>
    <hyperlink ref="F66" location="nPT!A1" display="Note on existing PT" xr:uid="{B7DE4B00-73A9-47C3-B9D6-6002BBE27018}"/>
    <hyperlink ref="F48" location="nTolls!A1" display="Note on tolls" xr:uid="{49F17710-754D-4590-98DA-4C7D72EE1C17}"/>
    <hyperlink ref="F41" location="nWithincity!A1" display="Note on city location" xr:uid="{81439356-3886-41A0-AFC0-F257FF972A08}"/>
    <hyperlink ref="F68" location="nLanduse!A1" display="Note on land use" xr:uid="{1D083065-066B-4D4A-AAD3-9A758E9880EE}"/>
    <hyperlink ref="F73" location="nOverride!A1" display="Note: Elasticity override #2" xr:uid="{90598BF1-2175-4970-87D6-D99AB8775AE0}"/>
    <hyperlink ref="F80" location="nDiverted!A1" display="Note: Diverted traffic" xr:uid="{EB1F480D-5E24-486D-B059-92BBA51D4252}"/>
    <hyperlink ref="L42" location="nDistance!A1" display="Note on distance" xr:uid="{6F55E10F-2984-400C-9174-62008B52611C}"/>
    <hyperlink ref="F62" location="nOverride!A1" display="Note. Elasticity override #1" xr:uid="{802FD3CB-E843-4CF9-9CBC-6F366B2B7E65}"/>
    <hyperlink ref="F27" location="nMethods!A1" display="Note on methods" xr:uid="{7E10EACC-E5DC-4723-B167-D9CAF2CCF821}"/>
    <hyperlink ref="F14" location="nGlossary!A1" display="Note: Glossary" xr:uid="{171BA3E6-BD48-4BA0-9D24-44698E7D2E8A}"/>
    <hyperlink ref="F100" location="nShort!A1" display="Note: Short-term" xr:uid="{06150E44-0041-497F-978C-EECBC848B742}"/>
  </hyperlinks>
  <pageMargins left="0.7" right="0.7" top="0.75" bottom="0.75" header="0.3" footer="0.3"/>
  <pageSetup paperSize="9" scale="45"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5" id="{5B878D6C-FE7A-4A9F-B3FB-8ACB09917FA5}">
            <xm:f>($G16=cLanekmElasticity!$G$29)</xm:f>
            <x14:dxf>
              <font>
                <color rgb="FFFF0000"/>
              </font>
            </x14:dxf>
          </x14:cfRule>
          <xm:sqref>H16:L19</xm:sqref>
        </x14:conditionalFormatting>
        <x14:conditionalFormatting xmlns:xm="http://schemas.microsoft.com/office/excel/2006/main">
          <x14:cfRule type="expression" priority="23" id="{ACB82F8A-DEA4-4659-A6B4-DD7F87FD03B3}">
            <xm:f>($G21=cLanekmElasticity!$G$29)</xm:f>
            <x14:dxf>
              <font>
                <color rgb="FFFF0000"/>
              </font>
            </x14:dxf>
          </x14:cfRule>
          <xm:sqref>H21:L25</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6CE53155-C78A-48B5-A2FE-8366AB1DE5B0}">
          <x14:formula1>
            <xm:f>pMenus!$B$65:$B$66</xm:f>
          </x14:formula1>
          <xm:sqref>D71</xm:sqref>
        </x14:dataValidation>
        <x14:dataValidation type="list" allowBlank="1" showInputMessage="1" showErrorMessage="1" xr:uid="{5BDE268A-854F-42EC-B31B-5BD4B5841BF7}">
          <x14:formula1>
            <xm:f>pMenus!$B$49:$B$51</xm:f>
          </x14:formula1>
          <xm:sqref>D66</xm:sqref>
        </x14:dataValidation>
        <x14:dataValidation type="list" allowBlank="1" showInputMessage="1" showErrorMessage="1" xr:uid="{D5FC971D-4F4D-46C8-9618-71DE7B314130}">
          <x14:formula1>
            <xm:f>aCASTCI!$Q$26:$Q$30</xm:f>
          </x14:formula1>
          <xm:sqref>D24</xm:sqref>
        </x14:dataValidation>
        <x14:dataValidation type="list" allowBlank="1" showInputMessage="1" showErrorMessage="1" xr:uid="{DF304784-DEBE-4D5A-9D5F-BE4542EA9FA4}">
          <x14:formula1>
            <xm:f>aCASTCI!$Q$11:$Q$20</xm:f>
          </x14:formula1>
          <xm:sqref>D45</xm:sqref>
        </x14:dataValidation>
        <x14:dataValidation type="list" allowBlank="1" showInputMessage="1" showErrorMessage="1" promptTitle="Density" xr:uid="{B7440A4E-DE14-4F60-8942-116E07470581}">
          <x14:formula1>
            <xm:f>pMenus!$B$60:$B$62</xm:f>
          </x14:formula1>
          <xm:sqref>D69:D70</xm:sqref>
        </x14:dataValidation>
        <x14:dataValidation type="list" allowBlank="1" showInputMessage="1" showErrorMessage="1" xr:uid="{F60CAF5C-01F1-44E9-98AA-9A960ABC0B68}">
          <x14:formula1>
            <xm:f>pMenus!$B$6:$B$7</xm:f>
          </x14:formula1>
          <xm:sqref>D18</xm:sqref>
        </x14:dataValidation>
        <x14:dataValidation type="list" allowBlank="1" showInputMessage="1" showErrorMessage="1" xr:uid="{42F4796B-8E6F-4E5A-B1FF-9C99542C786D}">
          <x14:formula1>
            <xm:f>pMenus!$P$12:$P$16</xm:f>
          </x14:formula1>
          <xm:sqref>D19</xm:sqref>
        </x14:dataValidation>
        <x14:dataValidation type="list" allowBlank="1" showInputMessage="1" showErrorMessage="1" xr:uid="{6910ACD4-3FDC-4A2F-B560-85EA12EDD8B9}">
          <x14:formula1>
            <xm:f>pMenus!$P$29:$P$31</xm:f>
          </x14:formula1>
          <xm:sqref>D41</xm:sqref>
        </x14:dataValidation>
        <x14:dataValidation type="list" allowBlank="1" showInputMessage="1" showErrorMessage="1" xr:uid="{4A3BA266-C967-4A94-BFA7-3751BE5B0BC1}">
          <x14:formula1>
            <xm:f>pMenus!$B$27:$B$41</xm:f>
          </x14:formula1>
          <xm:sqref>D17</xm:sqref>
        </x14:dataValidation>
        <x14:dataValidation type="list" allowBlank="1" showInputMessage="1" showErrorMessage="1" xr:uid="{71091E58-494D-449A-836F-F0355BC5A541}">
          <x14:formula1>
            <xm:f>aCASTCI!$P$11:$P$20</xm:f>
          </x14:formula1>
          <xm:sqref>D44</xm:sqref>
        </x14:dataValidation>
        <x14:dataValidation type="list" allowBlank="1" showInputMessage="1" showErrorMessage="1" xr:uid="{E0CD92E5-43F4-4E52-BA34-03187F4FEE9F}">
          <x14:formula1>
            <xm:f>aCASTCI!$P$26:$P$30</xm:f>
          </x14:formula1>
          <xm:sqref>D23</xm:sqref>
        </x14:dataValidation>
        <x14:dataValidation type="list" allowBlank="1" showInputMessage="1" showErrorMessage="1" xr:uid="{DEB83044-933E-4279-940E-5E1EC5F53C06}">
          <x14:formula1>
            <xm:f>aCASTCI!$P$26:$P$32</xm:f>
          </x14:formula1>
          <xm:sqref>D43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17F0E-5DF0-4A63-9610-91DBC679B387}">
  <sheetPr codeName="Sheet28">
    <tabColor theme="7" tint="0.79998168889431442"/>
  </sheetPr>
  <dimension ref="A1:P48"/>
  <sheetViews>
    <sheetView workbookViewId="0">
      <selection activeCell="B4" sqref="B4"/>
    </sheetView>
  </sheetViews>
  <sheetFormatPr defaultRowHeight="15"/>
  <cols>
    <col min="1" max="1" width="1.5703125" customWidth="1"/>
    <col min="2" max="2" width="87.42578125" customWidth="1"/>
  </cols>
  <sheetData>
    <row r="1" spans="1:3">
      <c r="A1" s="515" t="s">
        <v>280</v>
      </c>
      <c r="B1" s="515"/>
    </row>
    <row r="2" spans="1:3">
      <c r="A2" s="295" t="s">
        <v>1024</v>
      </c>
    </row>
    <row r="3" spans="1:3">
      <c r="A3" s="434" t="s">
        <v>1025</v>
      </c>
    </row>
    <row r="4" spans="1:3">
      <c r="A4" s="84"/>
    </row>
    <row r="5" spans="1:3">
      <c r="B5" s="295" t="s">
        <v>635</v>
      </c>
    </row>
    <row r="6" spans="1:3">
      <c r="B6" s="84" t="s">
        <v>1125</v>
      </c>
      <c r="C6" s="93" t="s">
        <v>1126</v>
      </c>
    </row>
    <row r="7" spans="1:3">
      <c r="B7" s="84" t="s">
        <v>645</v>
      </c>
    </row>
    <row r="8" spans="1:3">
      <c r="B8" s="150"/>
    </row>
    <row r="9" spans="1:3">
      <c r="A9" s="297"/>
      <c r="B9" s="84"/>
    </row>
    <row r="10" spans="1:3">
      <c r="B10" s="84"/>
    </row>
    <row r="11" spans="1:3">
      <c r="B11" s="295" t="s">
        <v>631</v>
      </c>
    </row>
    <row r="13" spans="1:3">
      <c r="A13" s="297"/>
    </row>
    <row r="15" spans="1:3">
      <c r="A15" t="s">
        <v>297</v>
      </c>
    </row>
    <row r="20" spans="1:2">
      <c r="A20" s="297"/>
    </row>
    <row r="23" spans="1:2">
      <c r="B23" s="295"/>
    </row>
    <row r="24" spans="1:2">
      <c r="B24" s="86"/>
    </row>
    <row r="48" spans="8:16">
      <c r="H48" s="84"/>
      <c r="P48" s="84"/>
    </row>
  </sheetData>
  <mergeCells count="1">
    <mergeCell ref="A1:B1"/>
  </mergeCells>
  <hyperlinks>
    <hyperlink ref="A1" location="Dashboard!A1" display="Return to dashboard" xr:uid="{4B53EC06-9664-4914-9724-036F4B8E10D5}"/>
    <hyperlink ref="B7" location="aMBCMtables!H11" display="Average trip distance for corridors in inner, middle and fringe parts of Auckland, Wellington and Christchurch" xr:uid="{3F2C7D9F-E05B-456B-ADB8-BD111156984B}"/>
    <hyperlink ref="B6" r:id="rId1" xr:uid="{72DDA6C9-C83A-470C-A179-0501BBB0C030}"/>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748C8-A9F6-4DC7-B9DC-DB3F439D4124}">
  <sheetPr codeName="Sheet29">
    <tabColor theme="7" tint="0.79998168889431442"/>
  </sheetPr>
  <dimension ref="A1:P48"/>
  <sheetViews>
    <sheetView workbookViewId="0">
      <selection activeCell="B3" sqref="B3"/>
    </sheetView>
  </sheetViews>
  <sheetFormatPr defaultRowHeight="15"/>
  <cols>
    <col min="1" max="1" width="1.5703125" customWidth="1"/>
    <col min="2" max="2" width="16" customWidth="1"/>
  </cols>
  <sheetData>
    <row r="1" spans="1:3">
      <c r="A1" s="515" t="s">
        <v>280</v>
      </c>
      <c r="B1" s="515"/>
    </row>
    <row r="2" spans="1:3">
      <c r="A2" s="295" t="s">
        <v>1033</v>
      </c>
    </row>
    <row r="3" spans="1:3">
      <c r="A3" s="84"/>
    </row>
    <row r="4" spans="1:3">
      <c r="A4" s="84"/>
    </row>
    <row r="5" spans="1:3">
      <c r="B5" s="295" t="s">
        <v>635</v>
      </c>
    </row>
    <row r="6" spans="1:3">
      <c r="B6" s="84" t="s">
        <v>1125</v>
      </c>
      <c r="C6" s="93" t="s">
        <v>1126</v>
      </c>
    </row>
    <row r="7" spans="1:3">
      <c r="B7" s="84"/>
    </row>
    <row r="8" spans="1:3">
      <c r="B8" s="150"/>
    </row>
    <row r="9" spans="1:3">
      <c r="A9" s="297"/>
      <c r="B9" s="84"/>
    </row>
    <row r="10" spans="1:3">
      <c r="B10" s="84"/>
    </row>
    <row r="11" spans="1:3">
      <c r="B11" s="295" t="s">
        <v>631</v>
      </c>
    </row>
    <row r="13" spans="1:3">
      <c r="A13" s="297"/>
    </row>
    <row r="15" spans="1:3">
      <c r="A15" t="s">
        <v>297</v>
      </c>
    </row>
    <row r="20" spans="1:2">
      <c r="A20" s="297"/>
    </row>
    <row r="23" spans="1:2">
      <c r="B23" s="295"/>
    </row>
    <row r="48" spans="8:16">
      <c r="H48" s="84"/>
      <c r="P48" s="84"/>
    </row>
  </sheetData>
  <mergeCells count="1">
    <mergeCell ref="A1:B1"/>
  </mergeCells>
  <hyperlinks>
    <hyperlink ref="A1" location="Dashboard!A1" display="Return to dashboard" xr:uid="{C0F0194C-49BA-4CC2-9F54-E9901E9C5EB2}"/>
    <hyperlink ref="B6" r:id="rId1" xr:uid="{76A6DB43-53EE-4007-95D9-C9BD25882901}"/>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B55B5-29B7-4499-864D-3F9B1F39B0DD}">
  <sheetPr codeName="Sheet30">
    <tabColor theme="7" tint="0.79998168889431442"/>
  </sheetPr>
  <dimension ref="A1:P48"/>
  <sheetViews>
    <sheetView workbookViewId="0">
      <selection activeCell="B3" sqref="B3"/>
    </sheetView>
  </sheetViews>
  <sheetFormatPr defaultRowHeight="15"/>
  <cols>
    <col min="1" max="1" width="1.5703125" customWidth="1"/>
    <col min="2" max="2" width="47.42578125" customWidth="1"/>
  </cols>
  <sheetData>
    <row r="1" spans="1:3">
      <c r="A1" s="515" t="s">
        <v>280</v>
      </c>
      <c r="B1" s="515"/>
    </row>
    <row r="2" spans="1:3">
      <c r="A2" s="295" t="s">
        <v>1032</v>
      </c>
    </row>
    <row r="3" spans="1:3">
      <c r="A3" s="84"/>
    </row>
    <row r="4" spans="1:3">
      <c r="A4" s="84"/>
    </row>
    <row r="5" spans="1:3">
      <c r="B5" s="295" t="s">
        <v>635</v>
      </c>
    </row>
    <row r="6" spans="1:3">
      <c r="B6" s="84" t="s">
        <v>1125</v>
      </c>
      <c r="C6" s="93" t="s">
        <v>1126</v>
      </c>
    </row>
    <row r="7" spans="1:3">
      <c r="B7" s="84" t="s">
        <v>1031</v>
      </c>
    </row>
    <row r="8" spans="1:3">
      <c r="B8" s="150"/>
    </row>
    <row r="9" spans="1:3">
      <c r="A9" s="297"/>
      <c r="B9" s="84"/>
    </row>
    <row r="10" spans="1:3">
      <c r="B10" s="84"/>
    </row>
    <row r="11" spans="1:3">
      <c r="B11" s="295" t="s">
        <v>631</v>
      </c>
    </row>
    <row r="13" spans="1:3">
      <c r="A13" s="297"/>
    </row>
    <row r="20" spans="1:2">
      <c r="A20" s="297"/>
    </row>
    <row r="23" spans="1:2">
      <c r="B23" s="295" t="s">
        <v>630</v>
      </c>
    </row>
    <row r="45" spans="1:16">
      <c r="A45" t="s">
        <v>297</v>
      </c>
    </row>
    <row r="48" spans="1:16">
      <c r="H48" s="84"/>
      <c r="P48" s="84"/>
    </row>
  </sheetData>
  <mergeCells count="1">
    <mergeCell ref="A1:B1"/>
  </mergeCells>
  <hyperlinks>
    <hyperlink ref="A1" location="Dashboard!A1" display="Return to dashboard" xr:uid="{7D7DCFCA-7A72-4263-AC94-7D5C4F9CB031}"/>
    <hyperlink ref="B7" r:id="rId1" display="Beca (2014) diuscussion of tolling for Penlink business case" xr:uid="{37ABB18F-FF24-4CD8-B354-6370FEC511E2}"/>
    <hyperlink ref="B6" r:id="rId2" xr:uid="{F445AED3-5485-4263-9136-FE0BDF766197}"/>
  </hyperlinks>
  <pageMargins left="0.7" right="0.7" top="0.75" bottom="0.75" header="0.3" footer="0.3"/>
  <pageSetup paperSize="9"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95A3F-132C-4130-AAD6-DE1D6E967CEF}">
  <sheetPr codeName="Sheet31">
    <tabColor theme="7" tint="0.79998168889431442"/>
  </sheetPr>
  <dimension ref="A1:P48"/>
  <sheetViews>
    <sheetView workbookViewId="0">
      <selection activeCell="B3" sqref="B3"/>
    </sheetView>
  </sheetViews>
  <sheetFormatPr defaultRowHeight="15"/>
  <cols>
    <col min="1" max="1" width="1.5703125" customWidth="1"/>
    <col min="2" max="2" width="52.28515625" customWidth="1"/>
  </cols>
  <sheetData>
    <row r="1" spans="1:3">
      <c r="A1" s="515" t="s">
        <v>280</v>
      </c>
      <c r="B1" s="515"/>
    </row>
    <row r="2" spans="1:3">
      <c r="A2" s="295" t="s">
        <v>1034</v>
      </c>
    </row>
    <row r="3" spans="1:3">
      <c r="A3" s="84"/>
    </row>
    <row r="4" spans="1:3">
      <c r="A4" s="84"/>
    </row>
    <row r="5" spans="1:3">
      <c r="B5" s="295" t="s">
        <v>635</v>
      </c>
    </row>
    <row r="6" spans="1:3">
      <c r="B6" s="84" t="s">
        <v>1125</v>
      </c>
      <c r="C6" s="93" t="s">
        <v>1126</v>
      </c>
    </row>
    <row r="7" spans="1:3">
      <c r="B7" s="84" t="s">
        <v>716</v>
      </c>
      <c r="C7" s="93" t="s">
        <v>1035</v>
      </c>
    </row>
    <row r="8" spans="1:3">
      <c r="B8" s="84" t="s">
        <v>717</v>
      </c>
      <c r="C8" s="93" t="s">
        <v>1035</v>
      </c>
    </row>
    <row r="9" spans="1:3">
      <c r="A9" s="297"/>
      <c r="B9" s="84"/>
    </row>
    <row r="10" spans="1:3">
      <c r="B10" s="84"/>
    </row>
    <row r="11" spans="1:3">
      <c r="B11" s="295" t="s">
        <v>631</v>
      </c>
    </row>
    <row r="13" spans="1:3">
      <c r="A13" s="297"/>
    </row>
    <row r="20" spans="1:2">
      <c r="A20" s="297"/>
    </row>
    <row r="23" spans="1:2">
      <c r="B23" s="295" t="s">
        <v>630</v>
      </c>
    </row>
    <row r="35" spans="1:16">
      <c r="A35" t="s">
        <v>297</v>
      </c>
    </row>
    <row r="48" spans="1:16">
      <c r="H48" s="84"/>
      <c r="P48" s="84"/>
    </row>
  </sheetData>
  <mergeCells count="1">
    <mergeCell ref="A1:B1"/>
  </mergeCells>
  <hyperlinks>
    <hyperlink ref="A1" location="Dashboard!A1" display="Return to dashboard" xr:uid="{7B646DF7-F959-4EE9-BCBD-942353862B6E}"/>
    <hyperlink ref="B7" r:id="rId1" xr:uid="{3F16C6EB-E80A-4781-8606-6214ED30ACFD}"/>
    <hyperlink ref="B8" r:id="rId2" xr:uid="{67256231-7694-4C82-951A-27C89ED2DBFC}"/>
    <hyperlink ref="B6" r:id="rId3" xr:uid="{CB8487A4-BB84-4DB6-BB8B-683F24EACF61}"/>
  </hyperlinks>
  <pageMargins left="0.7" right="0.7" top="0.75" bottom="0.75" header="0.3" footer="0.3"/>
  <pageSetup paperSize="9" orientation="portrait" r:id="rId4"/>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81CDC-6EB6-4419-934D-BA9A32B1A9E6}">
  <sheetPr codeName="Sheet32">
    <tabColor theme="7" tint="0.79998168889431442"/>
  </sheetPr>
  <dimension ref="A1:P48"/>
  <sheetViews>
    <sheetView workbookViewId="0">
      <selection activeCell="B3" sqref="B3"/>
    </sheetView>
  </sheetViews>
  <sheetFormatPr defaultRowHeight="15"/>
  <cols>
    <col min="1" max="1" width="1.5703125" customWidth="1"/>
    <col min="2" max="2" width="34.5703125" customWidth="1"/>
  </cols>
  <sheetData>
    <row r="1" spans="1:3">
      <c r="A1" s="515" t="s">
        <v>280</v>
      </c>
      <c r="B1" s="515"/>
    </row>
    <row r="2" spans="1:3">
      <c r="A2" s="295" t="s">
        <v>1036</v>
      </c>
    </row>
    <row r="3" spans="1:3">
      <c r="A3" s="84"/>
    </row>
    <row r="4" spans="1:3">
      <c r="A4" s="84"/>
    </row>
    <row r="5" spans="1:3">
      <c r="B5" s="295" t="s">
        <v>635</v>
      </c>
    </row>
    <row r="6" spans="1:3">
      <c r="B6" s="84" t="s">
        <v>1125</v>
      </c>
      <c r="C6" s="93" t="s">
        <v>1126</v>
      </c>
    </row>
    <row r="7" spans="1:3">
      <c r="B7" s="84" t="s">
        <v>765</v>
      </c>
    </row>
    <row r="8" spans="1:3">
      <c r="B8" s="84" t="s">
        <v>764</v>
      </c>
    </row>
    <row r="9" spans="1:3">
      <c r="A9" s="297"/>
      <c r="B9" s="84"/>
    </row>
    <row r="10" spans="1:3">
      <c r="B10" s="84"/>
    </row>
    <row r="11" spans="1:3">
      <c r="B11" s="295" t="s">
        <v>631</v>
      </c>
    </row>
    <row r="12" spans="1:3">
      <c r="B12" s="86"/>
    </row>
    <row r="13" spans="1:3">
      <c r="A13" s="297"/>
      <c r="B13" s="86"/>
    </row>
    <row r="14" spans="1:3">
      <c r="B14" s="86"/>
    </row>
    <row r="20" spans="1:2">
      <c r="A20" s="297"/>
    </row>
    <row r="23" spans="1:2">
      <c r="B23" s="295" t="s">
        <v>630</v>
      </c>
    </row>
    <row r="35" spans="1:16">
      <c r="A35" t="s">
        <v>297</v>
      </c>
    </row>
    <row r="48" spans="1:16">
      <c r="H48" s="84"/>
      <c r="P48" s="84"/>
    </row>
  </sheetData>
  <mergeCells count="1">
    <mergeCell ref="A1:B1"/>
  </mergeCells>
  <hyperlinks>
    <hyperlink ref="A1" location="Dashboard!A1" display="Return to dashboard" xr:uid="{198D74CC-CE39-4834-AC3B-315692B80AF4}"/>
    <hyperlink ref="B7" location="pMenus!B59" display="Assumptions applied within tool" xr:uid="{63A57DB4-D3F2-4D3B-BCF6-D55A31E28BDA}"/>
    <hyperlink ref="B8" location="nDiverted!A1" display="Notes on diversion" xr:uid="{2837D037-CA43-44A7-B796-8EB9A109E55D}"/>
    <hyperlink ref="B6" r:id="rId1" xr:uid="{C1513D45-5879-466C-B1CD-A6556AAC9092}"/>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3C0A-CD6A-48C6-AC54-DDFF29201E37}">
  <sheetPr codeName="Sheet33">
    <tabColor theme="7" tint="0.79998168889431442"/>
  </sheetPr>
  <dimension ref="A1:P68"/>
  <sheetViews>
    <sheetView workbookViewId="0">
      <selection activeCell="B3" sqref="B3"/>
    </sheetView>
  </sheetViews>
  <sheetFormatPr defaultRowHeight="15"/>
  <cols>
    <col min="1" max="1" width="1.5703125" customWidth="1"/>
    <col min="2" max="2" width="18.140625" customWidth="1"/>
  </cols>
  <sheetData>
    <row r="1" spans="1:3">
      <c r="A1" s="515" t="s">
        <v>280</v>
      </c>
      <c r="B1" s="515"/>
    </row>
    <row r="2" spans="1:3">
      <c r="A2" s="295" t="s">
        <v>1037</v>
      </c>
    </row>
    <row r="3" spans="1:3">
      <c r="A3" s="84"/>
    </row>
    <row r="4" spans="1:3">
      <c r="A4" s="84"/>
    </row>
    <row r="5" spans="1:3">
      <c r="B5" s="295" t="s">
        <v>635</v>
      </c>
    </row>
    <row r="6" spans="1:3">
      <c r="B6" s="84" t="s">
        <v>1125</v>
      </c>
      <c r="C6" s="93" t="s">
        <v>1126</v>
      </c>
    </row>
    <row r="7" spans="1:3">
      <c r="B7" s="84"/>
    </row>
    <row r="8" spans="1:3">
      <c r="B8" s="150"/>
    </row>
    <row r="9" spans="1:3">
      <c r="A9" s="297"/>
      <c r="B9" s="84"/>
    </row>
    <row r="10" spans="1:3">
      <c r="B10" s="84"/>
    </row>
    <row r="11" spans="1:3">
      <c r="B11" s="295" t="s">
        <v>631</v>
      </c>
    </row>
    <row r="13" spans="1:3">
      <c r="A13" s="297"/>
    </row>
    <row r="20" spans="1:2">
      <c r="A20" s="297"/>
    </row>
    <row r="23" spans="1:2">
      <c r="B23" s="295" t="s">
        <v>630</v>
      </c>
    </row>
    <row r="48" spans="8:16">
      <c r="H48" s="84"/>
      <c r="P48" s="84"/>
    </row>
    <row r="55" spans="2:2">
      <c r="B55" s="86" t="s">
        <v>647</v>
      </c>
    </row>
    <row r="56" spans="2:2">
      <c r="B56" s="86" t="s">
        <v>586</v>
      </c>
    </row>
    <row r="57" spans="2:2">
      <c r="B57" s="86" t="s">
        <v>646</v>
      </c>
    </row>
    <row r="68" spans="1:1">
      <c r="A68" t="s">
        <v>297</v>
      </c>
    </row>
  </sheetData>
  <mergeCells count="1">
    <mergeCell ref="A1:B1"/>
  </mergeCells>
  <hyperlinks>
    <hyperlink ref="A1" location="Dashboard!A1" display="Return to dashboard" xr:uid="{9739A56E-2E13-47A4-8004-99E43C0714F6}"/>
    <hyperlink ref="B6" r:id="rId1" xr:uid="{47B71CF0-84E3-41D3-97CA-F2D3735AA600}"/>
  </hyperlinks>
  <pageMargins left="0.7" right="0.7" top="0.75" bottom="0.75" header="0.3" footer="0.3"/>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7E4BE-A3C2-436A-B519-51C3ABB24386}">
  <sheetPr codeName="Sheet34">
    <tabColor theme="7" tint="0.79998168889431442"/>
  </sheetPr>
  <dimension ref="A1:C25"/>
  <sheetViews>
    <sheetView workbookViewId="0">
      <selection activeCell="B3" sqref="B3"/>
    </sheetView>
  </sheetViews>
  <sheetFormatPr defaultRowHeight="15"/>
  <cols>
    <col min="1" max="1" width="1.5703125" customWidth="1"/>
    <col min="2" max="2" width="17.42578125" customWidth="1"/>
  </cols>
  <sheetData>
    <row r="1" spans="1:3">
      <c r="A1" s="515" t="s">
        <v>280</v>
      </c>
      <c r="B1" s="515"/>
    </row>
    <row r="2" spans="1:3">
      <c r="A2" s="295" t="s">
        <v>1038</v>
      </c>
    </row>
    <row r="3" spans="1:3">
      <c r="A3" s="84"/>
    </row>
    <row r="4" spans="1:3">
      <c r="A4" s="84"/>
    </row>
    <row r="5" spans="1:3">
      <c r="B5" s="295" t="s">
        <v>635</v>
      </c>
    </row>
    <row r="6" spans="1:3">
      <c r="B6" s="84" t="s">
        <v>1125</v>
      </c>
      <c r="C6" s="93" t="s">
        <v>1126</v>
      </c>
    </row>
    <row r="7" spans="1:3">
      <c r="B7" s="84"/>
    </row>
    <row r="8" spans="1:3">
      <c r="B8" s="150"/>
    </row>
    <row r="9" spans="1:3">
      <c r="A9" s="297"/>
      <c r="B9" s="84"/>
    </row>
    <row r="10" spans="1:3">
      <c r="B10" s="84"/>
    </row>
    <row r="11" spans="1:3">
      <c r="B11" s="295" t="s">
        <v>631</v>
      </c>
    </row>
    <row r="13" spans="1:3">
      <c r="A13" s="297"/>
    </row>
    <row r="20" spans="1:2">
      <c r="A20" s="297"/>
    </row>
    <row r="23" spans="1:2">
      <c r="B23" s="295"/>
    </row>
    <row r="24" spans="1:2">
      <c r="B24" s="295"/>
    </row>
    <row r="25" spans="1:2">
      <c r="A25" t="s">
        <v>297</v>
      </c>
    </row>
  </sheetData>
  <mergeCells count="1">
    <mergeCell ref="A1:B1"/>
  </mergeCells>
  <hyperlinks>
    <hyperlink ref="A1" location="Dashboard!A1" display="Return to dashboard" xr:uid="{6D755632-5E68-4CCE-BA7B-EB797AC14C91}"/>
    <hyperlink ref="B6" r:id="rId1" xr:uid="{A2AEA7D8-7F2C-4C23-B6BF-3689807572E4}"/>
  </hyperlinks>
  <pageMargins left="0.7" right="0.7" top="0.75" bottom="0.75" header="0.3" footer="0.3"/>
  <pageSetup paperSize="9"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4C232-8666-401A-A6EB-354E11B98DEA}">
  <sheetPr codeName="Sheet35">
    <tabColor theme="7" tint="0.79998168889431442"/>
  </sheetPr>
  <dimension ref="A1:I58"/>
  <sheetViews>
    <sheetView workbookViewId="0">
      <selection activeCell="B3" sqref="B3"/>
    </sheetView>
  </sheetViews>
  <sheetFormatPr defaultRowHeight="15"/>
  <cols>
    <col min="1" max="1" width="1.5703125" customWidth="1"/>
    <col min="2" max="2" width="22.5703125" customWidth="1"/>
    <col min="3" max="3" width="49.28515625" customWidth="1"/>
    <col min="4" max="9" width="12.5703125" customWidth="1"/>
  </cols>
  <sheetData>
    <row r="1" spans="1:9">
      <c r="A1" s="515" t="s">
        <v>280</v>
      </c>
      <c r="B1" s="515"/>
    </row>
    <row r="2" spans="1:9">
      <c r="A2" s="295" t="s">
        <v>1039</v>
      </c>
    </row>
    <row r="3" spans="1:9">
      <c r="A3" s="84"/>
    </row>
    <row r="4" spans="1:9">
      <c r="A4" s="84"/>
    </row>
    <row r="5" spans="1:9">
      <c r="B5" s="295" t="s">
        <v>635</v>
      </c>
    </row>
    <row r="6" spans="1:9">
      <c r="B6" s="84" t="s">
        <v>1125</v>
      </c>
      <c r="C6" s="93" t="s">
        <v>1126</v>
      </c>
    </row>
    <row r="7" spans="1:9">
      <c r="B7" s="84" t="s">
        <v>758</v>
      </c>
    </row>
    <row r="8" spans="1:9">
      <c r="B8" s="150"/>
    </row>
    <row r="9" spans="1:9">
      <c r="A9" s="297"/>
      <c r="B9" s="84"/>
    </row>
    <row r="10" spans="1:9">
      <c r="B10" s="84"/>
    </row>
    <row r="11" spans="1:9">
      <c r="B11" s="295" t="s">
        <v>631</v>
      </c>
    </row>
    <row r="13" spans="1:9">
      <c r="A13" s="297"/>
    </row>
    <row r="14" spans="1:9" ht="29.1" customHeight="1"/>
    <row r="15" spans="1:9">
      <c r="B15" s="295" t="s">
        <v>733</v>
      </c>
      <c r="D15" s="7" t="s">
        <v>741</v>
      </c>
      <c r="G15" s="7" t="s">
        <v>740</v>
      </c>
    </row>
    <row r="16" spans="1:9" ht="51.95" customHeight="1">
      <c r="D16" s="274" t="s">
        <v>744</v>
      </c>
      <c r="E16" s="274" t="s">
        <v>759</v>
      </c>
      <c r="F16" s="274" t="s">
        <v>760</v>
      </c>
      <c r="G16" s="274" t="s">
        <v>745</v>
      </c>
      <c r="H16" s="274" t="s">
        <v>761</v>
      </c>
      <c r="I16" s="274" t="s">
        <v>762</v>
      </c>
    </row>
    <row r="17" spans="1:9">
      <c r="B17" s="4" t="s">
        <v>730</v>
      </c>
      <c r="C17" s="4"/>
      <c r="D17" s="345">
        <v>100000</v>
      </c>
      <c r="E17" s="345">
        <f>D17*1.39</f>
        <v>139000</v>
      </c>
      <c r="F17" s="345">
        <f>D17*0.86</f>
        <v>86000</v>
      </c>
      <c r="G17" s="345">
        <v>50000</v>
      </c>
      <c r="H17" s="345">
        <f>$G17+(E17-$D17)</f>
        <v>89000</v>
      </c>
      <c r="I17" s="345">
        <f>$G17+(F17-$D17)</f>
        <v>36000</v>
      </c>
    </row>
    <row r="18" spans="1:9">
      <c r="B18" s="7" t="s">
        <v>734</v>
      </c>
      <c r="D18" s="181">
        <v>-50000</v>
      </c>
      <c r="E18" s="181">
        <v>-50000</v>
      </c>
      <c r="F18" s="181">
        <v>-50000</v>
      </c>
      <c r="G18" s="181">
        <v>-25000</v>
      </c>
      <c r="H18" s="181">
        <v>-25000</v>
      </c>
      <c r="I18" s="181">
        <v>-25000</v>
      </c>
    </row>
    <row r="19" spans="1:9">
      <c r="B19" s="343" t="s">
        <v>731</v>
      </c>
      <c r="C19" s="290"/>
      <c r="D19" s="344">
        <f t="shared" ref="D19:I19" si="0">SUM(D17:D18)</f>
        <v>50000</v>
      </c>
      <c r="E19" s="344">
        <f t="shared" si="0"/>
        <v>89000</v>
      </c>
      <c r="F19" s="344">
        <f t="shared" si="0"/>
        <v>36000</v>
      </c>
      <c r="G19" s="344">
        <f t="shared" si="0"/>
        <v>25000</v>
      </c>
      <c r="H19" s="344">
        <f t="shared" si="0"/>
        <v>64000</v>
      </c>
      <c r="I19" s="344">
        <f t="shared" si="0"/>
        <v>11000</v>
      </c>
    </row>
    <row r="20" spans="1:9">
      <c r="A20" s="297"/>
      <c r="B20" t="s">
        <v>756</v>
      </c>
      <c r="D20" s="181">
        <v>0</v>
      </c>
      <c r="E20" s="181">
        <f>E17-$D17</f>
        <v>39000</v>
      </c>
      <c r="F20" s="181">
        <f>F17-$D17</f>
        <v>-14000</v>
      </c>
      <c r="G20" s="181">
        <v>0</v>
      </c>
      <c r="H20" s="181">
        <f>H17-$G17</f>
        <v>39000</v>
      </c>
      <c r="I20" s="181">
        <f>I17-$G17</f>
        <v>-14000</v>
      </c>
    </row>
    <row r="21" spans="1:9">
      <c r="A21" s="297"/>
      <c r="B21" t="s">
        <v>757</v>
      </c>
      <c r="D21" s="181">
        <f t="shared" ref="D21:I21" si="1">D19-SUM(D20:D20)</f>
        <v>50000</v>
      </c>
      <c r="E21" s="181">
        <f t="shared" si="1"/>
        <v>50000</v>
      </c>
      <c r="F21" s="181">
        <f t="shared" si="1"/>
        <v>50000</v>
      </c>
      <c r="G21" s="181">
        <f t="shared" si="1"/>
        <v>25000</v>
      </c>
      <c r="H21" s="181">
        <f t="shared" si="1"/>
        <v>25000</v>
      </c>
      <c r="I21" s="181">
        <f t="shared" si="1"/>
        <v>25000</v>
      </c>
    </row>
    <row r="22" spans="1:9">
      <c r="B22" s="290" t="s">
        <v>732</v>
      </c>
      <c r="C22" s="290"/>
      <c r="D22" s="346">
        <f t="shared" ref="D22:I22" si="2">1-D19/D17</f>
        <v>0.5</v>
      </c>
      <c r="E22" s="346">
        <f t="shared" si="2"/>
        <v>0.35971223021582732</v>
      </c>
      <c r="F22" s="346">
        <f t="shared" si="2"/>
        <v>0.58139534883720922</v>
      </c>
      <c r="G22" s="346">
        <f t="shared" si="2"/>
        <v>0.5</v>
      </c>
      <c r="H22" s="346">
        <f t="shared" si="2"/>
        <v>0.2808988764044944</v>
      </c>
      <c r="I22" s="346">
        <f t="shared" si="2"/>
        <v>0.69444444444444442</v>
      </c>
    </row>
    <row r="23" spans="1:9" ht="24" customHeight="1">
      <c r="B23" t="s">
        <v>752</v>
      </c>
      <c r="C23" s="4"/>
      <c r="D23" s="347"/>
      <c r="E23" s="347"/>
      <c r="F23" s="347"/>
      <c r="G23" s="347"/>
      <c r="H23" s="347"/>
      <c r="I23" s="347"/>
    </row>
    <row r="24" spans="1:9" s="298" customFormat="1">
      <c r="B24" s="348" t="s">
        <v>746</v>
      </c>
      <c r="C24" s="298" t="s">
        <v>753</v>
      </c>
      <c r="D24" s="349"/>
      <c r="E24" s="349"/>
      <c r="F24" s="349"/>
      <c r="G24" s="349"/>
      <c r="H24" s="349"/>
      <c r="I24" s="349"/>
    </row>
    <row r="25" spans="1:9" s="298" customFormat="1">
      <c r="B25" s="348" t="s">
        <v>747</v>
      </c>
      <c r="C25" s="298" t="s">
        <v>749</v>
      </c>
      <c r="D25" s="349"/>
      <c r="E25" s="349"/>
      <c r="F25" s="349"/>
      <c r="G25" s="349"/>
      <c r="H25" s="349"/>
      <c r="I25" s="349"/>
    </row>
    <row r="26" spans="1:9" s="298" customFormat="1">
      <c r="B26" s="348" t="s">
        <v>748</v>
      </c>
      <c r="C26" s="298" t="s">
        <v>754</v>
      </c>
      <c r="D26" s="349"/>
      <c r="E26" s="349"/>
      <c r="F26" s="349"/>
      <c r="G26" s="349"/>
      <c r="H26" s="349"/>
      <c r="I26" s="349"/>
    </row>
    <row r="27" spans="1:9" s="298" customFormat="1">
      <c r="B27" s="348" t="s">
        <v>750</v>
      </c>
      <c r="C27" s="298" t="s">
        <v>751</v>
      </c>
      <c r="D27" s="349"/>
      <c r="E27" s="349"/>
      <c r="F27" s="349"/>
      <c r="G27" s="349"/>
      <c r="H27" s="349"/>
      <c r="I27" s="349"/>
    </row>
    <row r="28" spans="1:9">
      <c r="B28" s="348" t="s">
        <v>763</v>
      </c>
      <c r="D28" s="347"/>
      <c r="E28" s="347"/>
      <c r="F28" s="347"/>
      <c r="G28" s="347"/>
      <c r="H28" s="347"/>
      <c r="I28" s="347"/>
    </row>
    <row r="29" spans="1:9" ht="29.1" customHeight="1">
      <c r="B29" s="295" t="s">
        <v>630</v>
      </c>
    </row>
    <row r="53" spans="1:9">
      <c r="I53" s="84"/>
    </row>
    <row r="58" spans="1:9">
      <c r="A58" t="s">
        <v>297</v>
      </c>
    </row>
  </sheetData>
  <mergeCells count="1">
    <mergeCell ref="A1:B1"/>
  </mergeCells>
  <hyperlinks>
    <hyperlink ref="A1" location="Dashboard!A1" display="Return to dashboard" xr:uid="{2FD4E426-F904-4DF1-8C07-D4B5E921012E}"/>
    <hyperlink ref="B7" location="nLanduse!A1" display="Notes on land use change" xr:uid="{E16BB7AD-7DD1-49D9-B2C6-98910B6A862F}"/>
    <hyperlink ref="B6" r:id="rId1" xr:uid="{315E6AF3-A1E9-463A-831D-DEBA1F2E345B}"/>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C0F81-0E37-4587-8C77-E887B766C651}">
  <sheetPr>
    <pageSetUpPr fitToPage="1"/>
  </sheetPr>
  <dimension ref="A1:U105"/>
  <sheetViews>
    <sheetView zoomScale="80" zoomScaleNormal="80" workbookViewId="0">
      <selection activeCell="C1" sqref="C1"/>
    </sheetView>
  </sheetViews>
  <sheetFormatPr defaultRowHeight="15" outlineLevelRow="2"/>
  <cols>
    <col min="1" max="2" width="1.5703125" customWidth="1"/>
    <col min="3" max="3" width="48.7109375" customWidth="1"/>
    <col min="4" max="4" width="34.5703125" customWidth="1"/>
    <col min="5" max="5" width="3.5703125" customWidth="1"/>
    <col min="6" max="6" width="37.5703125" style="78" customWidth="1"/>
    <col min="7" max="7" width="1.5703125" customWidth="1"/>
    <col min="8" max="8" width="55.85546875" customWidth="1"/>
    <col min="9" max="10" width="10.5703125" customWidth="1"/>
    <col min="11" max="11" width="3.28515625" customWidth="1"/>
    <col min="12" max="12" width="35" customWidth="1"/>
    <col min="13" max="13" width="1.5703125" customWidth="1"/>
    <col min="14" max="14" width="12.140625" bestFit="1" customWidth="1"/>
    <col min="15" max="15" width="3.140625" customWidth="1"/>
    <col min="16" max="16" width="12" bestFit="1" customWidth="1"/>
    <col min="18" max="18" width="3.5703125" customWidth="1"/>
    <col min="20" max="20" width="29.7109375" customWidth="1"/>
    <col min="21" max="21" width="19.140625" customWidth="1"/>
  </cols>
  <sheetData>
    <row r="1" spans="1:13">
      <c r="A1" s="84"/>
      <c r="B1" s="84"/>
      <c r="M1" s="84"/>
    </row>
    <row r="5" spans="1:13" ht="23.25">
      <c r="C5" s="340" t="s">
        <v>675</v>
      </c>
      <c r="D5" s="341"/>
      <c r="E5" s="341"/>
      <c r="F5" s="342"/>
    </row>
    <row r="6" spans="1:13">
      <c r="C6" s="93" t="s">
        <v>1087</v>
      </c>
    </row>
    <row r="7" spans="1:13">
      <c r="C7" s="93" t="s">
        <v>773</v>
      </c>
    </row>
    <row r="8" spans="1:13">
      <c r="C8" s="93" t="s">
        <v>915</v>
      </c>
    </row>
    <row r="9" spans="1:13">
      <c r="C9" s="138" t="s">
        <v>663</v>
      </c>
      <c r="J9" s="85"/>
      <c r="K9" s="85"/>
    </row>
    <row r="10" spans="1:13">
      <c r="B10" s="301"/>
      <c r="C10" s="301"/>
      <c r="D10" s="301"/>
      <c r="E10" s="301"/>
      <c r="F10" s="302"/>
      <c r="G10" s="310"/>
      <c r="H10" s="301"/>
      <c r="I10" s="301"/>
      <c r="J10" s="303"/>
      <c r="K10" s="303"/>
      <c r="L10" s="301"/>
      <c r="M10" s="301"/>
    </row>
    <row r="11" spans="1:13">
      <c r="B11" s="304"/>
      <c r="C11" s="4" t="s">
        <v>281</v>
      </c>
      <c r="D11" s="4" t="s">
        <v>367</v>
      </c>
      <c r="E11" s="4"/>
      <c r="F11" s="281" t="s">
        <v>598</v>
      </c>
      <c r="G11" s="310"/>
      <c r="H11" s="4" t="s">
        <v>282</v>
      </c>
      <c r="L11" s="281" t="s">
        <v>598</v>
      </c>
      <c r="M11" s="304"/>
    </row>
    <row r="12" spans="1:13">
      <c r="B12" s="304"/>
      <c r="C12" s="479" t="s">
        <v>958</v>
      </c>
      <c r="D12" s="480"/>
      <c r="E12" s="480"/>
      <c r="F12" s="481"/>
      <c r="G12" s="482"/>
      <c r="H12" s="480"/>
      <c r="I12" s="480"/>
      <c r="J12" s="480"/>
      <c r="K12" s="480"/>
      <c r="L12" s="480"/>
      <c r="M12" s="304"/>
    </row>
    <row r="13" spans="1:13" ht="29.45" customHeight="1">
      <c r="B13" s="301"/>
      <c r="C13" s="500" t="s">
        <v>955</v>
      </c>
      <c r="D13" s="500"/>
      <c r="E13" s="500"/>
      <c r="F13" s="500"/>
      <c r="G13" s="310"/>
      <c r="L13" s="280" t="s">
        <v>704</v>
      </c>
      <c r="M13" s="301"/>
    </row>
    <row r="14" spans="1:13" ht="60">
      <c r="B14" s="301"/>
      <c r="C14" s="153" t="s">
        <v>706</v>
      </c>
      <c r="D14" s="312" t="s">
        <v>1099</v>
      </c>
      <c r="F14" s="299" t="s">
        <v>702</v>
      </c>
      <c r="G14" s="310"/>
      <c r="H14" s="241" t="s">
        <v>897</v>
      </c>
      <c r="I14" s="282" t="s">
        <v>677</v>
      </c>
      <c r="J14" s="282" t="s">
        <v>678</v>
      </c>
      <c r="K14" s="282"/>
      <c r="L14" s="282" t="s">
        <v>771</v>
      </c>
      <c r="M14" s="301"/>
    </row>
    <row r="15" spans="1:13">
      <c r="B15" s="301"/>
      <c r="G15" s="310"/>
      <c r="H15" s="283" t="s">
        <v>1103</v>
      </c>
      <c r="I15" s="209"/>
      <c r="J15" s="284"/>
      <c r="K15" s="284"/>
      <c r="L15" s="284"/>
      <c r="M15" s="301"/>
    </row>
    <row r="16" spans="1:13">
      <c r="B16" s="301"/>
      <c r="C16" s="180" t="s">
        <v>928</v>
      </c>
      <c r="F16" s="280" t="s">
        <v>770</v>
      </c>
      <c r="G16" s="310">
        <v>1</v>
      </c>
      <c r="H16" s="476" t="s">
        <v>410</v>
      </c>
      <c r="I16" s="477">
        <v>91.98</v>
      </c>
      <c r="J16" s="477">
        <v>7185.3023438686787</v>
      </c>
      <c r="K16" s="477"/>
      <c r="L16" s="478">
        <v>660904.10958904109</v>
      </c>
      <c r="M16" s="301"/>
    </row>
    <row r="17" spans="2:13">
      <c r="B17" s="301"/>
      <c r="C17" s="153" t="s">
        <v>710</v>
      </c>
      <c r="D17" s="97" t="s">
        <v>283</v>
      </c>
      <c r="F17" s="299" t="s">
        <v>665</v>
      </c>
      <c r="G17" s="310">
        <v>2</v>
      </c>
      <c r="H17" s="473" t="s">
        <v>411</v>
      </c>
      <c r="I17" s="474">
        <v>240.57000000000002</v>
      </c>
      <c r="J17" s="474">
        <v>5821.3341487483203</v>
      </c>
      <c r="K17" s="474"/>
      <c r="L17" s="475">
        <v>1400438.3561643835</v>
      </c>
      <c r="M17" s="301"/>
    </row>
    <row r="18" spans="2:13">
      <c r="B18" s="301"/>
      <c r="C18" s="153" t="s">
        <v>708</v>
      </c>
      <c r="D18" s="97" t="s">
        <v>1101</v>
      </c>
      <c r="F18" s="299" t="s">
        <v>666</v>
      </c>
      <c r="G18" s="310">
        <v>3</v>
      </c>
      <c r="H18" s="209" t="s">
        <v>404</v>
      </c>
      <c r="I18" s="286">
        <v>1203.17</v>
      </c>
      <c r="J18" s="286">
        <v>3121.5712010088414</v>
      </c>
      <c r="K18" s="286"/>
      <c r="L18" s="111">
        <v>3755780.8219178081</v>
      </c>
      <c r="M18" s="301"/>
    </row>
    <row r="19" spans="2:13">
      <c r="B19" s="301"/>
      <c r="C19" s="153" t="s">
        <v>709</v>
      </c>
      <c r="D19" s="118" t="s">
        <v>410</v>
      </c>
      <c r="F19" s="299" t="s">
        <v>667</v>
      </c>
      <c r="G19" s="310">
        <v>4</v>
      </c>
      <c r="H19" s="209" t="s">
        <v>406</v>
      </c>
      <c r="I19" s="286">
        <v>1243.9000000000001</v>
      </c>
      <c r="J19" s="286">
        <v>1218.63736128196</v>
      </c>
      <c r="K19" s="286"/>
      <c r="L19" s="111">
        <v>1515863.01369863</v>
      </c>
      <c r="M19" s="301"/>
    </row>
    <row r="20" spans="2:13">
      <c r="B20" s="301"/>
      <c r="F20" s="362" t="s">
        <v>959</v>
      </c>
      <c r="G20" s="310">
        <v>5</v>
      </c>
      <c r="H20" s="283" t="s">
        <v>707</v>
      </c>
      <c r="I20" s="287"/>
      <c r="J20" s="287"/>
      <c r="K20" s="287"/>
      <c r="L20" s="288"/>
      <c r="M20" s="301"/>
    </row>
    <row r="21" spans="2:13">
      <c r="B21" s="301"/>
      <c r="C21" s="180" t="s">
        <v>934</v>
      </c>
      <c r="F21" s="485" t="s">
        <v>1045</v>
      </c>
      <c r="G21" s="310">
        <v>6</v>
      </c>
      <c r="H21" s="209" t="s">
        <v>416</v>
      </c>
      <c r="I21" s="286">
        <v>3.09</v>
      </c>
      <c r="J21" s="286">
        <v>2021.5454182737067</v>
      </c>
      <c r="K21" s="286"/>
      <c r="L21" s="111">
        <v>6246.5753424657532</v>
      </c>
      <c r="M21" s="301"/>
    </row>
    <row r="22" spans="2:13">
      <c r="B22" s="301"/>
      <c r="C22" s="153" t="s">
        <v>908</v>
      </c>
      <c r="D22" s="97">
        <v>10</v>
      </c>
      <c r="F22" s="280" t="s">
        <v>1089</v>
      </c>
      <c r="G22" s="310">
        <v>7</v>
      </c>
      <c r="H22" s="209" t="s">
        <v>411</v>
      </c>
      <c r="I22" s="286">
        <v>1180.82</v>
      </c>
      <c r="J22" s="286">
        <v>4014.7629010070323</v>
      </c>
      <c r="K22" s="286"/>
      <c r="L22" s="111">
        <v>4740712.3287671236</v>
      </c>
      <c r="M22" s="301"/>
    </row>
    <row r="23" spans="2:13">
      <c r="B23" s="301"/>
      <c r="C23" s="153" t="s">
        <v>917</v>
      </c>
      <c r="D23" s="97">
        <v>0</v>
      </c>
      <c r="E23" s="374">
        <v>1</v>
      </c>
      <c r="F23" s="280" t="s">
        <v>787</v>
      </c>
      <c r="G23" s="310">
        <v>8</v>
      </c>
      <c r="H23" s="209" t="s">
        <v>408</v>
      </c>
      <c r="I23" s="286">
        <v>196.07</v>
      </c>
      <c r="J23" s="286">
        <v>2225.2326713062362</v>
      </c>
      <c r="K23" s="286"/>
      <c r="L23" s="111">
        <v>436301.36986301368</v>
      </c>
      <c r="M23" s="301"/>
    </row>
    <row r="24" spans="2:13">
      <c r="B24" s="301"/>
      <c r="C24" s="153" t="s">
        <v>918</v>
      </c>
      <c r="D24" s="97">
        <v>4</v>
      </c>
      <c r="E24" s="374">
        <v>1</v>
      </c>
      <c r="F24" s="280" t="s">
        <v>959</v>
      </c>
      <c r="G24" s="310">
        <v>9</v>
      </c>
      <c r="H24" s="209" t="s">
        <v>404</v>
      </c>
      <c r="I24" s="286">
        <v>0.36999999999989086</v>
      </c>
      <c r="J24" s="286">
        <v>2591.6327286208048</v>
      </c>
      <c r="K24" s="286"/>
      <c r="L24" s="111">
        <v>958.90410958941493</v>
      </c>
      <c r="M24" s="301"/>
    </row>
    <row r="25" spans="2:13">
      <c r="B25" s="301"/>
      <c r="C25" s="411" t="s">
        <v>922</v>
      </c>
      <c r="F25" s="299" t="s">
        <v>669</v>
      </c>
      <c r="G25" s="310">
        <v>10</v>
      </c>
      <c r="H25" s="209" t="s">
        <v>406</v>
      </c>
      <c r="I25" s="286">
        <v>25064.49</v>
      </c>
      <c r="J25" s="286">
        <v>200.78397546510939</v>
      </c>
      <c r="K25" s="286"/>
      <c r="L25" s="111">
        <v>5032547.9452054799</v>
      </c>
      <c r="M25" s="301"/>
    </row>
    <row r="26" spans="2:13" outlineLevel="1">
      <c r="B26" s="301"/>
      <c r="G26" s="310"/>
      <c r="M26" s="301"/>
    </row>
    <row r="27" spans="2:13" ht="60" outlineLevel="1">
      <c r="B27" s="301"/>
      <c r="F27" s="299" t="s">
        <v>668</v>
      </c>
      <c r="G27" s="310"/>
      <c r="I27" s="158" t="s">
        <v>366</v>
      </c>
      <c r="J27" s="158" t="s">
        <v>909</v>
      </c>
      <c r="K27" s="158"/>
      <c r="M27" s="301"/>
    </row>
    <row r="28" spans="2:13" outlineLevel="1">
      <c r="B28" s="301"/>
      <c r="C28" t="s">
        <v>911</v>
      </c>
      <c r="F28" s="311" t="s">
        <v>705</v>
      </c>
      <c r="G28" s="310"/>
      <c r="H28" s="176" t="s">
        <v>370</v>
      </c>
      <c r="I28" s="421">
        <v>1</v>
      </c>
      <c r="L28" s="280" t="s">
        <v>912</v>
      </c>
      <c r="M28" s="301"/>
    </row>
    <row r="29" spans="2:13" outlineLevel="1">
      <c r="B29" s="301"/>
      <c r="C29" s="408" t="s">
        <v>1063</v>
      </c>
      <c r="G29" s="310"/>
      <c r="H29" s="410" t="s">
        <v>662</v>
      </c>
      <c r="I29" s="167">
        <v>287412.09375474724</v>
      </c>
      <c r="L29" s="315" t="s">
        <v>713</v>
      </c>
      <c r="M29" s="301"/>
    </row>
    <row r="30" spans="2:13" outlineLevel="1">
      <c r="B30" s="301"/>
      <c r="C30" s="484" t="s">
        <v>1061</v>
      </c>
      <c r="G30" s="310"/>
      <c r="H30" s="176" t="s">
        <v>373</v>
      </c>
      <c r="I30" s="423">
        <v>40</v>
      </c>
      <c r="L30" s="315" t="s">
        <v>711</v>
      </c>
      <c r="M30" s="301"/>
    </row>
    <row r="31" spans="2:13" outlineLevel="1">
      <c r="B31" s="301"/>
      <c r="C31" s="484" t="s">
        <v>920</v>
      </c>
      <c r="G31" s="310"/>
      <c r="H31" s="176" t="s">
        <v>374</v>
      </c>
      <c r="I31" s="424">
        <v>0.43487714720591431</v>
      </c>
      <c r="L31" s="315" t="s">
        <v>712</v>
      </c>
      <c r="M31" s="301"/>
    </row>
    <row r="32" spans="2:13" outlineLevel="1">
      <c r="B32" s="301"/>
      <c r="C32" s="484" t="s">
        <v>913</v>
      </c>
      <c r="G32" s="310"/>
      <c r="H32" s="176" t="s">
        <v>676</v>
      </c>
      <c r="I32" s="422">
        <v>14370.604687737357</v>
      </c>
      <c r="L32" s="315" t="s">
        <v>916</v>
      </c>
      <c r="M32" s="301"/>
    </row>
    <row r="33" spans="2:21" outlineLevel="1">
      <c r="B33" s="301"/>
      <c r="C33" s="484" t="s">
        <v>914</v>
      </c>
      <c r="G33" s="310"/>
      <c r="H33" s="176" t="s">
        <v>372</v>
      </c>
      <c r="I33" s="423">
        <v>4</v>
      </c>
      <c r="J33" s="179"/>
      <c r="K33" s="179"/>
      <c r="L33" s="315" t="s">
        <v>919</v>
      </c>
      <c r="M33" s="301"/>
    </row>
    <row r="34" spans="2:21" outlineLevel="1">
      <c r="B34" s="301"/>
      <c r="G34" s="310"/>
      <c r="I34" s="86"/>
      <c r="J34" s="86"/>
      <c r="K34" s="86"/>
      <c r="M34" s="301"/>
    </row>
    <row r="35" spans="2:21">
      <c r="B35" s="301"/>
      <c r="C35" s="298" t="s">
        <v>772</v>
      </c>
      <c r="G35" s="310"/>
      <c r="M35" s="301"/>
    </row>
    <row r="36" spans="2:21">
      <c r="B36" s="304"/>
      <c r="C36" s="479" t="s">
        <v>960</v>
      </c>
      <c r="D36" s="480"/>
      <c r="E36" s="480"/>
      <c r="F36" s="481"/>
      <c r="G36" s="482"/>
      <c r="H36" s="480"/>
      <c r="I36" s="480"/>
      <c r="J36" s="480"/>
      <c r="K36" s="480"/>
      <c r="L36" s="480"/>
      <c r="M36" s="304"/>
    </row>
    <row r="37" spans="2:21" s="308" customFormat="1" ht="44.1" customHeight="1">
      <c r="B37" s="313"/>
      <c r="C37" s="500" t="s">
        <v>1081</v>
      </c>
      <c r="D37" s="500"/>
      <c r="E37" s="500"/>
      <c r="F37" s="500"/>
      <c r="G37" s="314"/>
      <c r="J37" s="412" t="s">
        <v>571</v>
      </c>
      <c r="K37" s="374">
        <v>1</v>
      </c>
      <c r="L37" s="425" t="s">
        <v>961</v>
      </c>
      <c r="M37" s="313"/>
      <c r="T37"/>
      <c r="U37"/>
    </row>
    <row r="38" spans="2:21" s="308" customFormat="1" ht="14.45" customHeight="1">
      <c r="B38" s="313"/>
      <c r="C38" s="180" t="s">
        <v>935</v>
      </c>
      <c r="D38" s="420" t="s">
        <v>806</v>
      </c>
      <c r="E38" s="374">
        <v>1</v>
      </c>
      <c r="F38" s="409"/>
      <c r="G38" s="314"/>
      <c r="J38" s="412"/>
      <c r="K38" s="374"/>
      <c r="L38" s="425"/>
      <c r="M38" s="313"/>
      <c r="T38"/>
      <c r="U38"/>
    </row>
    <row r="39" spans="2:21" ht="14.45" customHeight="1" outlineLevel="1">
      <c r="B39" s="301"/>
      <c r="C39" s="180" t="s">
        <v>962</v>
      </c>
      <c r="D39" s="4"/>
      <c r="F39" s="280" t="s">
        <v>926</v>
      </c>
      <c r="G39" s="310"/>
      <c r="H39" s="176" t="s">
        <v>923</v>
      </c>
      <c r="I39" s="86"/>
      <c r="J39" s="380">
        <v>916.66666666666663</v>
      </c>
      <c r="K39">
        <v>1</v>
      </c>
      <c r="L39" s="426" t="s">
        <v>963</v>
      </c>
      <c r="M39" s="301"/>
    </row>
    <row r="40" spans="2:21" outlineLevel="1">
      <c r="B40" s="301"/>
      <c r="C40" s="153" t="s">
        <v>964</v>
      </c>
      <c r="D40" s="151">
        <v>33000</v>
      </c>
      <c r="E40" s="374">
        <v>1</v>
      </c>
      <c r="F40" s="280" t="s">
        <v>774</v>
      </c>
      <c r="G40" s="310"/>
      <c r="H40" s="176" t="s">
        <v>775</v>
      </c>
      <c r="J40" s="359">
        <v>33000</v>
      </c>
      <c r="L40" s="280" t="s">
        <v>1083</v>
      </c>
      <c r="M40" s="301"/>
    </row>
    <row r="41" spans="2:21" outlineLevel="1">
      <c r="B41" s="301"/>
      <c r="C41" s="170" t="s">
        <v>386</v>
      </c>
      <c r="D41" s="118" t="s">
        <v>80</v>
      </c>
      <c r="F41" s="299" t="s">
        <v>599</v>
      </c>
      <c r="G41" s="310"/>
      <c r="H41" s="176" t="s">
        <v>832</v>
      </c>
      <c r="J41" s="26">
        <v>25</v>
      </c>
      <c r="K41" s="413">
        <v>1</v>
      </c>
      <c r="L41" s="427" t="s">
        <v>1077</v>
      </c>
      <c r="M41" s="301"/>
    </row>
    <row r="42" spans="2:21" outlineLevel="1">
      <c r="B42" s="301"/>
      <c r="C42" s="280"/>
      <c r="D42" s="280"/>
      <c r="E42" s="280"/>
      <c r="F42" s="280"/>
      <c r="G42" s="310"/>
      <c r="H42" s="176" t="s">
        <v>790</v>
      </c>
      <c r="J42" s="2">
        <v>10</v>
      </c>
      <c r="K42" s="77"/>
      <c r="L42" s="419" t="s">
        <v>601</v>
      </c>
      <c r="M42" s="301"/>
    </row>
    <row r="43" spans="2:21" outlineLevel="1">
      <c r="B43" s="301"/>
      <c r="C43" s="153" t="s">
        <v>611</v>
      </c>
      <c r="D43" s="151">
        <v>2</v>
      </c>
      <c r="F43" s="280" t="s">
        <v>791</v>
      </c>
      <c r="G43" s="310"/>
      <c r="M43" s="301"/>
    </row>
    <row r="44" spans="2:21" outlineLevel="1">
      <c r="B44" s="301"/>
      <c r="C44" s="153" t="s">
        <v>610</v>
      </c>
      <c r="D44" s="97">
        <v>80</v>
      </c>
      <c r="E44" s="374">
        <v>1</v>
      </c>
      <c r="F44" s="374">
        <v>1</v>
      </c>
      <c r="G44" s="310"/>
      <c r="L44" s="179" t="s">
        <v>1094</v>
      </c>
      <c r="M44" s="301"/>
    </row>
    <row r="45" spans="2:21" outlineLevel="1">
      <c r="B45" s="301"/>
      <c r="C45" s="153" t="s">
        <v>569</v>
      </c>
      <c r="D45" s="97">
        <v>100</v>
      </c>
      <c r="E45" s="374">
        <v>1</v>
      </c>
      <c r="F45" s="407" t="s">
        <v>959</v>
      </c>
      <c r="G45" s="310"/>
      <c r="L45" s="179" t="s">
        <v>1098</v>
      </c>
      <c r="M45" s="301"/>
    </row>
    <row r="46" spans="2:21" outlineLevel="1">
      <c r="B46" s="301"/>
      <c r="C46" s="180" t="s">
        <v>936</v>
      </c>
      <c r="D46" s="150"/>
      <c r="E46" s="150"/>
      <c r="F46" s="407"/>
      <c r="G46" s="310"/>
      <c r="H46" s="176" t="s">
        <v>833</v>
      </c>
      <c r="J46" s="414">
        <v>1.1458333333333333</v>
      </c>
      <c r="K46" s="379">
        <v>0</v>
      </c>
      <c r="L46" s="430" t="str">
        <f>IF(K46=0,"Congested. BEWARE: large change possible",IF(K46=1,"Not Congested","Error - no Vol Delay Curve"))</f>
        <v>Congested. BEWARE: large change possible</v>
      </c>
      <c r="M46" s="301"/>
    </row>
    <row r="47" spans="2:21" outlineLevel="1">
      <c r="B47" s="301"/>
      <c r="C47" s="180" t="s">
        <v>937</v>
      </c>
      <c r="D47" s="150"/>
      <c r="E47" s="150"/>
      <c r="F47" s="150"/>
      <c r="G47" s="310"/>
      <c r="H47" s="176" t="s">
        <v>925</v>
      </c>
      <c r="J47" s="415">
        <v>10</v>
      </c>
      <c r="K47" s="379">
        <v>0</v>
      </c>
      <c r="L47" s="430" t="s">
        <v>965</v>
      </c>
      <c r="M47" s="301"/>
    </row>
    <row r="48" spans="2:21" outlineLevel="1">
      <c r="B48" s="301"/>
      <c r="C48" s="170" t="s">
        <v>607</v>
      </c>
      <c r="D48" s="97">
        <v>0</v>
      </c>
      <c r="F48" s="299" t="s">
        <v>600</v>
      </c>
      <c r="G48" s="310"/>
      <c r="H48" s="176" t="s">
        <v>834</v>
      </c>
      <c r="J48" s="80">
        <v>0.40017774077488055</v>
      </c>
      <c r="K48" s="379">
        <v>1</v>
      </c>
      <c r="L48" s="430" t="s">
        <v>898</v>
      </c>
      <c r="M48" s="301"/>
    </row>
    <row r="49" spans="2:13" outlineLevel="1">
      <c r="B49" s="301"/>
      <c r="C49" s="170" t="s">
        <v>623</v>
      </c>
      <c r="D49" s="97">
        <v>0</v>
      </c>
      <c r="F49" s="280" t="s">
        <v>792</v>
      </c>
      <c r="G49" s="310"/>
      <c r="H49" s="176" t="s">
        <v>924</v>
      </c>
      <c r="J49" s="415">
        <v>100</v>
      </c>
      <c r="K49" s="379">
        <v>1</v>
      </c>
      <c r="L49" s="430" t="s">
        <v>966</v>
      </c>
      <c r="M49" s="301"/>
    </row>
    <row r="50" spans="2:13" outlineLevel="1">
      <c r="B50" s="301"/>
      <c r="C50" s="180" t="s">
        <v>938</v>
      </c>
      <c r="D50" s="150"/>
      <c r="F50" s="299"/>
      <c r="G50" s="310"/>
      <c r="H50" s="176" t="s">
        <v>835</v>
      </c>
      <c r="J50" s="416">
        <v>12380.155803871457</v>
      </c>
      <c r="K50" s="417"/>
      <c r="M50" s="301"/>
    </row>
    <row r="51" spans="2:13" outlineLevel="1">
      <c r="B51" s="301"/>
      <c r="C51" s="411" t="s">
        <v>929</v>
      </c>
      <c r="D51" s="150"/>
      <c r="F51" s="299"/>
      <c r="G51" s="310"/>
      <c r="H51" s="176" t="s">
        <v>836</v>
      </c>
      <c r="J51" s="418">
        <v>0.37515623648095325</v>
      </c>
      <c r="K51" s="77"/>
      <c r="M51" s="301"/>
    </row>
    <row r="52" spans="2:13" outlineLevel="1">
      <c r="B52" s="301"/>
      <c r="G52" s="310"/>
      <c r="H52" s="176" t="s">
        <v>927</v>
      </c>
      <c r="I52" s="78"/>
      <c r="J52" s="361">
        <v>-0.52047994235493877</v>
      </c>
      <c r="K52" s="78"/>
      <c r="L52" s="280" t="s">
        <v>921</v>
      </c>
      <c r="M52" s="301"/>
    </row>
    <row r="53" spans="2:13" outlineLevel="1">
      <c r="B53" s="301"/>
      <c r="C53" s="408" t="s">
        <v>1062</v>
      </c>
      <c r="G53" s="310"/>
      <c r="L53" s="280" t="s">
        <v>807</v>
      </c>
      <c r="M53" s="301"/>
    </row>
    <row r="54" spans="2:13" outlineLevel="1">
      <c r="B54" s="301"/>
      <c r="C54" s="408" t="s">
        <v>1095</v>
      </c>
      <c r="D54" s="86"/>
      <c r="F54" s="299"/>
      <c r="G54" s="310"/>
      <c r="M54" s="301"/>
    </row>
    <row r="55" spans="2:13" outlineLevel="1">
      <c r="B55" s="301"/>
      <c r="C55" s="408" t="s">
        <v>1096</v>
      </c>
      <c r="F55" s="299"/>
      <c r="G55" s="310"/>
      <c r="H55" s="410" t="s">
        <v>788</v>
      </c>
      <c r="I55" s="375"/>
      <c r="J55" s="360">
        <v>309503.89509678632</v>
      </c>
      <c r="K55" s="374">
        <v>1</v>
      </c>
      <c r="L55" s="425" t="s">
        <v>967</v>
      </c>
      <c r="M55" s="301"/>
    </row>
    <row r="56" spans="2:13" outlineLevel="1">
      <c r="B56" s="301"/>
      <c r="C56" s="408" t="s">
        <v>1097</v>
      </c>
      <c r="F56" s="299"/>
      <c r="G56" s="310"/>
      <c r="H56" s="176" t="s">
        <v>379</v>
      </c>
      <c r="J56" s="168">
        <v>1.0768645503166971</v>
      </c>
      <c r="L56" s="280" t="s">
        <v>789</v>
      </c>
      <c r="M56" s="301"/>
    </row>
    <row r="57" spans="2:13" outlineLevel="1">
      <c r="B57" s="301"/>
      <c r="C57" s="408"/>
      <c r="F57" s="299"/>
      <c r="G57" s="310"/>
      <c r="H57" s="176"/>
      <c r="L57" s="280" t="s">
        <v>800</v>
      </c>
      <c r="M57" s="301"/>
    </row>
    <row r="58" spans="2:13">
      <c r="B58" s="301"/>
      <c r="C58" s="298" t="s">
        <v>648</v>
      </c>
      <c r="F58" s="299"/>
      <c r="G58" s="310"/>
      <c r="H58" s="78"/>
      <c r="L58" s="280"/>
      <c r="M58" s="301"/>
    </row>
    <row r="59" spans="2:13">
      <c r="B59" s="301"/>
      <c r="C59" s="479" t="s">
        <v>968</v>
      </c>
      <c r="D59" s="480"/>
      <c r="E59" s="480"/>
      <c r="F59" s="483"/>
      <c r="G59" s="482"/>
      <c r="H59" s="480"/>
      <c r="I59" s="480"/>
      <c r="J59" s="480"/>
      <c r="K59" s="480"/>
      <c r="L59" s="480"/>
      <c r="M59" s="301"/>
    </row>
    <row r="60" spans="2:13" ht="35.25" customHeight="1">
      <c r="B60" s="301"/>
      <c r="C60" s="500" t="s">
        <v>956</v>
      </c>
      <c r="D60" s="500"/>
      <c r="E60" s="500"/>
      <c r="F60" s="500"/>
      <c r="G60" s="310"/>
      <c r="L60" s="280"/>
      <c r="M60" s="301"/>
    </row>
    <row r="61" spans="2:13" outlineLevel="2">
      <c r="B61" s="301"/>
      <c r="C61" s="150"/>
      <c r="D61" s="86"/>
      <c r="F61" s="299"/>
      <c r="G61" s="310"/>
      <c r="H61" t="s">
        <v>932</v>
      </c>
      <c r="I61" s="165">
        <v>1</v>
      </c>
      <c r="K61" s="374">
        <v>-1</v>
      </c>
      <c r="M61" s="301"/>
    </row>
    <row r="62" spans="2:13" ht="14.45" customHeight="1" outlineLevel="2">
      <c r="B62" s="301"/>
      <c r="C62" t="s">
        <v>931</v>
      </c>
      <c r="D62" s="4"/>
      <c r="F62" s="299" t="s">
        <v>664</v>
      </c>
      <c r="G62" s="310"/>
      <c r="H62" t="s">
        <v>933</v>
      </c>
      <c r="J62" s="165">
        <v>1.0768645503166971</v>
      </c>
      <c r="K62" s="374">
        <v>1</v>
      </c>
      <c r="L62" s="280" t="s">
        <v>1084</v>
      </c>
      <c r="M62" s="301"/>
    </row>
    <row r="63" spans="2:13" outlineLevel="2">
      <c r="B63" s="301"/>
      <c r="C63" s="171" t="s">
        <v>603</v>
      </c>
      <c r="D63" s="97"/>
      <c r="F63" s="280" t="s">
        <v>673</v>
      </c>
      <c r="G63" s="310"/>
      <c r="H63" s="176" t="s">
        <v>679</v>
      </c>
      <c r="I63" s="165">
        <v>1.0768645503166971</v>
      </c>
      <c r="L63" s="280" t="s">
        <v>1085</v>
      </c>
      <c r="M63" s="301"/>
    </row>
    <row r="64" spans="2:13" outlineLevel="2">
      <c r="B64" s="301"/>
      <c r="G64" s="310"/>
      <c r="J64" s="289"/>
      <c r="K64" s="289"/>
      <c r="L64" s="280" t="s">
        <v>1086</v>
      </c>
      <c r="M64" s="301"/>
    </row>
    <row r="65" spans="2:13" outlineLevel="2">
      <c r="B65" s="301"/>
      <c r="C65" t="s">
        <v>939</v>
      </c>
      <c r="G65" s="310"/>
      <c r="J65" s="289"/>
      <c r="K65" s="289"/>
      <c r="L65" s="280"/>
      <c r="M65" s="301"/>
    </row>
    <row r="66" spans="2:13" ht="14.45" customHeight="1" outlineLevel="2">
      <c r="B66" s="301"/>
      <c r="C66" s="169" t="s">
        <v>380</v>
      </c>
      <c r="D66" s="97" t="s">
        <v>99</v>
      </c>
      <c r="F66" s="299" t="s">
        <v>670</v>
      </c>
      <c r="G66" s="310"/>
      <c r="M66" s="301"/>
    </row>
    <row r="67" spans="2:13" outlineLevel="2">
      <c r="B67" s="301"/>
      <c r="F67" s="280" t="s">
        <v>818</v>
      </c>
      <c r="G67" s="310"/>
      <c r="M67" s="301"/>
    </row>
    <row r="68" spans="2:13" outlineLevel="2">
      <c r="B68" s="301"/>
      <c r="C68" s="504" t="s">
        <v>292</v>
      </c>
      <c r="D68" s="505"/>
      <c r="F68" s="299" t="s">
        <v>671</v>
      </c>
      <c r="G68" s="310"/>
      <c r="M68" s="301"/>
    </row>
    <row r="69" spans="2:13" outlineLevel="2">
      <c r="B69" s="301"/>
      <c r="C69" s="173" t="s">
        <v>381</v>
      </c>
      <c r="D69" s="97" t="s">
        <v>360</v>
      </c>
      <c r="G69" s="310"/>
      <c r="M69" s="301"/>
    </row>
    <row r="70" spans="2:13" outlineLevel="2">
      <c r="B70" s="301"/>
      <c r="C70" s="173" t="s">
        <v>382</v>
      </c>
      <c r="D70" s="97" t="s">
        <v>295</v>
      </c>
      <c r="G70" s="310"/>
      <c r="M70" s="301"/>
    </row>
    <row r="71" spans="2:13" ht="30" outlineLevel="2">
      <c r="B71" s="301"/>
      <c r="C71" s="178" t="s">
        <v>383</v>
      </c>
      <c r="D71" s="97" t="s">
        <v>736</v>
      </c>
      <c r="F71" s="280" t="s">
        <v>907</v>
      </c>
      <c r="G71" s="310"/>
      <c r="M71" s="301"/>
    </row>
    <row r="72" spans="2:13" outlineLevel="2">
      <c r="B72" s="301"/>
      <c r="G72" s="310"/>
      <c r="H72" s="300" t="s">
        <v>384</v>
      </c>
      <c r="I72" s="300"/>
      <c r="M72" s="301"/>
    </row>
    <row r="73" spans="2:13" outlineLevel="2">
      <c r="B73" s="301"/>
      <c r="C73" t="s">
        <v>940</v>
      </c>
      <c r="F73" s="299" t="s">
        <v>672</v>
      </c>
      <c r="G73" s="310"/>
      <c r="H73" s="152" t="s">
        <v>285</v>
      </c>
      <c r="I73" s="89"/>
      <c r="M73" s="301"/>
    </row>
    <row r="74" spans="2:13" outlineLevel="2">
      <c r="B74" s="301"/>
      <c r="C74" s="171" t="s">
        <v>942</v>
      </c>
      <c r="D74" s="97"/>
      <c r="F74" s="280" t="s">
        <v>673</v>
      </c>
      <c r="G74" s="310"/>
      <c r="H74" s="177" t="s">
        <v>286</v>
      </c>
      <c r="I74" s="172">
        <v>1.3686672607262345</v>
      </c>
      <c r="L74" s="280" t="s">
        <v>718</v>
      </c>
      <c r="M74" s="301"/>
    </row>
    <row r="75" spans="2:13" outlineLevel="2">
      <c r="B75" s="301"/>
      <c r="C75" s="411" t="s">
        <v>941</v>
      </c>
      <c r="F75" s="299"/>
      <c r="G75" s="310"/>
      <c r="L75" s="280"/>
      <c r="M75" s="301"/>
    </row>
    <row r="76" spans="2:13" outlineLevel="2">
      <c r="B76" s="301"/>
      <c r="C76" s="411"/>
      <c r="F76" s="299"/>
      <c r="G76" s="310"/>
      <c r="L76" s="280"/>
      <c r="M76" s="301"/>
    </row>
    <row r="77" spans="2:13">
      <c r="B77" s="301"/>
      <c r="C77" s="298" t="s">
        <v>648</v>
      </c>
      <c r="G77" s="310"/>
      <c r="M77" s="301"/>
    </row>
    <row r="78" spans="2:13">
      <c r="B78" s="301"/>
      <c r="C78" s="479" t="s">
        <v>969</v>
      </c>
      <c r="D78" s="480"/>
      <c r="E78" s="480"/>
      <c r="F78" s="481"/>
      <c r="G78" s="482"/>
      <c r="H78" s="480"/>
      <c r="I78" s="480"/>
      <c r="J78" s="480"/>
      <c r="K78" s="480"/>
      <c r="L78" s="480"/>
      <c r="M78" s="301"/>
    </row>
    <row r="79" spans="2:13" ht="20.100000000000001" customHeight="1">
      <c r="B79" s="301"/>
      <c r="C79" s="506" t="s">
        <v>957</v>
      </c>
      <c r="D79" s="506"/>
      <c r="E79" s="506"/>
      <c r="F79" s="506"/>
      <c r="G79" s="310"/>
      <c r="L79" s="280"/>
      <c r="M79" s="301"/>
    </row>
    <row r="80" spans="2:13" s="91" customFormat="1" ht="14.45" customHeight="1" outlineLevel="1">
      <c r="B80" s="301"/>
      <c r="C80" t="s">
        <v>943</v>
      </c>
      <c r="E80"/>
      <c r="F80" s="299" t="s">
        <v>674</v>
      </c>
      <c r="G80" s="310"/>
      <c r="J80"/>
      <c r="K80"/>
      <c r="L80" s="280"/>
      <c r="M80" s="301"/>
    </row>
    <row r="81" spans="2:13" s="91" customFormat="1" ht="14.45" customHeight="1" outlineLevel="1">
      <c r="B81" s="301"/>
      <c r="C81" s="90" t="s">
        <v>945</v>
      </c>
      <c r="D81" s="277"/>
      <c r="E81"/>
      <c r="F81" s="280" t="s">
        <v>673</v>
      </c>
      <c r="G81" s="310"/>
      <c r="H81" s="274" t="s">
        <v>587</v>
      </c>
      <c r="I81" s="276">
        <v>0.39339895868675101</v>
      </c>
      <c r="J81"/>
      <c r="K81"/>
      <c r="L81" s="280" t="s">
        <v>944</v>
      </c>
      <c r="M81" s="301"/>
    </row>
    <row r="82" spans="2:13" outlineLevel="1">
      <c r="B82" s="301"/>
      <c r="G82" s="310"/>
      <c r="H82" s="503" t="s">
        <v>384</v>
      </c>
      <c r="I82" s="503"/>
      <c r="M82" s="301"/>
    </row>
    <row r="83" spans="2:13" outlineLevel="1">
      <c r="B83" s="301"/>
      <c r="G83" s="310"/>
      <c r="H83" s="501" t="s">
        <v>287</v>
      </c>
      <c r="I83" s="502"/>
      <c r="M83" s="301"/>
    </row>
    <row r="84" spans="2:13" ht="14.45" customHeight="1" outlineLevel="1">
      <c r="B84" s="301"/>
      <c r="G84" s="310"/>
      <c r="H84" s="177" t="s">
        <v>286</v>
      </c>
      <c r="I84" s="172">
        <v>0.83023498556788589</v>
      </c>
      <c r="L84" s="280" t="s">
        <v>725</v>
      </c>
      <c r="M84" s="301"/>
    </row>
    <row r="85" spans="2:13">
      <c r="B85" s="301"/>
      <c r="C85" s="298" t="s">
        <v>648</v>
      </c>
      <c r="G85" s="310"/>
      <c r="H85" s="273"/>
      <c r="I85" s="273"/>
      <c r="M85" s="301"/>
    </row>
    <row r="86" spans="2:13">
      <c r="B86" s="301"/>
      <c r="C86" s="479" t="s">
        <v>970</v>
      </c>
      <c r="D86" s="480"/>
      <c r="E86" s="480"/>
      <c r="F86" s="481"/>
      <c r="G86" s="482"/>
      <c r="H86" s="480"/>
      <c r="I86" s="480"/>
      <c r="J86" s="480"/>
      <c r="K86" s="480"/>
      <c r="L86" s="480"/>
      <c r="M86" s="301"/>
    </row>
    <row r="87" spans="2:13" ht="20.100000000000001" customHeight="1">
      <c r="B87" s="301"/>
      <c r="C87" s="428" t="s">
        <v>796</v>
      </c>
      <c r="D87" s="429" t="s">
        <v>794</v>
      </c>
      <c r="E87" s="301"/>
      <c r="F87" s="305"/>
      <c r="G87" s="310"/>
      <c r="L87" s="280" t="s">
        <v>815</v>
      </c>
      <c r="M87" s="301"/>
    </row>
    <row r="88" spans="2:13" ht="14.45" customHeight="1">
      <c r="B88" s="301"/>
      <c r="C88" s="78" t="s">
        <v>793</v>
      </c>
      <c r="D88" s="357">
        <v>-0.52047994235493877</v>
      </c>
      <c r="F88" s="356" t="s">
        <v>971</v>
      </c>
      <c r="G88" s="310"/>
      <c r="L88" s="280"/>
      <c r="M88" s="301"/>
    </row>
    <row r="89" spans="2:13" ht="14.45" customHeight="1">
      <c r="B89" s="301"/>
      <c r="C89" s="78" t="s">
        <v>797</v>
      </c>
      <c r="D89" s="358" t="b">
        <v>0</v>
      </c>
      <c r="F89" s="356" t="s">
        <v>972</v>
      </c>
      <c r="G89" s="310"/>
      <c r="L89" s="280"/>
      <c r="M89" s="301"/>
    </row>
    <row r="90" spans="2:13" ht="14.45" customHeight="1">
      <c r="B90" s="301"/>
      <c r="C90" s="78" t="s">
        <v>798</v>
      </c>
      <c r="D90" s="358" t="b">
        <v>1</v>
      </c>
      <c r="F90" s="356" t="s">
        <v>973</v>
      </c>
      <c r="G90" s="310"/>
      <c r="L90" s="280"/>
      <c r="M90" s="301"/>
    </row>
    <row r="91" spans="2:13" ht="14.45" customHeight="1">
      <c r="B91" s="301"/>
      <c r="C91" s="78" t="s">
        <v>799</v>
      </c>
      <c r="D91" s="358" t="b">
        <v>0</v>
      </c>
      <c r="F91" s="356" t="s">
        <v>974</v>
      </c>
      <c r="G91" s="310"/>
      <c r="L91" s="280"/>
      <c r="M91" s="301"/>
    </row>
    <row r="92" spans="2:13" ht="14.45" customHeight="1">
      <c r="B92" s="301"/>
      <c r="C92" s="78" t="s">
        <v>795</v>
      </c>
      <c r="D92" s="166">
        <v>40</v>
      </c>
      <c r="F92" s="356"/>
      <c r="G92" s="310"/>
      <c r="L92" s="280"/>
      <c r="M92" s="301"/>
    </row>
    <row r="93" spans="2:13" ht="15.75">
      <c r="B93" s="301"/>
      <c r="F93" s="8" t="s">
        <v>289</v>
      </c>
      <c r="G93" s="310"/>
      <c r="H93" s="300" t="s">
        <v>289</v>
      </c>
      <c r="I93" s="88"/>
      <c r="J93" s="431" t="s">
        <v>952</v>
      </c>
      <c r="K93" s="377"/>
      <c r="L93" s="123"/>
      <c r="M93" s="301"/>
    </row>
    <row r="94" spans="2:13">
      <c r="B94" s="301"/>
      <c r="F94" s="8" t="s">
        <v>285</v>
      </c>
      <c r="G94" s="310"/>
      <c r="H94" s="152" t="s">
        <v>285</v>
      </c>
      <c r="I94" s="89"/>
      <c r="M94" s="301"/>
    </row>
    <row r="95" spans="2:13" ht="14.45" customHeight="1">
      <c r="B95" s="301"/>
      <c r="E95" s="78" t="s">
        <v>755</v>
      </c>
      <c r="F95" s="350">
        <v>422000</v>
      </c>
      <c r="G95" s="310"/>
      <c r="H95" s="145" t="s">
        <v>286</v>
      </c>
      <c r="I95" s="174">
        <v>422000</v>
      </c>
      <c r="J95" s="432">
        <v>83.471599999999995</v>
      </c>
      <c r="L95" s="280" t="s">
        <v>953</v>
      </c>
      <c r="M95" s="301"/>
    </row>
    <row r="96" spans="2:13">
      <c r="B96" s="301"/>
      <c r="F96" s="351" t="s">
        <v>287</v>
      </c>
      <c r="G96" s="310"/>
      <c r="H96" s="152" t="s">
        <v>287</v>
      </c>
      <c r="M96" s="301"/>
    </row>
    <row r="97" spans="1:13">
      <c r="B97" s="301"/>
      <c r="E97" s="78" t="s">
        <v>385</v>
      </c>
      <c r="F97" s="350">
        <v>231000</v>
      </c>
      <c r="G97" s="310"/>
      <c r="H97" s="145" t="s">
        <v>286</v>
      </c>
      <c r="I97" s="174">
        <v>231000</v>
      </c>
      <c r="J97" s="432">
        <v>45.691800000000001</v>
      </c>
      <c r="L97" s="280" t="s">
        <v>953</v>
      </c>
      <c r="M97" s="301"/>
    </row>
    <row r="98" spans="1:13">
      <c r="B98" s="301"/>
      <c r="E98" s="78" t="s">
        <v>812</v>
      </c>
      <c r="F98" s="182">
        <v>108000</v>
      </c>
      <c r="G98" s="310"/>
      <c r="H98" s="145" t="s">
        <v>813</v>
      </c>
      <c r="I98" s="175">
        <v>108000</v>
      </c>
      <c r="L98" s="280" t="s">
        <v>953</v>
      </c>
      <c r="M98" s="301"/>
    </row>
    <row r="99" spans="1:13">
      <c r="B99" s="301"/>
      <c r="D99" s="4"/>
      <c r="E99" s="8" t="s">
        <v>817</v>
      </c>
      <c r="F99" s="351" t="s">
        <v>948</v>
      </c>
      <c r="G99" s="310"/>
      <c r="H99" s="39"/>
      <c r="I99" s="39"/>
      <c r="M99" s="301"/>
    </row>
    <row r="100" spans="1:13">
      <c r="B100" s="301"/>
      <c r="C100" s="298"/>
      <c r="E100" s="78" t="s">
        <v>814</v>
      </c>
      <c r="F100" s="299" t="s">
        <v>703</v>
      </c>
      <c r="G100" s="310"/>
      <c r="M100" s="301"/>
    </row>
    <row r="101" spans="1:13">
      <c r="B101" s="301"/>
      <c r="C101" s="298"/>
      <c r="E101" s="78"/>
      <c r="F101" s="362" t="s">
        <v>1044</v>
      </c>
      <c r="G101" s="310"/>
      <c r="M101" s="301"/>
    </row>
    <row r="102" spans="1:13">
      <c r="B102" s="301"/>
      <c r="C102" s="298"/>
      <c r="E102" s="78"/>
      <c r="F102" s="371" t="s">
        <v>1080</v>
      </c>
      <c r="G102" s="310"/>
      <c r="M102" s="301"/>
    </row>
    <row r="103" spans="1:13">
      <c r="B103" s="301"/>
      <c r="C103" s="301"/>
      <c r="D103" s="301"/>
      <c r="E103" s="301"/>
      <c r="F103" s="305"/>
      <c r="G103" s="310"/>
      <c r="H103" s="301"/>
      <c r="I103" s="301"/>
      <c r="J103" s="301"/>
      <c r="K103" s="301"/>
      <c r="L103" s="301"/>
      <c r="M103" s="301"/>
    </row>
    <row r="104" spans="1:13">
      <c r="B104" s="298" t="s">
        <v>1116</v>
      </c>
    </row>
    <row r="105" spans="1:13">
      <c r="A105" t="s">
        <v>297</v>
      </c>
      <c r="C105" s="86"/>
    </row>
  </sheetData>
  <mergeCells count="7">
    <mergeCell ref="H83:I83"/>
    <mergeCell ref="C13:F13"/>
    <mergeCell ref="C37:F37"/>
    <mergeCell ref="C60:F60"/>
    <mergeCell ref="C68:D68"/>
    <mergeCell ref="C79:F79"/>
    <mergeCell ref="H82:I82"/>
  </mergeCells>
  <conditionalFormatting sqref="D42:E43">
    <cfRule type="expression" dxfId="6" priority="10">
      <formula>$D$23&gt;0</formula>
    </cfRule>
  </conditionalFormatting>
  <conditionalFormatting sqref="E23:E24">
    <cfRule type="iconSet" priority="1">
      <iconSet iconSet="3Symbols">
        <cfvo type="percent" val="0"/>
        <cfvo type="num" val="0"/>
        <cfvo type="num" val="1"/>
      </iconSet>
    </cfRule>
  </conditionalFormatting>
  <conditionalFormatting sqref="E40 E38">
    <cfRule type="iconSet" priority="16">
      <iconSet iconSet="3Symbols">
        <cfvo type="percent" val="0"/>
        <cfvo type="num" val="0"/>
        <cfvo type="num" val="1"/>
      </iconSet>
    </cfRule>
  </conditionalFormatting>
  <conditionalFormatting sqref="E42:E43">
    <cfRule type="expression" dxfId="5" priority="14">
      <formula>$D$23=0</formula>
    </cfRule>
  </conditionalFormatting>
  <conditionalFormatting sqref="E45">
    <cfRule type="iconSet" priority="2">
      <iconSet iconSet="3Symbols">
        <cfvo type="percent" val="0"/>
        <cfvo type="num" val="0"/>
        <cfvo type="num" val="1"/>
      </iconSet>
    </cfRule>
  </conditionalFormatting>
  <conditionalFormatting sqref="E44:F44">
    <cfRule type="iconSet" priority="3">
      <iconSet iconSet="3Symbols">
        <cfvo type="percent" val="0"/>
        <cfvo type="num" val="0"/>
        <cfvo type="num" val="1"/>
      </iconSet>
    </cfRule>
  </conditionalFormatting>
  <conditionalFormatting sqref="K37:K38">
    <cfRule type="iconSet" priority="9">
      <iconSet iconSet="3Symbols">
        <cfvo type="percent" val="0"/>
        <cfvo type="num" val="0"/>
        <cfvo type="num" val="1"/>
      </iconSet>
    </cfRule>
  </conditionalFormatting>
  <conditionalFormatting sqref="K39">
    <cfRule type="iconSet" priority="4">
      <iconSet iconSet="3Symbols">
        <cfvo type="percent" val="0"/>
        <cfvo type="num" val="0"/>
        <cfvo type="num" val="1"/>
      </iconSet>
    </cfRule>
  </conditionalFormatting>
  <conditionalFormatting sqref="K41">
    <cfRule type="iconSet" priority="6">
      <iconSet iconSet="3Symbols">
        <cfvo type="percent" val="0"/>
        <cfvo type="num" val="0"/>
        <cfvo type="num" val="1"/>
      </iconSet>
    </cfRule>
  </conditionalFormatting>
  <conditionalFormatting sqref="K46 K48">
    <cfRule type="iconSet" priority="15">
      <iconSet iconSet="3Symbols">
        <cfvo type="percent" val="0"/>
        <cfvo type="num" val="0"/>
        <cfvo type="num" val="1"/>
      </iconSet>
    </cfRule>
  </conditionalFormatting>
  <conditionalFormatting sqref="K49 K47">
    <cfRule type="iconSet" priority="5">
      <iconSet iconSet="3Symbols">
        <cfvo type="percent" val="0"/>
        <cfvo type="num" val="0"/>
        <cfvo type="num" val="1"/>
      </iconSet>
    </cfRule>
  </conditionalFormatting>
  <conditionalFormatting sqref="K55">
    <cfRule type="iconSet" priority="8">
      <iconSet iconSet="3Symbols">
        <cfvo type="percent" val="0"/>
        <cfvo type="num" val="0"/>
        <cfvo type="num" val="1"/>
      </iconSet>
    </cfRule>
  </conditionalFormatting>
  <conditionalFormatting sqref="K61:K62">
    <cfRule type="iconSet" priority="7">
      <iconSet iconSet="3Symbols">
        <cfvo type="percent" val="0"/>
        <cfvo type="num" val="0"/>
        <cfvo type="num" val="1"/>
      </iconSet>
    </cfRule>
  </conditionalFormatting>
  <hyperlinks>
    <hyperlink ref="F17" location="nRegion!A1" display="Note on regions" xr:uid="{22F8E10C-DF27-489E-AF4F-2676926D983B}"/>
    <hyperlink ref="F19" location="nONF!A1" display="Note on ONF" xr:uid="{32545769-71A7-482C-8AF9-180590F17634}"/>
    <hyperlink ref="F18" location="nAdmin!A1" display="Note on Admin" xr:uid="{36FAC46C-680A-46ED-AB03-CDF6DC6D1F7C}"/>
    <hyperlink ref="F25" location="nLanes!A1" display="Note on lanes" xr:uid="{5FB5D1FA-0E6D-47E0-A15D-D05FCF27A524}"/>
    <hyperlink ref="F66" location="nPT!A1" display="Note on existing PT" xr:uid="{1F67EDD3-10DE-4AC9-ADA7-EBC7CF401614}"/>
    <hyperlink ref="F48" location="nTolls!A1" display="Note on tolls" xr:uid="{DFC418BE-90DF-4B72-81AB-F61BE3698DF8}"/>
    <hyperlink ref="F41" location="nWithincity!A1" display="Note on city location" xr:uid="{EEE46F9B-2833-4C28-A86A-5B9C814E7BF5}"/>
    <hyperlink ref="F68" location="nLanduse!A1" display="Note on land use" xr:uid="{1654D63C-E7AA-40DE-859D-362B608FC54C}"/>
    <hyperlink ref="F73" location="nOverride!A1" display="Note: Elasticity override #2" xr:uid="{C161A26E-04BD-405E-80E7-EA12EFDF5F16}"/>
    <hyperlink ref="F80" location="nDiverted!A1" display="Note: Diverted traffic" xr:uid="{84AC2145-E0EB-4432-B6C7-45424B04F2B7}"/>
    <hyperlink ref="L42" location="nDistance!A1" display="Note on distance" xr:uid="{79D34DF6-1F81-4577-8633-0714C0A2E02B}"/>
    <hyperlink ref="F62" location="nOverride!A1" display="Note. Elasticity override #1" xr:uid="{41C64A87-6951-4EB1-B22B-7F5C1E8DC28B}"/>
    <hyperlink ref="F27" location="nMethods!A1" display="Note on methods" xr:uid="{C3EA9F3B-0DBA-4F1F-BDED-0DB4AB55ABA6}"/>
    <hyperlink ref="F14" location="nGlossary!A1" display="Note: Glossary" xr:uid="{7A8B1C7B-DE73-4324-B11C-9819DEE8DE7B}"/>
    <hyperlink ref="F100" location="nShort!A1" display="Note: Short-term" xr:uid="{1CBA90E5-B169-49EF-B27B-AEE772D61866}"/>
  </hyperlinks>
  <pageMargins left="0.25" right="0.25" top="0.75" bottom="0.75" header="0.3" footer="0.3"/>
  <pageSetup paperSize="9" scale="4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61CC-813B-4933-A64D-D01A12E4ECAB}">
  <sheetPr codeName="Sheet3">
    <tabColor theme="5" tint="0.79998168889431442"/>
  </sheetPr>
  <dimension ref="A1"/>
  <sheetViews>
    <sheetView workbookViewId="0"/>
  </sheetViews>
  <sheetFormatPr defaultRowHeight="15"/>
  <cols>
    <col min="1" max="1" width="17.5703125" customWidth="1"/>
  </cols>
  <sheetData>
    <row r="1" spans="1:1">
      <c r="A1" s="84" t="s">
        <v>280</v>
      </c>
    </row>
  </sheetData>
  <hyperlinks>
    <hyperlink ref="A1" location="Dashboard!A1" display="Return to dashboard" xr:uid="{3ACDD51F-1E5B-418B-8A35-A18EAE0DD47A}"/>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EDA4-5B3F-47CA-A48A-E0D77D2C7358}">
  <sheetPr codeName="Sheet4">
    <tabColor theme="5" tint="0.79998168889431442"/>
  </sheetPr>
  <dimension ref="A1:Y111"/>
  <sheetViews>
    <sheetView zoomScaleNormal="100" workbookViewId="0">
      <selection activeCell="B3" sqref="B3"/>
    </sheetView>
  </sheetViews>
  <sheetFormatPr defaultRowHeight="15"/>
  <cols>
    <col min="1" max="1" width="1.5703125" customWidth="1"/>
    <col min="2" max="2" width="37.7109375" customWidth="1"/>
    <col min="4" max="4" width="8.7109375" customWidth="1"/>
    <col min="6" max="7" width="8.7109375" customWidth="1"/>
    <col min="8" max="8" width="15.42578125" bestFit="1" customWidth="1"/>
    <col min="9" max="9" width="22.42578125" bestFit="1" customWidth="1"/>
    <col min="10" max="10" width="22.5703125" customWidth="1"/>
    <col min="13" max="13" width="21.85546875" customWidth="1"/>
    <col min="16" max="16" width="18.5703125" customWidth="1"/>
    <col min="23" max="23" width="13.5703125" bestFit="1" customWidth="1"/>
    <col min="24" max="24" width="25.7109375" customWidth="1"/>
  </cols>
  <sheetData>
    <row r="1" spans="1:16">
      <c r="A1" s="515" t="s">
        <v>280</v>
      </c>
      <c r="B1" s="515"/>
    </row>
    <row r="2" spans="1:16">
      <c r="A2" s="295" t="s">
        <v>975</v>
      </c>
    </row>
    <row r="5" spans="1:16">
      <c r="B5" s="139" t="s">
        <v>347</v>
      </c>
    </row>
    <row r="6" spans="1:16">
      <c r="B6" s="117" t="s">
        <v>1101</v>
      </c>
    </row>
    <row r="7" spans="1:16">
      <c r="B7" s="117" t="s">
        <v>590</v>
      </c>
    </row>
    <row r="8" spans="1:16">
      <c r="C8" s="93" t="s">
        <v>556</v>
      </c>
    </row>
    <row r="9" spans="1:16" ht="26.45" customHeight="1">
      <c r="B9" s="139" t="s">
        <v>333</v>
      </c>
      <c r="C9" s="251" t="s">
        <v>1102</v>
      </c>
      <c r="D9" s="251" t="s">
        <v>563</v>
      </c>
      <c r="F9" s="246" t="s">
        <v>548</v>
      </c>
      <c r="G9" s="247"/>
      <c r="H9" s="248" t="s">
        <v>1101</v>
      </c>
      <c r="I9" s="250" t="s">
        <v>560</v>
      </c>
      <c r="J9" s="247" t="s">
        <v>590</v>
      </c>
      <c r="K9" s="250" t="s">
        <v>560</v>
      </c>
      <c r="L9" s="249"/>
      <c r="M9" s="247" t="s">
        <v>552</v>
      </c>
      <c r="P9" s="4" t="s">
        <v>558</v>
      </c>
    </row>
    <row r="10" spans="1:16">
      <c r="B10" s="140" t="s">
        <v>404</v>
      </c>
      <c r="C10" s="92" t="str">
        <f>H15</f>
        <v>Interregional Connectors</v>
      </c>
      <c r="D10" s="92" t="str">
        <f>J18</f>
        <v>Interregional Connectors</v>
      </c>
      <c r="F10" s="209">
        <v>1</v>
      </c>
      <c r="G10" s="245"/>
      <c r="H10" s="110" t="str">
        <f>B14</f>
        <v>Transit Corridors</v>
      </c>
      <c r="I10" s="209"/>
      <c r="J10" s="245" t="str">
        <f>B19</f>
        <v>City Hubs</v>
      </c>
      <c r="K10" s="209"/>
      <c r="L10" s="209"/>
      <c r="M10" s="245" t="s">
        <v>554</v>
      </c>
      <c r="P10" t="str">
        <f>Dashboard!$D$18</f>
        <v>NZTA</v>
      </c>
    </row>
    <row r="11" spans="1:16">
      <c r="B11" s="140" t="s">
        <v>405</v>
      </c>
      <c r="C11" s="92" t="str">
        <f>H15</f>
        <v>Interregional Connectors</v>
      </c>
      <c r="D11" s="92" t="str">
        <f>J20</f>
        <v>Rural Connectors</v>
      </c>
      <c r="G11" s="18"/>
      <c r="J11" s="18"/>
      <c r="M11" s="18"/>
      <c r="O11" t="s">
        <v>549</v>
      </c>
      <c r="P11">
        <f>MATCH(P10,H9:J9,0)</f>
        <v>1</v>
      </c>
    </row>
    <row r="12" spans="1:16">
      <c r="B12" s="140" t="s">
        <v>406</v>
      </c>
      <c r="C12" s="92" t="str">
        <f>H18</f>
        <v>Rural Connectors</v>
      </c>
      <c r="D12" s="92" t="str">
        <f>J20</f>
        <v>Rural Connectors</v>
      </c>
      <c r="F12" s="209">
        <v>2</v>
      </c>
      <c r="G12" s="245"/>
      <c r="H12" s="110" t="str">
        <f>B15</f>
        <v>Urban Connectors</v>
      </c>
      <c r="I12" s="209" t="str">
        <f>B17</f>
        <v>Main Streets</v>
      </c>
      <c r="J12" s="245" t="str">
        <f>B15</f>
        <v>Urban Connectors</v>
      </c>
      <c r="K12" s="209" t="str">
        <f>B17</f>
        <v>Main Streets</v>
      </c>
      <c r="L12" s="209"/>
      <c r="M12" s="245" t="s">
        <v>553</v>
      </c>
      <c r="N12">
        <v>1</v>
      </c>
      <c r="O12">
        <f>MATCH(N12,$F$10:$F$20,0)</f>
        <v>1</v>
      </c>
      <c r="P12" s="243" t="str" cm="1">
        <f t="array" ref="P12">INDEX($H$10:$J$20,$O12,P$11)</f>
        <v>Transit Corridors</v>
      </c>
    </row>
    <row r="13" spans="1:16">
      <c r="B13" s="140" t="s">
        <v>402</v>
      </c>
      <c r="C13" s="155" t="s">
        <v>550</v>
      </c>
      <c r="D13" s="155" t="s">
        <v>550</v>
      </c>
      <c r="F13" s="209"/>
      <c r="G13" s="245"/>
      <c r="H13" s="209"/>
      <c r="I13" s="209" t="str">
        <f>B16</f>
        <v>Activity Streets</v>
      </c>
      <c r="J13" s="245"/>
      <c r="K13" s="209" t="str">
        <f>B14</f>
        <v>Transit Corridors</v>
      </c>
      <c r="L13" s="209"/>
      <c r="M13" s="245"/>
      <c r="N13">
        <v>2</v>
      </c>
      <c r="O13">
        <f>MATCH(N13,$F$10:$F$20,0)</f>
        <v>3</v>
      </c>
      <c r="P13" s="243" t="str" cm="1">
        <f t="array" ref="P13">INDEX($H$10:$J$20,$O13,P$11)</f>
        <v>Urban Connectors</v>
      </c>
    </row>
    <row r="14" spans="1:16">
      <c r="B14" s="140" t="s">
        <v>410</v>
      </c>
      <c r="C14" s="92" t="str">
        <f>H10</f>
        <v>Transit Corridors</v>
      </c>
      <c r="D14" s="92" t="str">
        <f>J12</f>
        <v>Urban Connectors</v>
      </c>
      <c r="G14" s="18"/>
      <c r="J14" s="18"/>
      <c r="M14" s="18"/>
      <c r="N14">
        <v>3</v>
      </c>
      <c r="O14">
        <f>MATCH(N14,$F$10:$F$20,0)</f>
        <v>6</v>
      </c>
      <c r="P14" s="243" t="str" cm="1">
        <f t="array" ref="P14">INDEX($H$10:$J$20,$O14,P$11)</f>
        <v>Interregional Connectors</v>
      </c>
    </row>
    <row r="15" spans="1:16">
      <c r="B15" s="140" t="s">
        <v>411</v>
      </c>
      <c r="C15" s="92" t="str">
        <f>H12</f>
        <v>Urban Connectors</v>
      </c>
      <c r="D15" s="92" t="str">
        <f>J12</f>
        <v>Urban Connectors</v>
      </c>
      <c r="F15" s="209">
        <v>3</v>
      </c>
      <c r="G15" s="245"/>
      <c r="H15" s="110" t="s">
        <v>404</v>
      </c>
      <c r="I15" s="209" t="str">
        <f>B11</f>
        <v>Peri-urban Roads</v>
      </c>
      <c r="J15" s="245" t="str">
        <f>B16</f>
        <v>Activity Streets</v>
      </c>
      <c r="K15" s="209"/>
      <c r="L15" s="209"/>
      <c r="M15" s="245" t="s">
        <v>546</v>
      </c>
      <c r="N15">
        <v>4</v>
      </c>
      <c r="O15">
        <f>MATCH(N15,$F$10:$F$20,0)</f>
        <v>9</v>
      </c>
      <c r="P15" s="243" t="str" cm="1">
        <f t="array" ref="P15">INDEX($H$10:$J$20,$O15,P$11)</f>
        <v>Rural Connectors</v>
      </c>
    </row>
    <row r="16" spans="1:16">
      <c r="B16" s="140" t="s">
        <v>408</v>
      </c>
      <c r="C16" s="92" t="str">
        <f>H12</f>
        <v>Urban Connectors</v>
      </c>
      <c r="D16" s="92" t="str">
        <f>J15</f>
        <v>Activity Streets</v>
      </c>
      <c r="F16" s="209"/>
      <c r="G16" s="245"/>
      <c r="H16" s="209"/>
      <c r="I16" s="209" t="str">
        <f>B18</f>
        <v>Stopping Places</v>
      </c>
      <c r="J16" s="245"/>
      <c r="K16" s="209"/>
      <c r="L16" s="209"/>
      <c r="M16" s="245"/>
      <c r="N16">
        <v>5</v>
      </c>
      <c r="O16">
        <f>MATCH(N16,$F$10:$F$20,0)</f>
        <v>11</v>
      </c>
      <c r="P16" s="243" t="str" cm="1">
        <f t="array" ref="P16">INDEX($H$10:$J$20,$O16,P$11)</f>
        <v>Rural Connectors</v>
      </c>
    </row>
    <row r="17" spans="2:25">
      <c r="B17" s="140" t="s">
        <v>409</v>
      </c>
      <c r="C17" s="92" t="str">
        <f>H12</f>
        <v>Urban Connectors</v>
      </c>
      <c r="D17" s="92" t="str">
        <f>J12</f>
        <v>Urban Connectors</v>
      </c>
      <c r="G17" s="18"/>
      <c r="J17" s="18"/>
      <c r="M17" s="18"/>
    </row>
    <row r="18" spans="2:25">
      <c r="B18" s="140" t="s">
        <v>415</v>
      </c>
      <c r="C18" s="92" t="str">
        <f>H15</f>
        <v>Interregional Connectors</v>
      </c>
      <c r="D18" s="92" t="str">
        <f>J20</f>
        <v>Rural Connectors</v>
      </c>
      <c r="F18" s="209">
        <v>4</v>
      </c>
      <c r="G18" s="245"/>
      <c r="H18" s="110" t="s">
        <v>406</v>
      </c>
      <c r="I18" s="209"/>
      <c r="J18" s="245" t="str">
        <f>B10</f>
        <v>Interregional Connectors</v>
      </c>
      <c r="K18" s="209" t="s">
        <v>414</v>
      </c>
      <c r="L18" s="209"/>
      <c r="M18" s="245" t="s">
        <v>555</v>
      </c>
      <c r="W18" t="s">
        <v>1101</v>
      </c>
      <c r="X18" t="s">
        <v>410</v>
      </c>
      <c r="Y18" t="str">
        <f>W18&amp;"_"&amp;X18</f>
        <v>NZTA_Transit Corridors</v>
      </c>
    </row>
    <row r="19" spans="2:25">
      <c r="B19" s="140" t="s">
        <v>416</v>
      </c>
      <c r="C19" s="155" t="s">
        <v>550</v>
      </c>
      <c r="D19" s="92" t="str">
        <f>J10</f>
        <v>City Hubs</v>
      </c>
      <c r="G19" s="18"/>
      <c r="J19" s="18"/>
      <c r="M19" s="18"/>
      <c r="W19" t="s">
        <v>1101</v>
      </c>
      <c r="X19" t="s">
        <v>411</v>
      </c>
      <c r="Y19" t="str">
        <f t="shared" ref="Y19:Y27" si="0">W19&amp;"_"&amp;X19</f>
        <v>NZTA_Urban Connectors</v>
      </c>
    </row>
    <row r="20" spans="2:25">
      <c r="B20" s="140" t="s">
        <v>418</v>
      </c>
      <c r="C20" s="155" t="s">
        <v>550</v>
      </c>
      <c r="D20" s="92" t="str">
        <f>J20</f>
        <v>Rural Connectors</v>
      </c>
      <c r="F20" s="209">
        <v>5</v>
      </c>
      <c r="G20" s="245"/>
      <c r="H20" s="110" t="s">
        <v>406</v>
      </c>
      <c r="I20" s="209"/>
      <c r="J20" s="245" t="str">
        <f>B12</f>
        <v>Rural Connectors</v>
      </c>
      <c r="K20" s="209" t="str">
        <f>B11</f>
        <v>Peri-urban Roads</v>
      </c>
      <c r="L20" s="209"/>
      <c r="M20" s="245" t="s">
        <v>547</v>
      </c>
      <c r="W20" t="s">
        <v>1101</v>
      </c>
      <c r="X20" t="s">
        <v>404</v>
      </c>
      <c r="Y20" t="str">
        <f t="shared" si="0"/>
        <v>NZTA_Interregional Connectors</v>
      </c>
    </row>
    <row r="21" spans="2:25">
      <c r="B21" s="140" t="s">
        <v>417</v>
      </c>
      <c r="C21" s="155" t="s">
        <v>550</v>
      </c>
      <c r="D21" s="92" t="str">
        <f>J20</f>
        <v>Rural Connectors</v>
      </c>
      <c r="F21" s="209"/>
      <c r="G21" s="245"/>
      <c r="H21" s="352" t="s">
        <v>809</v>
      </c>
      <c r="I21" s="209"/>
      <c r="J21" s="245"/>
      <c r="K21" s="209" t="str">
        <f>B18</f>
        <v>Stopping Places</v>
      </c>
      <c r="L21" s="209"/>
      <c r="M21" s="245"/>
      <c r="W21" t="s">
        <v>1101</v>
      </c>
      <c r="X21" t="s">
        <v>406</v>
      </c>
      <c r="Y21" t="str">
        <f t="shared" si="0"/>
        <v>NZTA_Rural Connectors</v>
      </c>
    </row>
    <row r="22" spans="2:25">
      <c r="B22" s="140" t="s">
        <v>414</v>
      </c>
      <c r="C22" s="155" t="s">
        <v>550</v>
      </c>
      <c r="D22" s="92" t="str">
        <f>J20</f>
        <v>Rural Connectors</v>
      </c>
      <c r="F22" s="209"/>
      <c r="G22" s="245"/>
      <c r="H22" s="209"/>
      <c r="I22" s="209"/>
      <c r="J22" s="245"/>
      <c r="K22" s="209" t="str">
        <f>B20</f>
        <v>Local Streets</v>
      </c>
      <c r="L22" s="209"/>
      <c r="M22" s="245"/>
      <c r="W22" t="s">
        <v>1101</v>
      </c>
      <c r="X22" t="s">
        <v>550</v>
      </c>
      <c r="Y22" t="str">
        <f t="shared" si="0"/>
        <v>NZTA_NA</v>
      </c>
    </row>
    <row r="23" spans="2:25">
      <c r="B23" s="140" t="s">
        <v>332</v>
      </c>
      <c r="C23" s="155" t="s">
        <v>550</v>
      </c>
      <c r="D23" s="254" t="str">
        <f>J20</f>
        <v>Rural Connectors</v>
      </c>
      <c r="F23" s="209"/>
      <c r="G23" s="245"/>
      <c r="H23" s="209"/>
      <c r="I23" s="209"/>
      <c r="J23" s="245"/>
      <c r="K23" s="209" t="str">
        <f>B21</f>
        <v>Civic Spaces</v>
      </c>
      <c r="L23" s="209"/>
      <c r="M23" s="245"/>
      <c r="W23" t="s">
        <v>349</v>
      </c>
      <c r="X23" t="s">
        <v>416</v>
      </c>
      <c r="Y23" t="str">
        <f t="shared" si="0"/>
        <v>Local TLA_City Hubs</v>
      </c>
    </row>
    <row r="24" spans="2:25">
      <c r="B24" s="78"/>
      <c r="W24" t="s">
        <v>349</v>
      </c>
      <c r="X24" t="s">
        <v>411</v>
      </c>
      <c r="Y24" t="str">
        <f t="shared" si="0"/>
        <v>Local TLA_Urban Connectors</v>
      </c>
    </row>
    <row r="25" spans="2:25">
      <c r="B25" s="78"/>
      <c r="C25" s="93" t="s">
        <v>559</v>
      </c>
      <c r="W25" t="s">
        <v>349</v>
      </c>
      <c r="X25" t="s">
        <v>408</v>
      </c>
      <c r="Y25" t="str">
        <f t="shared" si="0"/>
        <v>Local TLA_Activity Streets</v>
      </c>
    </row>
    <row r="26" spans="2:25">
      <c r="B26" s="139" t="s">
        <v>334</v>
      </c>
      <c r="F26" s="241" t="s">
        <v>561</v>
      </c>
      <c r="G26" s="209"/>
      <c r="H26" s="209"/>
      <c r="P26" s="4" t="s">
        <v>557</v>
      </c>
      <c r="W26" t="s">
        <v>349</v>
      </c>
      <c r="X26" t="s">
        <v>404</v>
      </c>
      <c r="Y26" t="str">
        <f t="shared" si="0"/>
        <v>Local TLA_Interregional Connectors</v>
      </c>
    </row>
    <row r="27" spans="2:25">
      <c r="B27" s="96" t="s">
        <v>335</v>
      </c>
      <c r="F27" s="209" t="s">
        <v>81</v>
      </c>
      <c r="G27" s="245" t="s">
        <v>387</v>
      </c>
      <c r="H27" s="245"/>
      <c r="O27" t="s">
        <v>549</v>
      </c>
      <c r="P27" t="str">
        <f>Dashboard!$D$17</f>
        <v>Canterbury</v>
      </c>
      <c r="W27" t="s">
        <v>349</v>
      </c>
      <c r="X27" t="s">
        <v>406</v>
      </c>
      <c r="Y27" t="str">
        <f t="shared" si="0"/>
        <v>Local TLA_Rural Connectors</v>
      </c>
    </row>
    <row r="28" spans="2:25">
      <c r="B28" s="96" t="s">
        <v>336</v>
      </c>
      <c r="D28" s="180"/>
      <c r="F28" s="209" t="s">
        <v>72</v>
      </c>
      <c r="G28" s="245" t="s">
        <v>73</v>
      </c>
      <c r="H28" s="245" t="s">
        <v>74</v>
      </c>
      <c r="I28" s="86"/>
      <c r="P28">
        <f>MATCH(P27,B27:B41,0)</f>
        <v>12</v>
      </c>
    </row>
    <row r="29" spans="2:25">
      <c r="B29" s="96" t="s">
        <v>337</v>
      </c>
      <c r="D29" s="180"/>
      <c r="F29" s="209" t="s">
        <v>81</v>
      </c>
      <c r="G29" s="245"/>
      <c r="H29" s="245"/>
      <c r="O29">
        <v>1</v>
      </c>
      <c r="P29" s="243" t="str" cm="1">
        <f t="array" ref="P29">INDEX($F$27:$H$41,P$28,$O29)</f>
        <v>Christchurch Inner</v>
      </c>
    </row>
    <row r="30" spans="2:25">
      <c r="B30" s="96" t="s">
        <v>338</v>
      </c>
      <c r="D30" s="180"/>
      <c r="F30" s="209" t="s">
        <v>81</v>
      </c>
      <c r="G30" s="245"/>
      <c r="H30" s="245"/>
      <c r="O30">
        <v>2</v>
      </c>
      <c r="P30" s="243" t="str" cm="1">
        <f t="array" ref="P30">INDEX($F$27:$H$41,P$28,$O30)</f>
        <v>Christchurch Mid</v>
      </c>
      <c r="Q30" s="86"/>
    </row>
    <row r="31" spans="2:25">
      <c r="B31" s="96" t="s">
        <v>339</v>
      </c>
      <c r="D31" s="180"/>
      <c r="F31" s="209" t="s">
        <v>81</v>
      </c>
      <c r="G31" s="245"/>
      <c r="H31" s="245"/>
      <c r="O31">
        <v>3</v>
      </c>
      <c r="P31" s="243" t="str" cm="1">
        <f t="array" ref="P31">INDEX($F$27:$H$41,P$28,$O31)</f>
        <v>Christchurch Outer</v>
      </c>
      <c r="Q31" s="86"/>
    </row>
    <row r="32" spans="2:25">
      <c r="B32" s="96" t="s">
        <v>340</v>
      </c>
      <c r="D32" s="180"/>
      <c r="F32" s="209" t="s">
        <v>81</v>
      </c>
      <c r="G32" s="245"/>
      <c r="H32" s="245"/>
    </row>
    <row r="33" spans="2:9">
      <c r="B33" s="96" t="s">
        <v>341</v>
      </c>
      <c r="D33" s="180"/>
      <c r="F33" s="209" t="s">
        <v>81</v>
      </c>
      <c r="G33" s="245"/>
      <c r="H33" s="245"/>
    </row>
    <row r="34" spans="2:9">
      <c r="B34" s="96" t="s">
        <v>568</v>
      </c>
      <c r="D34" s="180"/>
      <c r="F34" s="209" t="s">
        <v>81</v>
      </c>
      <c r="G34" s="245"/>
      <c r="H34" s="245"/>
    </row>
    <row r="35" spans="2:9">
      <c r="B35" s="96" t="s">
        <v>342</v>
      </c>
      <c r="D35" s="180"/>
      <c r="F35" s="209" t="s">
        <v>75</v>
      </c>
      <c r="G35" s="245" t="s">
        <v>76</v>
      </c>
      <c r="H35" s="245" t="s">
        <v>77</v>
      </c>
      <c r="I35" s="86"/>
    </row>
    <row r="36" spans="2:9">
      <c r="B36" s="96" t="s">
        <v>566</v>
      </c>
      <c r="C36" s="93" t="s">
        <v>567</v>
      </c>
      <c r="D36" s="180"/>
      <c r="F36" s="209" t="s">
        <v>81</v>
      </c>
      <c r="G36" s="245"/>
      <c r="H36" s="245"/>
    </row>
    <row r="37" spans="2:9">
      <c r="B37" s="96" t="s">
        <v>343</v>
      </c>
      <c r="D37" s="180"/>
      <c r="F37" s="209" t="s">
        <v>81</v>
      </c>
      <c r="G37" s="245"/>
      <c r="H37" s="245"/>
    </row>
    <row r="38" spans="2:9">
      <c r="B38" s="96" t="s">
        <v>283</v>
      </c>
      <c r="D38" s="180"/>
      <c r="F38" s="209" t="s">
        <v>78</v>
      </c>
      <c r="G38" s="245" t="s">
        <v>79</v>
      </c>
      <c r="H38" s="245" t="s">
        <v>80</v>
      </c>
      <c r="I38" s="86"/>
    </row>
    <row r="39" spans="2:9">
      <c r="B39" s="244" t="s">
        <v>344</v>
      </c>
      <c r="C39" s="86"/>
      <c r="D39" s="180"/>
      <c r="F39" s="209"/>
      <c r="G39" s="245"/>
      <c r="H39" s="245"/>
    </row>
    <row r="40" spans="2:9">
      <c r="B40" s="96" t="s">
        <v>345</v>
      </c>
      <c r="D40" s="180"/>
      <c r="F40" s="209" t="s">
        <v>81</v>
      </c>
      <c r="G40" s="245"/>
      <c r="H40" s="245"/>
    </row>
    <row r="41" spans="2:9">
      <c r="B41" s="96" t="s">
        <v>346</v>
      </c>
      <c r="D41" s="180"/>
      <c r="F41" s="209" t="s">
        <v>81</v>
      </c>
      <c r="G41" s="245"/>
      <c r="H41" s="245"/>
    </row>
    <row r="42" spans="2:9">
      <c r="B42" s="78"/>
      <c r="D42" s="180"/>
    </row>
    <row r="43" spans="2:9">
      <c r="B43" s="139" t="s">
        <v>348</v>
      </c>
    </row>
    <row r="44" spans="2:9">
      <c r="B44" s="117" t="s">
        <v>100</v>
      </c>
    </row>
    <row r="45" spans="2:9">
      <c r="B45" s="117" t="s">
        <v>288</v>
      </c>
    </row>
    <row r="46" spans="2:9">
      <c r="B46" s="117" t="s">
        <v>99</v>
      </c>
    </row>
    <row r="48" spans="2:9">
      <c r="B48" s="139" t="s">
        <v>350</v>
      </c>
      <c r="C48" s="117" t="s">
        <v>323</v>
      </c>
    </row>
    <row r="49" spans="2:9">
      <c r="B49" s="117" t="s">
        <v>100</v>
      </c>
      <c r="C49" s="141">
        <f>1-0.5</f>
        <v>0.5</v>
      </c>
      <c r="D49" s="329" t="s">
        <v>351</v>
      </c>
    </row>
    <row r="50" spans="2:9">
      <c r="B50" s="117" t="s">
        <v>288</v>
      </c>
      <c r="C50" s="141">
        <f>1-(C51-C49)/2</f>
        <v>0.75</v>
      </c>
      <c r="D50" s="329" t="s">
        <v>352</v>
      </c>
    </row>
    <row r="51" spans="2:9">
      <c r="B51" s="117" t="s">
        <v>99</v>
      </c>
      <c r="C51" s="141">
        <v>1</v>
      </c>
      <c r="D51" s="18"/>
    </row>
    <row r="53" spans="2:9" hidden="1">
      <c r="B53" s="317" t="s">
        <v>291</v>
      </c>
      <c r="C53" s="318"/>
      <c r="D53" s="329" t="s">
        <v>728</v>
      </c>
      <c r="E53" s="320"/>
      <c r="F53" s="320"/>
      <c r="G53" s="320"/>
      <c r="H53" s="320"/>
      <c r="I53" s="320"/>
    </row>
    <row r="54" spans="2:9" hidden="1">
      <c r="B54" s="318" t="s">
        <v>353</v>
      </c>
      <c r="C54" s="321">
        <f>1-0.85</f>
        <v>0.15000000000000002</v>
      </c>
      <c r="D54" s="322" t="s">
        <v>354</v>
      </c>
      <c r="E54" s="320"/>
      <c r="F54" s="320"/>
      <c r="G54" s="320"/>
      <c r="H54" s="320"/>
      <c r="I54" s="320"/>
    </row>
    <row r="55" spans="2:9" hidden="1">
      <c r="B55" s="318" t="s">
        <v>355</v>
      </c>
      <c r="C55" s="321">
        <f>1-2*(C57-C54)/3</f>
        <v>0.43333333333333335</v>
      </c>
      <c r="D55" s="319" t="s">
        <v>352</v>
      </c>
      <c r="E55" s="320"/>
      <c r="F55" s="320"/>
      <c r="G55" s="320"/>
      <c r="H55" s="320"/>
      <c r="I55" s="320"/>
    </row>
    <row r="56" spans="2:9" hidden="1">
      <c r="B56" s="318" t="s">
        <v>356</v>
      </c>
      <c r="C56" s="321">
        <f>1-(C57-C54)/3</f>
        <v>0.71666666666666667</v>
      </c>
      <c r="D56" s="319" t="s">
        <v>352</v>
      </c>
      <c r="E56" s="320"/>
      <c r="F56" s="320"/>
      <c r="G56" s="320"/>
      <c r="H56" s="320"/>
      <c r="I56" s="320"/>
    </row>
    <row r="57" spans="2:9" hidden="1">
      <c r="B57" s="318" t="s">
        <v>294</v>
      </c>
      <c r="C57" s="321">
        <v>1</v>
      </c>
      <c r="D57" s="319"/>
      <c r="E57" s="320"/>
      <c r="F57" s="320"/>
      <c r="G57" s="320"/>
      <c r="H57" s="320"/>
      <c r="I57" s="320"/>
    </row>
    <row r="58" spans="2:9" hidden="1"/>
    <row r="59" spans="2:9">
      <c r="B59" s="330" t="s">
        <v>358</v>
      </c>
      <c r="C59" s="331"/>
      <c r="D59" s="331"/>
      <c r="E59" s="209"/>
    </row>
    <row r="60" spans="2:9">
      <c r="B60" s="332" t="s">
        <v>296</v>
      </c>
      <c r="C60" s="333">
        <v>1</v>
      </c>
      <c r="D60" s="334"/>
      <c r="E60" s="209"/>
    </row>
    <row r="61" spans="2:9">
      <c r="B61" s="332" t="s">
        <v>360</v>
      </c>
      <c r="C61" s="333">
        <v>2</v>
      </c>
      <c r="D61" s="334"/>
      <c r="E61" s="209"/>
    </row>
    <row r="62" spans="2:9">
      <c r="B62" s="332" t="s">
        <v>295</v>
      </c>
      <c r="C62" s="333">
        <v>3</v>
      </c>
      <c r="D62" s="334"/>
      <c r="E62" s="209"/>
    </row>
    <row r="63" spans="2:9">
      <c r="B63" s="209"/>
      <c r="C63" s="209"/>
      <c r="D63" s="209"/>
      <c r="E63" s="209"/>
    </row>
    <row r="64" spans="2:9">
      <c r="B64" s="335" t="s">
        <v>322</v>
      </c>
      <c r="C64" s="209"/>
      <c r="D64" s="209"/>
      <c r="E64" s="209"/>
    </row>
    <row r="65" spans="2:5">
      <c r="B65" s="336" t="s">
        <v>735</v>
      </c>
      <c r="C65" s="209"/>
      <c r="D65" s="209"/>
      <c r="E65" s="209"/>
    </row>
    <row r="66" spans="2:5">
      <c r="B66" s="336" t="s">
        <v>736</v>
      </c>
      <c r="C66" s="209"/>
      <c r="D66" s="209"/>
      <c r="E66" s="209"/>
    </row>
    <row r="67" spans="2:5">
      <c r="B67" s="209"/>
      <c r="C67" s="209"/>
      <c r="D67" s="209"/>
      <c r="E67" s="209"/>
    </row>
    <row r="68" spans="2:5">
      <c r="B68" s="352" t="s">
        <v>766</v>
      </c>
      <c r="C68" s="209"/>
      <c r="D68" s="209"/>
      <c r="E68" s="209"/>
    </row>
    <row r="69" spans="2:5" ht="18.75">
      <c r="B69" s="337" t="s">
        <v>357</v>
      </c>
      <c r="C69" s="209"/>
      <c r="D69" s="209"/>
      <c r="E69" s="209"/>
    </row>
    <row r="70" spans="2:5" ht="60">
      <c r="B70" s="338" t="s">
        <v>359</v>
      </c>
      <c r="C70" s="332" t="s">
        <v>296</v>
      </c>
      <c r="D70" s="332" t="s">
        <v>360</v>
      </c>
      <c r="E70" s="332" t="s">
        <v>295</v>
      </c>
    </row>
    <row r="71" spans="2:5">
      <c r="B71" s="332" t="s">
        <v>296</v>
      </c>
      <c r="C71" s="339">
        <v>1</v>
      </c>
      <c r="D71" s="339">
        <f>1/C72</f>
        <v>1.0390552863131781</v>
      </c>
      <c r="E71" s="339">
        <f>1/C73</f>
        <v>1.1282952253494756</v>
      </c>
    </row>
    <row r="72" spans="2:5">
      <c r="B72" s="332" t="s">
        <v>360</v>
      </c>
      <c r="C72" s="339">
        <f>H90/H88</f>
        <v>0.96241269658349382</v>
      </c>
      <c r="D72" s="339">
        <v>1</v>
      </c>
      <c r="E72" s="339">
        <f>1/D73</f>
        <v>1.0858856503708696</v>
      </c>
    </row>
    <row r="73" spans="2:5">
      <c r="B73" s="332" t="s">
        <v>295</v>
      </c>
      <c r="C73" s="339">
        <f>H90/H86</f>
        <v>0.88629285805074842</v>
      </c>
      <c r="D73" s="339">
        <f>H88/H86</f>
        <v>0.92090727937924532</v>
      </c>
      <c r="E73" s="339">
        <v>1</v>
      </c>
    </row>
    <row r="74" spans="2:5">
      <c r="B74" s="209"/>
      <c r="C74" s="209"/>
      <c r="D74" s="209"/>
      <c r="E74" s="209"/>
    </row>
    <row r="75" spans="2:5" ht="18.75">
      <c r="B75" s="337" t="s">
        <v>361</v>
      </c>
      <c r="C75" s="209"/>
      <c r="D75" s="209"/>
      <c r="E75" s="209"/>
    </row>
    <row r="76" spans="2:5" ht="60">
      <c r="B76" s="338" t="s">
        <v>359</v>
      </c>
      <c r="C76" s="332" t="s">
        <v>296</v>
      </c>
      <c r="D76" s="332" t="s">
        <v>360</v>
      </c>
      <c r="E76" s="332" t="s">
        <v>295</v>
      </c>
    </row>
    <row r="77" spans="2:5">
      <c r="B77" s="332" t="s">
        <v>296</v>
      </c>
      <c r="C77" s="339">
        <v>1</v>
      </c>
      <c r="D77" s="339">
        <f>1/C78</f>
        <v>1.1656136506907158</v>
      </c>
      <c r="E77" s="339">
        <f>1/C79</f>
        <v>1.6206565966927622</v>
      </c>
    </row>
    <row r="78" spans="2:5">
      <c r="B78" s="332" t="s">
        <v>360</v>
      </c>
      <c r="C78" s="339">
        <f>H101/H99</f>
        <v>0.85791720044409492</v>
      </c>
      <c r="D78" s="339">
        <v>1</v>
      </c>
      <c r="E78" s="339">
        <f>1/D79</f>
        <v>1.3903891703159093</v>
      </c>
    </row>
    <row r="79" spans="2:5">
      <c r="B79" s="332" t="s">
        <v>295</v>
      </c>
      <c r="C79" s="339">
        <f>H101/H97</f>
        <v>0.61703386272000971</v>
      </c>
      <c r="D79" s="339">
        <f>H99/H97</f>
        <v>0.71922309332486445</v>
      </c>
      <c r="E79" s="339">
        <v>1</v>
      </c>
    </row>
    <row r="81" spans="2:9">
      <c r="B81" s="327" t="s">
        <v>727</v>
      </c>
      <c r="C81" s="328"/>
      <c r="D81" s="328"/>
      <c r="E81" s="328"/>
      <c r="F81" s="328"/>
      <c r="G81" s="328"/>
      <c r="H81" s="328"/>
      <c r="I81" s="328"/>
    </row>
    <row r="83" spans="2:9">
      <c r="B83" s="507" t="s">
        <v>738</v>
      </c>
      <c r="C83" s="508"/>
      <c r="D83" s="509" t="s">
        <v>362</v>
      </c>
      <c r="E83" s="510"/>
      <c r="F83" s="511"/>
      <c r="G83" s="509" t="s">
        <v>363</v>
      </c>
      <c r="H83" s="510"/>
      <c r="I83" s="511"/>
    </row>
    <row r="84" spans="2:9">
      <c r="B84" s="117"/>
      <c r="C84" s="117" t="s">
        <v>96</v>
      </c>
      <c r="D84" s="118">
        <v>-0.05</v>
      </c>
      <c r="E84" s="144">
        <v>-7.4999999999999997E-2</v>
      </c>
      <c r="F84" s="118">
        <v>-0.1</v>
      </c>
      <c r="G84" s="117">
        <f>D84</f>
        <v>-0.05</v>
      </c>
      <c r="H84" s="117">
        <f t="shared" ref="H84:I84" si="1">E84</f>
        <v>-7.4999999999999997E-2</v>
      </c>
      <c r="I84" s="117">
        <f t="shared" si="1"/>
        <v>-0.1</v>
      </c>
    </row>
    <row r="85" spans="2:9">
      <c r="B85" s="117" t="s">
        <v>364</v>
      </c>
      <c r="C85" s="117"/>
      <c r="D85" s="512"/>
      <c r="E85" s="513"/>
      <c r="F85" s="514"/>
      <c r="G85" s="512"/>
      <c r="H85" s="513"/>
      <c r="I85" s="514"/>
    </row>
    <row r="86" spans="2:9">
      <c r="B86" s="516">
        <v>500</v>
      </c>
      <c r="C86" s="516"/>
      <c r="D86" s="146">
        <f t="shared" ref="D86:F89" si="2">($B86/$B$90)^D$84-1</f>
        <v>8.3798386734368124E-2</v>
      </c>
      <c r="E86" s="146">
        <f t="shared" si="2"/>
        <v>0.12829522534947557</v>
      </c>
      <c r="F86" s="146">
        <f t="shared" si="2"/>
        <v>0.17461894308801895</v>
      </c>
      <c r="G86" s="147">
        <f t="shared" ref="G86:I89" si="3">G$90*(D86+1)</f>
        <v>1.0837983867343681</v>
      </c>
      <c r="H86" s="147">
        <f t="shared" si="3"/>
        <v>1.1282952253494756</v>
      </c>
      <c r="I86" s="147">
        <f t="shared" si="3"/>
        <v>1.174618943088019</v>
      </c>
    </row>
    <row r="87" spans="2:9">
      <c r="B87" s="516">
        <v>1000</v>
      </c>
      <c r="C87" s="516"/>
      <c r="D87" s="146">
        <f t="shared" si="2"/>
        <v>4.6880234976865554E-2</v>
      </c>
      <c r="E87" s="146">
        <f t="shared" si="2"/>
        <v>7.113818229161506E-2</v>
      </c>
      <c r="F87" s="146">
        <f t="shared" si="2"/>
        <v>9.5958226385217449E-2</v>
      </c>
      <c r="G87" s="147">
        <f t="shared" si="3"/>
        <v>1.0468802349768656</v>
      </c>
      <c r="H87" s="147">
        <f t="shared" si="3"/>
        <v>1.0711381822916151</v>
      </c>
      <c r="I87" s="147">
        <f t="shared" si="3"/>
        <v>1.0959582263852174</v>
      </c>
    </row>
    <row r="88" spans="2:9">
      <c r="B88" s="516">
        <v>1500</v>
      </c>
      <c r="C88" s="516"/>
      <c r="D88" s="146">
        <f t="shared" si="2"/>
        <v>2.5870254539493542E-2</v>
      </c>
      <c r="E88" s="146">
        <f t="shared" si="2"/>
        <v>3.9055286313178117E-2</v>
      </c>
      <c r="F88" s="146">
        <f t="shared" si="2"/>
        <v>5.2409779148925306E-2</v>
      </c>
      <c r="G88" s="147">
        <f t="shared" si="3"/>
        <v>1.0258702545394935</v>
      </c>
      <c r="H88" s="147">
        <f t="shared" si="3"/>
        <v>1.0390552863131781</v>
      </c>
      <c r="I88" s="147">
        <f t="shared" si="3"/>
        <v>1.0524097791489253</v>
      </c>
    </row>
    <row r="89" spans="2:9">
      <c r="B89" s="516">
        <v>2000</v>
      </c>
      <c r="C89" s="516"/>
      <c r="D89" s="146">
        <f t="shared" si="2"/>
        <v>1.1219650997533304E-2</v>
      </c>
      <c r="E89" s="146">
        <f t="shared" si="2"/>
        <v>1.6876593807805707E-2</v>
      </c>
      <c r="F89" s="146">
        <f t="shared" si="2"/>
        <v>2.2565182563572872E-2</v>
      </c>
      <c r="G89" s="147">
        <f t="shared" si="3"/>
        <v>1.0112196509975333</v>
      </c>
      <c r="H89" s="147">
        <f t="shared" si="3"/>
        <v>1.0168765938078057</v>
      </c>
      <c r="I89" s="147">
        <f t="shared" si="3"/>
        <v>1.0225651825635729</v>
      </c>
    </row>
    <row r="90" spans="2:9">
      <c r="B90" s="516">
        <v>2500</v>
      </c>
      <c r="C90" s="516"/>
      <c r="D90" s="148"/>
      <c r="E90" s="148"/>
      <c r="F90" s="148"/>
      <c r="G90" s="149">
        <v>1</v>
      </c>
      <c r="H90" s="149">
        <v>1</v>
      </c>
      <c r="I90" s="149">
        <v>1</v>
      </c>
    </row>
    <row r="92" spans="2:9">
      <c r="B92" t="s">
        <v>737</v>
      </c>
      <c r="C92" s="118">
        <v>4</v>
      </c>
    </row>
    <row r="94" spans="2:9">
      <c r="B94" s="507" t="s">
        <v>739</v>
      </c>
      <c r="C94" s="508"/>
      <c r="D94" s="509" t="s">
        <v>362</v>
      </c>
      <c r="E94" s="510"/>
      <c r="F94" s="511"/>
      <c r="G94" s="509" t="s">
        <v>363</v>
      </c>
      <c r="H94" s="510"/>
      <c r="I94" s="511"/>
    </row>
    <row r="95" spans="2:9">
      <c r="B95" s="117"/>
      <c r="C95" s="117" t="s">
        <v>96</v>
      </c>
      <c r="D95" s="117">
        <f>D84*$C$92</f>
        <v>-0.2</v>
      </c>
      <c r="E95" s="117">
        <f>E84*$C$92</f>
        <v>-0.3</v>
      </c>
      <c r="F95" s="117">
        <f>F84*$C$92</f>
        <v>-0.4</v>
      </c>
      <c r="G95" s="117">
        <f>D95</f>
        <v>-0.2</v>
      </c>
      <c r="H95" s="117">
        <f t="shared" ref="H95:I95" si="4">E95</f>
        <v>-0.3</v>
      </c>
      <c r="I95" s="117">
        <f t="shared" si="4"/>
        <v>-0.4</v>
      </c>
    </row>
    <row r="96" spans="2:9">
      <c r="B96" s="117" t="s">
        <v>364</v>
      </c>
      <c r="C96" s="117"/>
      <c r="D96" s="512"/>
      <c r="E96" s="513"/>
      <c r="F96" s="514"/>
      <c r="G96" s="512"/>
      <c r="H96" s="513"/>
      <c r="I96" s="514"/>
    </row>
    <row r="97" spans="1:9">
      <c r="B97" s="512">
        <f t="shared" ref="B97:B100" si="5">B86</f>
        <v>500</v>
      </c>
      <c r="C97" s="514"/>
      <c r="D97" s="146">
        <f t="shared" ref="D97:F100" si="6">($B97/$B$101)^D$95-1</f>
        <v>0.3797296614612149</v>
      </c>
      <c r="E97" s="146">
        <f t="shared" si="6"/>
        <v>0.62065659669276219</v>
      </c>
      <c r="F97" s="146">
        <f t="shared" si="6"/>
        <v>0.90365393871587862</v>
      </c>
      <c r="G97" s="147">
        <f t="shared" ref="G97:I100" si="7">G$90*(D97+1)</f>
        <v>1.3797296614612149</v>
      </c>
      <c r="H97" s="147">
        <f t="shared" si="7"/>
        <v>1.6206565966927622</v>
      </c>
      <c r="I97" s="147">
        <f t="shared" si="7"/>
        <v>1.9036539387158786</v>
      </c>
    </row>
    <row r="98" spans="1:9">
      <c r="B98" s="512">
        <f t="shared" si="5"/>
        <v>1000</v>
      </c>
      <c r="C98" s="514"/>
      <c r="D98" s="146">
        <f t="shared" si="6"/>
        <v>0.20112443398143132</v>
      </c>
      <c r="E98" s="146">
        <f t="shared" si="6"/>
        <v>0.31638220433423747</v>
      </c>
      <c r="F98" s="146">
        <f t="shared" si="6"/>
        <v>0.44269990590721364</v>
      </c>
      <c r="G98" s="147">
        <f t="shared" si="7"/>
        <v>1.2011244339814313</v>
      </c>
      <c r="H98" s="147">
        <f t="shared" si="7"/>
        <v>1.3163822043342375</v>
      </c>
      <c r="I98" s="147">
        <f t="shared" si="7"/>
        <v>1.4426999059072136</v>
      </c>
    </row>
    <row r="99" spans="1:9">
      <c r="B99" s="512">
        <f t="shared" si="5"/>
        <v>1500</v>
      </c>
      <c r="C99" s="514"/>
      <c r="D99" s="146">
        <f t="shared" si="6"/>
        <v>0.10756634324829006</v>
      </c>
      <c r="E99" s="146">
        <f t="shared" si="6"/>
        <v>0.16561365069071576</v>
      </c>
      <c r="F99" s="146">
        <f t="shared" si="6"/>
        <v>0.22670320469638883</v>
      </c>
      <c r="G99" s="147">
        <f t="shared" si="7"/>
        <v>1.1075663432482901</v>
      </c>
      <c r="H99" s="147">
        <f t="shared" si="7"/>
        <v>1.1656136506907158</v>
      </c>
      <c r="I99" s="147">
        <f t="shared" si="7"/>
        <v>1.2267032046963888</v>
      </c>
    </row>
    <row r="100" spans="1:9">
      <c r="B100" s="512">
        <f t="shared" si="5"/>
        <v>2000</v>
      </c>
      <c r="C100" s="514"/>
      <c r="D100" s="146">
        <f t="shared" si="6"/>
        <v>4.5639552591273169E-2</v>
      </c>
      <c r="E100" s="146">
        <f t="shared" si="6"/>
        <v>6.9234599991188084E-2</v>
      </c>
      <c r="F100" s="146">
        <f t="shared" si="6"/>
        <v>9.3362073943278112E-2</v>
      </c>
      <c r="G100" s="147">
        <f t="shared" si="7"/>
        <v>1.0456395525912732</v>
      </c>
      <c r="H100" s="147">
        <f t="shared" si="7"/>
        <v>1.0692345999911881</v>
      </c>
      <c r="I100" s="147">
        <f t="shared" si="7"/>
        <v>1.0933620739432781</v>
      </c>
    </row>
    <row r="101" spans="1:9">
      <c r="B101" s="512">
        <f>B90</f>
        <v>2500</v>
      </c>
      <c r="C101" s="514"/>
      <c r="D101" s="148"/>
      <c r="E101" s="148"/>
      <c r="F101" s="148"/>
      <c r="G101" s="149">
        <v>1</v>
      </c>
      <c r="H101" s="149">
        <v>1</v>
      </c>
      <c r="I101" s="149">
        <v>1</v>
      </c>
    </row>
    <row r="102" spans="1:9">
      <c r="B102" t="s">
        <v>729</v>
      </c>
    </row>
    <row r="104" spans="1:9">
      <c r="B104" s="78" t="s">
        <v>808</v>
      </c>
      <c r="C104" s="118">
        <v>1000</v>
      </c>
    </row>
    <row r="106" spans="1:9">
      <c r="B106" s="26" t="s">
        <v>954</v>
      </c>
    </row>
    <row r="107" spans="1:9">
      <c r="B107" s="462" t="s">
        <v>821</v>
      </c>
      <c r="C107" s="462"/>
      <c r="D107" s="462"/>
      <c r="E107" s="463" t="s">
        <v>820</v>
      </c>
      <c r="F107" s="464" t="s">
        <v>819</v>
      </c>
      <c r="G107" s="464"/>
      <c r="H107" s="462" t="s">
        <v>816</v>
      </c>
      <c r="I107" s="462"/>
    </row>
    <row r="108" spans="1:9">
      <c r="B108" s="465" t="s">
        <v>946</v>
      </c>
      <c r="C108" s="465"/>
      <c r="D108" s="465"/>
      <c r="E108" s="466">
        <v>249999</v>
      </c>
      <c r="F108" s="467">
        <f>E108/pLanekmVKT!$AL$12</f>
        <v>1.8666961861556659E-3</v>
      </c>
      <c r="G108" s="467"/>
      <c r="H108" s="465" t="s">
        <v>947</v>
      </c>
      <c r="I108" s="465"/>
    </row>
    <row r="109" spans="1:9">
      <c r="B109" s="465" t="s">
        <v>950</v>
      </c>
      <c r="C109" s="465"/>
      <c r="D109" s="465"/>
      <c r="E109" s="466">
        <v>49999</v>
      </c>
      <c r="F109" s="467">
        <f>E109/pLanekmVKT!$AL$12</f>
        <v>3.7333326377944365E-4</v>
      </c>
      <c r="G109" s="467"/>
      <c r="H109" s="465" t="s">
        <v>948</v>
      </c>
      <c r="I109" s="465"/>
    </row>
    <row r="110" spans="1:9">
      <c r="B110" s="465" t="s">
        <v>951</v>
      </c>
      <c r="C110" s="465"/>
      <c r="D110" s="465"/>
      <c r="E110" s="466">
        <v>15000</v>
      </c>
      <c r="F110" s="467">
        <f>E110/pLanekmVKT!$AL$12</f>
        <v>1.1200221917821666E-4</v>
      </c>
      <c r="G110" s="467"/>
      <c r="H110" s="465" t="s">
        <v>949</v>
      </c>
      <c r="I110" s="465"/>
    </row>
    <row r="111" spans="1:9">
      <c r="A111" t="s">
        <v>297</v>
      </c>
    </row>
  </sheetData>
  <mergeCells count="21">
    <mergeCell ref="A1:B1"/>
    <mergeCell ref="B100:C100"/>
    <mergeCell ref="B101:C101"/>
    <mergeCell ref="G94:I94"/>
    <mergeCell ref="D96:F96"/>
    <mergeCell ref="G96:I96"/>
    <mergeCell ref="B97:C97"/>
    <mergeCell ref="B98:C98"/>
    <mergeCell ref="B99:C99"/>
    <mergeCell ref="D94:F94"/>
    <mergeCell ref="B87:C87"/>
    <mergeCell ref="B88:C88"/>
    <mergeCell ref="B89:C89"/>
    <mergeCell ref="B90:C90"/>
    <mergeCell ref="B94:C94"/>
    <mergeCell ref="B86:C86"/>
    <mergeCell ref="B83:C83"/>
    <mergeCell ref="D83:F83"/>
    <mergeCell ref="G83:I83"/>
    <mergeCell ref="D85:F85"/>
    <mergeCell ref="G85:I85"/>
  </mergeCells>
  <hyperlinks>
    <hyperlink ref="A1" location="Dashboard!A1" display="Return to dashboard" xr:uid="{D255015A-D2C7-486C-8BA3-A49D338911F7}"/>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EEE0B-D588-4664-99E7-24731485B3D5}">
  <sheetPr codeName="Sheet5">
    <tabColor theme="5" tint="0.79998168889431442"/>
  </sheetPr>
  <dimension ref="A1:BS400"/>
  <sheetViews>
    <sheetView workbookViewId="0">
      <selection activeCell="A4" sqref="A4"/>
    </sheetView>
  </sheetViews>
  <sheetFormatPr defaultColWidth="8.7109375" defaultRowHeight="15"/>
  <cols>
    <col min="1" max="1" width="16.5703125" style="135" customWidth="1"/>
    <col min="2" max="2" width="58.7109375" style="134" customWidth="1"/>
    <col min="3" max="5" width="12.5703125" style="134" customWidth="1"/>
    <col min="6" max="6" width="1.5703125" style="134" customWidth="1"/>
    <col min="7" max="26" width="12.5703125" style="134" hidden="1" customWidth="1"/>
    <col min="27" max="27" width="12.5703125" style="134" customWidth="1"/>
    <col min="28" max="28" width="21.28515625" style="134" customWidth="1"/>
    <col min="29" max="36" width="12.5703125" style="134" customWidth="1"/>
    <col min="37" max="37" width="9.5703125" style="134" customWidth="1"/>
    <col min="38" max="38" width="10.5703125" style="134" customWidth="1"/>
    <col min="39" max="39" width="6.42578125" style="134" customWidth="1"/>
    <col min="40" max="40" width="14.42578125" style="134" customWidth="1"/>
    <col min="41" max="41" width="6.85546875" style="134" customWidth="1"/>
    <col min="42" max="46" width="9.5703125" style="134" customWidth="1"/>
    <col min="47" max="47" width="14.42578125" style="134" customWidth="1"/>
    <col min="48" max="54" width="8.7109375" style="134"/>
    <col min="55" max="56" width="8.7109375" style="134" customWidth="1"/>
    <col min="57" max="69" width="8.7109375" style="134"/>
    <col min="70" max="70" width="8.7109375" style="223"/>
    <col min="71" max="16384" width="8.7109375" style="134"/>
  </cols>
  <sheetData>
    <row r="1" spans="1:71">
      <c r="A1" s="353" t="s">
        <v>280</v>
      </c>
      <c r="B1" s="353"/>
    </row>
    <row r="2" spans="1:71">
      <c r="A2" s="433" t="s">
        <v>1014</v>
      </c>
    </row>
    <row r="3" spans="1:71">
      <c r="A3" s="408" t="s">
        <v>997</v>
      </c>
    </row>
    <row r="11" spans="1:71" ht="14.45" customHeight="1">
      <c r="A11" t="s">
        <v>327</v>
      </c>
      <c r="B11" s="130"/>
      <c r="D11" s="203"/>
      <c r="E11" s="204" t="s">
        <v>445</v>
      </c>
      <c r="F11" s="132"/>
      <c r="G11" s="132"/>
      <c r="H11" s="132"/>
      <c r="I11" s="132"/>
      <c r="J11" s="132"/>
      <c r="K11" s="132"/>
      <c r="L11" s="132"/>
      <c r="M11" s="132"/>
      <c r="N11" s="132"/>
      <c r="O11" s="132"/>
      <c r="P11" s="132"/>
      <c r="Q11" s="132"/>
      <c r="R11" s="132"/>
      <c r="S11" s="132"/>
      <c r="T11" s="132"/>
      <c r="U11" s="132"/>
      <c r="V11" s="132"/>
      <c r="W11" s="132"/>
      <c r="X11" s="132"/>
      <c r="Y11" s="132"/>
      <c r="Z11" s="132"/>
      <c r="AA11" s="363" t="str">
        <f>AA16</f>
        <v>All Roads</v>
      </c>
      <c r="AB11" s="364"/>
      <c r="AC11" s="364"/>
      <c r="AD11" s="363" t="str">
        <f>AD16</f>
        <v>2019/20</v>
      </c>
      <c r="AE11" s="364"/>
      <c r="AF11" s="364"/>
      <c r="AG11" s="365">
        <f>SUM(AG16:AG197)</f>
        <v>98513.060000000012</v>
      </c>
      <c r="AH11" s="364"/>
      <c r="AI11" s="365">
        <f t="shared" ref="AI11:AL11" si="0">SUM(AI16:AI197)</f>
        <v>65795.92</v>
      </c>
      <c r="AJ11" s="365">
        <f t="shared" si="0"/>
        <v>32717.200000000001</v>
      </c>
      <c r="AK11" s="365">
        <f t="shared" si="0"/>
        <v>181849.33999999988</v>
      </c>
      <c r="AL11" s="369">
        <f t="shared" si="0"/>
        <v>48882.960000000014</v>
      </c>
      <c r="AM11" s="370" t="s">
        <v>810</v>
      </c>
      <c r="AN11" s="366"/>
      <c r="AO11" s="132"/>
      <c r="AP11" s="132"/>
      <c r="AS11" s="133"/>
    </row>
    <row r="12" spans="1:71">
      <c r="A12" s="200" t="s">
        <v>444</v>
      </c>
      <c r="B12" s="131" t="s">
        <v>328</v>
      </c>
      <c r="C12" s="135"/>
      <c r="D12" s="205" t="s">
        <v>329</v>
      </c>
      <c r="E12" s="206">
        <f>10^6</f>
        <v>1000000</v>
      </c>
      <c r="F12" s="135"/>
      <c r="G12" s="135"/>
      <c r="H12" s="135"/>
      <c r="I12" s="135"/>
      <c r="J12" s="135"/>
      <c r="K12" s="135"/>
      <c r="L12" s="135"/>
      <c r="M12" s="135"/>
      <c r="N12" s="135"/>
      <c r="O12" s="135"/>
      <c r="P12" s="135"/>
      <c r="Q12" s="135"/>
      <c r="R12" s="135"/>
      <c r="S12" s="135"/>
      <c r="T12" s="135"/>
      <c r="U12" s="135"/>
      <c r="V12" s="135"/>
      <c r="W12" s="135"/>
      <c r="X12" s="135"/>
      <c r="Y12" s="135"/>
      <c r="Z12" s="135"/>
      <c r="AA12" s="367"/>
      <c r="AB12" s="367"/>
      <c r="AC12" s="367"/>
      <c r="AD12" s="367"/>
      <c r="AE12" s="367"/>
      <c r="AF12" s="367"/>
      <c r="AG12" s="367"/>
      <c r="AH12" s="367"/>
      <c r="AI12" s="367"/>
      <c r="AJ12" s="367"/>
      <c r="AK12" s="367"/>
      <c r="AL12" s="369">
        <f>AL11*pLanekmVKT!$E$12/pLanekmVKT!$E$13</f>
        <v>133925917.80821922</v>
      </c>
      <c r="AM12" s="370" t="s">
        <v>811</v>
      </c>
      <c r="AN12" s="368"/>
    </row>
    <row r="13" spans="1:71">
      <c r="A13"/>
      <c r="D13" s="205" t="s">
        <v>330</v>
      </c>
      <c r="E13" s="206">
        <v>365</v>
      </c>
      <c r="AA13" s="93" t="s">
        <v>1117</v>
      </c>
    </row>
    <row r="14" spans="1:71">
      <c r="A14" s="138" t="s">
        <v>565</v>
      </c>
      <c r="D14" s="205" t="s">
        <v>448</v>
      </c>
      <c r="E14" s="206" t="str">
        <f>CHAR(32)</f>
        <v xml:space="preserve"> </v>
      </c>
      <c r="AA14" s="192" t="s">
        <v>1118</v>
      </c>
      <c r="AB14" s="184"/>
      <c r="AC14" s="184"/>
      <c r="AD14" s="184"/>
      <c r="AE14" s="184"/>
      <c r="AF14" s="184"/>
      <c r="AG14" s="184"/>
      <c r="AH14" s="184"/>
      <c r="AI14" s="184"/>
      <c r="AJ14" s="184"/>
      <c r="AK14" s="184"/>
      <c r="AL14" s="184"/>
      <c r="AP14" s="191" t="s">
        <v>1104</v>
      </c>
      <c r="AQ14" s="183"/>
      <c r="AR14" s="183"/>
      <c r="AS14" s="183"/>
      <c r="AT14" s="183"/>
      <c r="AU14" s="183"/>
      <c r="AV14" s="183"/>
      <c r="AW14" s="183"/>
      <c r="AX14" s="183"/>
      <c r="AY14" s="183"/>
      <c r="AZ14" s="183"/>
      <c r="BA14" s="183"/>
      <c r="BB14" s="183"/>
      <c r="BC14" s="183"/>
      <c r="BD14" s="183"/>
      <c r="BE14" s="190" t="s">
        <v>441</v>
      </c>
      <c r="BF14" s="137"/>
      <c r="BG14" s="137"/>
      <c r="BH14" s="137"/>
      <c r="BI14" s="137"/>
      <c r="BJ14" s="137"/>
      <c r="BK14" s="137"/>
      <c r="BL14" s="137"/>
      <c r="BM14" s="137"/>
      <c r="BN14" s="137"/>
      <c r="BO14" s="137"/>
      <c r="BP14" s="137"/>
      <c r="BQ14" s="137"/>
      <c r="BR14" s="224"/>
      <c r="BS14" s="137"/>
    </row>
    <row r="15" spans="1:71" s="208" customFormat="1" ht="30" customHeight="1">
      <c r="A15" s="207"/>
      <c r="B15" s="213" t="s">
        <v>447</v>
      </c>
      <c r="C15" s="214" t="s">
        <v>446</v>
      </c>
      <c r="D15" s="214" t="s">
        <v>365</v>
      </c>
      <c r="E15" s="214" t="s">
        <v>3</v>
      </c>
      <c r="F15" s="215"/>
      <c r="G15" s="216"/>
      <c r="H15" s="216"/>
      <c r="I15" s="216"/>
      <c r="J15" s="216"/>
      <c r="K15" s="216"/>
      <c r="L15" s="216"/>
      <c r="M15" s="216"/>
      <c r="N15" s="216"/>
      <c r="O15" s="216"/>
      <c r="P15" s="216"/>
      <c r="Q15" s="216"/>
      <c r="R15" s="216"/>
      <c r="S15" s="216"/>
      <c r="T15" s="216"/>
      <c r="U15" s="216"/>
      <c r="V15" s="216"/>
      <c r="W15" s="216"/>
      <c r="X15" s="216"/>
      <c r="Y15" s="216"/>
      <c r="Z15" s="216"/>
      <c r="AA15" s="217" t="s">
        <v>388</v>
      </c>
      <c r="AB15" s="217" t="s">
        <v>389</v>
      </c>
      <c r="AC15" s="217" t="s">
        <v>390</v>
      </c>
      <c r="AD15" s="217" t="s">
        <v>391</v>
      </c>
      <c r="AE15" s="217" t="s">
        <v>392</v>
      </c>
      <c r="AF15" s="217" t="s">
        <v>393</v>
      </c>
      <c r="AG15" s="217" t="s">
        <v>394</v>
      </c>
      <c r="AH15" s="217" t="s">
        <v>395</v>
      </c>
      <c r="AI15" s="217" t="s">
        <v>396</v>
      </c>
      <c r="AJ15" s="217" t="s">
        <v>397</v>
      </c>
      <c r="AK15" s="217" t="s">
        <v>398</v>
      </c>
      <c r="AL15" s="217" t="s">
        <v>399</v>
      </c>
      <c r="AM15" s="218" t="s">
        <v>438</v>
      </c>
      <c r="AN15" s="218" t="s">
        <v>439</v>
      </c>
      <c r="AO15" s="218" t="s">
        <v>440</v>
      </c>
      <c r="AP15" s="219" t="s">
        <v>388</v>
      </c>
      <c r="AQ15" s="219" t="s">
        <v>389</v>
      </c>
      <c r="AR15" s="219" t="s">
        <v>390</v>
      </c>
      <c r="AS15" s="219" t="s">
        <v>391</v>
      </c>
      <c r="AT15" s="219" t="s">
        <v>392</v>
      </c>
      <c r="AU15" s="219" t="s">
        <v>393</v>
      </c>
      <c r="AV15" s="219" t="s">
        <v>394</v>
      </c>
      <c r="AW15" s="219" t="s">
        <v>395</v>
      </c>
      <c r="AX15" s="219" t="s">
        <v>396</v>
      </c>
      <c r="AY15" s="219" t="s">
        <v>397</v>
      </c>
      <c r="AZ15" s="219" t="s">
        <v>398</v>
      </c>
      <c r="BA15" s="219" t="s">
        <v>399</v>
      </c>
      <c r="BB15" s="222" t="s">
        <v>562</v>
      </c>
      <c r="BC15" s="222" t="s">
        <v>542</v>
      </c>
      <c r="BD15" s="222" t="s">
        <v>543</v>
      </c>
      <c r="BE15" s="220" t="s">
        <v>388</v>
      </c>
      <c r="BF15" s="220" t="s">
        <v>389</v>
      </c>
      <c r="BG15" s="220" t="s">
        <v>390</v>
      </c>
      <c r="BH15" s="220" t="s">
        <v>391</v>
      </c>
      <c r="BI15" s="220" t="s">
        <v>392</v>
      </c>
      <c r="BJ15" s="220" t="s">
        <v>393</v>
      </c>
      <c r="BK15" s="220" t="s">
        <v>394</v>
      </c>
      <c r="BL15" s="220" t="s">
        <v>395</v>
      </c>
      <c r="BM15" s="220" t="s">
        <v>396</v>
      </c>
      <c r="BN15" s="220" t="s">
        <v>397</v>
      </c>
      <c r="BO15" s="220" t="s">
        <v>398</v>
      </c>
      <c r="BP15" s="220" t="s">
        <v>399</v>
      </c>
      <c r="BQ15" s="225" t="s">
        <v>562</v>
      </c>
      <c r="BR15" s="225" t="s">
        <v>542</v>
      </c>
      <c r="BS15" s="225" t="s">
        <v>543</v>
      </c>
    </row>
    <row r="16" spans="1:71" ht="30">
      <c r="A16" s="199" t="s">
        <v>443</v>
      </c>
      <c r="B16" s="210" t="str">
        <f t="shared" ref="B16:B47" si="1">CONCATENATE(BQ16,$E$14, BE16,$E$14, BF16)</f>
        <v>NA Local LTA Roads Auckland Region</v>
      </c>
      <c r="C16" s="211">
        <f>BO16</f>
        <v>108.36999999999999</v>
      </c>
      <c r="D16" s="211">
        <f>BP16</f>
        <v>69.330000000000013</v>
      </c>
      <c r="E16" s="212">
        <f t="shared" ref="E16:E79" si="2">IFERROR($E$12*(D16/C16)/$E$13,0)</f>
        <v>1752.7471207848309</v>
      </c>
      <c r="F16" s="202"/>
      <c r="AA16" s="185" t="s">
        <v>412</v>
      </c>
      <c r="AB16" s="185" t="s">
        <v>413</v>
      </c>
      <c r="AC16" s="185" t="s">
        <v>401</v>
      </c>
      <c r="AD16" s="185" t="s">
        <v>331</v>
      </c>
      <c r="AE16" s="185"/>
      <c r="AF16" s="185" t="s">
        <v>402</v>
      </c>
      <c r="AG16" s="185">
        <v>106.41</v>
      </c>
      <c r="AH16" s="185">
        <v>1.2999999999999999E-2</v>
      </c>
      <c r="AI16" s="185">
        <v>96.92</v>
      </c>
      <c r="AJ16" s="185">
        <v>9.49</v>
      </c>
      <c r="AK16" s="185">
        <v>202.82</v>
      </c>
      <c r="AL16" s="185">
        <v>291.05</v>
      </c>
      <c r="AM16" s="186">
        <v>9</v>
      </c>
      <c r="AN16" s="186" t="str">
        <f t="shared" ref="AN16:AN79" si="3">AB16&amp;AF16</f>
        <v>Auckland RegionUnclassified</v>
      </c>
      <c r="AO16" s="186">
        <f t="shared" ref="AO16:AO47" si="4">IFERROR(MATCH($AN16,$AN$198:$AN$313,0),999)</f>
        <v>1</v>
      </c>
      <c r="AP16" s="187" t="s">
        <v>1105</v>
      </c>
      <c r="AQ16" s="187" t="str">
        <f t="shared" ref="AQ16:AQ47" si="5">AB16</f>
        <v>Auckland Region</v>
      </c>
      <c r="AR16" s="187" t="str">
        <f t="shared" ref="AR16:AR47" si="6">AC16</f>
        <v>Combined</v>
      </c>
      <c r="AS16" s="187" t="str">
        <f t="shared" ref="AS16:AS47" si="7">AD16</f>
        <v>2019/20</v>
      </c>
      <c r="AT16" s="187">
        <f t="shared" ref="AT16:AT47" si="8">AE16</f>
        <v>0</v>
      </c>
      <c r="AU16" s="187" t="str">
        <f t="shared" ref="AU16:AU47" si="9">AF16</f>
        <v>Unclassified</v>
      </c>
      <c r="AV16" s="187" cm="1">
        <f t="array" ref="AV16">IF($AO16=999,0,INDEX(AG$198:AG$313,$AO16))</f>
        <v>52.92</v>
      </c>
      <c r="AW16" s="187" cm="1">
        <f t="array" ref="AW16">IF($AO16=999,0,INDEX(AH$198:AH$313,$AO16))</f>
        <v>9.4399999999999998E-2</v>
      </c>
      <c r="AX16" s="187" cm="1">
        <f t="array" ref="AX16">IF($AO16=999,0,INDEX(AI$198:AI$313,$AO16))</f>
        <v>52.92</v>
      </c>
      <c r="AY16" s="187" cm="1">
        <f t="array" ref="AY16">IF($AO16=999,0,INDEX(AJ$198:AJ$313,$AO16))</f>
        <v>0</v>
      </c>
      <c r="AZ16" s="187" cm="1">
        <f t="array" ref="AZ16">IF($AO16=999,0,INDEX(AK$198:AK$313,$AO16))</f>
        <v>94.45</v>
      </c>
      <c r="BA16" s="187" cm="1">
        <f t="array" ref="BA16">IF($AO16=999,0,INDEX(AL$198:AL$313,$AO16))</f>
        <v>221.72</v>
      </c>
      <c r="BB16" s="252" t="str">
        <f>INDEX(pMenus!$C$10:$C$23,MATCH(AU16,pMenus!$B$10:$B$23,0))</f>
        <v>NA</v>
      </c>
      <c r="BC16" s="221">
        <f>IFERROR($E$12*(BA16/AZ16)/$E$13,0)</f>
        <v>6431.4669644734849</v>
      </c>
      <c r="BD16" s="237">
        <f>IFERROR($E$12*(BA16/AV16)/$E$13,0)</f>
        <v>11478.685842678015</v>
      </c>
      <c r="BE16" s="188" t="s">
        <v>591</v>
      </c>
      <c r="BF16" s="188" t="str">
        <f t="shared" ref="BF16:BF47" si="10">AB16</f>
        <v>Auckland Region</v>
      </c>
      <c r="BG16" s="188" t="str">
        <f t="shared" ref="BG16:BG47" si="11">AC16</f>
        <v>Combined</v>
      </c>
      <c r="BH16" s="188" t="str">
        <f t="shared" ref="BH16:BH47" si="12">AD16</f>
        <v>2019/20</v>
      </c>
      <c r="BI16" s="188">
        <f t="shared" ref="BI16:BI47" si="13">AE16</f>
        <v>0</v>
      </c>
      <c r="BJ16" s="188" t="str">
        <f t="shared" ref="BJ16:BJ47" si="14">AF16</f>
        <v>Unclassified</v>
      </c>
      <c r="BK16" s="188">
        <f t="shared" ref="BK16:BK47" si="15">AG16-AV16</f>
        <v>53.489999999999995</v>
      </c>
      <c r="BL16" s="188">
        <f t="shared" ref="BL16:BL47" si="16">AH16-AW16</f>
        <v>-8.14E-2</v>
      </c>
      <c r="BM16" s="188">
        <f t="shared" ref="BM16:BM47" si="17">AI16-AX16</f>
        <v>44</v>
      </c>
      <c r="BN16" s="188">
        <f t="shared" ref="BN16:BN47" si="18">AJ16-AY16</f>
        <v>9.49</v>
      </c>
      <c r="BO16" s="188">
        <f t="shared" ref="BO16:BO47" si="19">AK16-AZ16</f>
        <v>108.36999999999999</v>
      </c>
      <c r="BP16" s="188">
        <f t="shared" ref="BP16:BP47" si="20">AL16-BA16</f>
        <v>69.330000000000013</v>
      </c>
      <c r="BQ16" s="253" t="str">
        <f>INDEX(pMenus!$D$10:$D$23,MATCH(BJ16,pMenus!$B$10:$B$23,0))</f>
        <v>NA</v>
      </c>
      <c r="BR16" s="226">
        <f>IFERROR($E$12*(BP16/BO16)/$E$13,0)</f>
        <v>1752.7471207848309</v>
      </c>
      <c r="BS16" s="238">
        <f>IFERROR($E$12*(BP16/BK16)/$E$13,0)</f>
        <v>3551.0414185726704</v>
      </c>
    </row>
    <row r="17" spans="1:71">
      <c r="A17" s="202"/>
      <c r="B17" s="210" t="str">
        <f t="shared" si="1"/>
        <v>Interregional Connectors Local LTA Roads Auckland Region</v>
      </c>
      <c r="C17" s="193">
        <f t="shared" ref="C17:C80" si="21">BO17</f>
        <v>22.580000000000013</v>
      </c>
      <c r="D17" s="193">
        <f t="shared" ref="D17:D80" si="22">BP17</f>
        <v>17.059999999999945</v>
      </c>
      <c r="E17" s="194">
        <f>IFERROR($E$12*(D17/C17)/$E$13,0)</f>
        <v>2069.9612943931393</v>
      </c>
      <c r="F17" s="202"/>
      <c r="AA17" s="185" t="s">
        <v>412</v>
      </c>
      <c r="AB17" s="185" t="s">
        <v>413</v>
      </c>
      <c r="AC17" s="185" t="s">
        <v>401</v>
      </c>
      <c r="AD17" s="185" t="s">
        <v>331</v>
      </c>
      <c r="AE17" s="185" t="s">
        <v>403</v>
      </c>
      <c r="AF17" s="185" t="s">
        <v>404</v>
      </c>
      <c r="AG17" s="185">
        <v>122.43</v>
      </c>
      <c r="AH17" s="185">
        <v>1.4999999999999999E-2</v>
      </c>
      <c r="AI17" s="185">
        <v>122.43</v>
      </c>
      <c r="AJ17" s="185">
        <v>0</v>
      </c>
      <c r="AK17" s="185">
        <v>261.61</v>
      </c>
      <c r="AL17" s="185">
        <v>788.01</v>
      </c>
      <c r="AM17" s="186">
        <v>10</v>
      </c>
      <c r="AN17" s="186" t="str">
        <f t="shared" si="3"/>
        <v>Auckland RegionInterregional Connectors</v>
      </c>
      <c r="AO17" s="186">
        <f t="shared" si="4"/>
        <v>2</v>
      </c>
      <c r="AP17" s="187" t="s">
        <v>1105</v>
      </c>
      <c r="AQ17" s="187" t="str">
        <f t="shared" si="5"/>
        <v>Auckland Region</v>
      </c>
      <c r="AR17" s="187" t="str">
        <f t="shared" si="6"/>
        <v>Combined</v>
      </c>
      <c r="AS17" s="187" t="str">
        <f t="shared" si="7"/>
        <v>2019/20</v>
      </c>
      <c r="AT17" s="187" t="str">
        <f t="shared" si="8"/>
        <v>RURAL</v>
      </c>
      <c r="AU17" s="187" t="str">
        <f t="shared" si="9"/>
        <v>Interregional Connectors</v>
      </c>
      <c r="AV17" s="187" cm="1">
        <f t="array" ref="AV17">IF($AO17=999,0,INDEX(AG$198:AG$313,$AO17))</f>
        <v>113.02</v>
      </c>
      <c r="AW17" s="187" cm="1">
        <f t="array" ref="AW17">IF($AO17=999,0,INDEX(AH$198:AH$313,$AO17))</f>
        <v>0.2016</v>
      </c>
      <c r="AX17" s="187" cm="1">
        <f t="array" ref="AX17">IF($AO17=999,0,INDEX(AI$198:AI$313,$AO17))</f>
        <v>113.02</v>
      </c>
      <c r="AY17" s="187" cm="1">
        <f t="array" ref="AY17">IF($AO17=999,0,INDEX(AJ$198:AJ$313,$AO17))</f>
        <v>0</v>
      </c>
      <c r="AZ17" s="187" cm="1">
        <f t="array" ref="AZ17">IF($AO17=999,0,INDEX(AK$198:AK$313,$AO17))</f>
        <v>239.03</v>
      </c>
      <c r="BA17" s="187" cm="1">
        <f t="array" ref="BA17">IF($AO17=999,0,INDEX(AL$198:AL$313,$AO17))</f>
        <v>770.95</v>
      </c>
      <c r="BB17" s="252" t="str">
        <f>INDEX(pMenus!$C$10:$C$23,MATCH(AU17,pMenus!$B$10:$B$23,0))</f>
        <v>Interregional Connectors</v>
      </c>
      <c r="BC17" s="221">
        <f t="shared" ref="BC17:BC80" si="23">IFERROR($E$12*(BA17/AZ17)/$E$13,0)</f>
        <v>8836.5133281258331</v>
      </c>
      <c r="BD17" s="237">
        <f t="shared" ref="BD17:BD80" si="24">IFERROR($E$12*(BA17/AV17)/$E$13,0)</f>
        <v>18688.65493560359</v>
      </c>
      <c r="BE17" s="188" t="s">
        <v>591</v>
      </c>
      <c r="BF17" s="188" t="str">
        <f t="shared" si="10"/>
        <v>Auckland Region</v>
      </c>
      <c r="BG17" s="188" t="str">
        <f t="shared" si="11"/>
        <v>Combined</v>
      </c>
      <c r="BH17" s="188" t="str">
        <f t="shared" si="12"/>
        <v>2019/20</v>
      </c>
      <c r="BI17" s="188" t="str">
        <f t="shared" si="13"/>
        <v>RURAL</v>
      </c>
      <c r="BJ17" s="188" t="str">
        <f t="shared" si="14"/>
        <v>Interregional Connectors</v>
      </c>
      <c r="BK17" s="188">
        <f t="shared" si="15"/>
        <v>9.4100000000000108</v>
      </c>
      <c r="BL17" s="188">
        <f t="shared" si="16"/>
        <v>-0.18659999999999999</v>
      </c>
      <c r="BM17" s="188">
        <f t="shared" si="17"/>
        <v>9.4100000000000108</v>
      </c>
      <c r="BN17" s="188">
        <f t="shared" si="18"/>
        <v>0</v>
      </c>
      <c r="BO17" s="188">
        <f t="shared" si="19"/>
        <v>22.580000000000013</v>
      </c>
      <c r="BP17" s="188">
        <f t="shared" si="20"/>
        <v>17.059999999999945</v>
      </c>
      <c r="BQ17" s="253" t="str">
        <f>INDEX(pMenus!$D$10:$D$23,MATCH(BJ17,pMenus!$B$10:$B$23,0))</f>
        <v>Interregional Connectors</v>
      </c>
      <c r="BR17" s="226">
        <f t="shared" ref="BR17:BR80" si="25">IFERROR($E$12*(BP17/BO17)/$E$13,0)</f>
        <v>2069.9612943931393</v>
      </c>
      <c r="BS17" s="238">
        <f t="shared" ref="BS17:BS80" si="26">IFERROR($E$12*(BP17/BK17)/$E$13,0)</f>
        <v>4967.0272080124396</v>
      </c>
    </row>
    <row r="18" spans="1:71">
      <c r="A18" s="202"/>
      <c r="B18" s="210" t="str">
        <f t="shared" si="1"/>
        <v>Rural Connectors Local LTA Roads Auckland Region</v>
      </c>
      <c r="C18" s="193">
        <f t="shared" si="21"/>
        <v>2894.09</v>
      </c>
      <c r="D18" s="193">
        <f t="shared" si="22"/>
        <v>711.03</v>
      </c>
      <c r="E18" s="194">
        <f t="shared" si="2"/>
        <v>673.10532749854838</v>
      </c>
      <c r="F18" s="202"/>
      <c r="AA18" s="185" t="s">
        <v>412</v>
      </c>
      <c r="AB18" s="185" t="s">
        <v>413</v>
      </c>
      <c r="AC18" s="185" t="s">
        <v>401</v>
      </c>
      <c r="AD18" s="185" t="s">
        <v>331</v>
      </c>
      <c r="AE18" s="185" t="s">
        <v>403</v>
      </c>
      <c r="AF18" s="185" t="s">
        <v>405</v>
      </c>
      <c r="AG18" s="185">
        <v>1526.07</v>
      </c>
      <c r="AH18" s="185">
        <v>0.18659999999999999</v>
      </c>
      <c r="AI18" s="185">
        <v>1240.3599999999999</v>
      </c>
      <c r="AJ18" s="185">
        <v>285.70999999999998</v>
      </c>
      <c r="AK18" s="185">
        <v>2912.56</v>
      </c>
      <c r="AL18" s="185">
        <v>775.61</v>
      </c>
      <c r="AM18" s="186">
        <v>11</v>
      </c>
      <c r="AN18" s="186" t="str">
        <f t="shared" si="3"/>
        <v>Auckland RegionPeri-urban Roads</v>
      </c>
      <c r="AO18" s="186">
        <f t="shared" si="4"/>
        <v>3</v>
      </c>
      <c r="AP18" s="187" t="s">
        <v>1105</v>
      </c>
      <c r="AQ18" s="187" t="str">
        <f t="shared" si="5"/>
        <v>Auckland Region</v>
      </c>
      <c r="AR18" s="187" t="str">
        <f t="shared" si="6"/>
        <v>Combined</v>
      </c>
      <c r="AS18" s="187" t="str">
        <f t="shared" si="7"/>
        <v>2019/20</v>
      </c>
      <c r="AT18" s="187" t="str">
        <f t="shared" si="8"/>
        <v>RURAL</v>
      </c>
      <c r="AU18" s="187" t="str">
        <f t="shared" si="9"/>
        <v>Peri-urban Roads</v>
      </c>
      <c r="AV18" s="187" cm="1">
        <f t="array" ref="AV18">IF($AO18=999,0,INDEX(AG$198:AG$313,$AO18))</f>
        <v>8.64</v>
      </c>
      <c r="AW18" s="187" cm="1">
        <f t="array" ref="AW18">IF($AO18=999,0,INDEX(AH$198:AH$313,$AO18))</f>
        <v>1.54E-2</v>
      </c>
      <c r="AX18" s="187" cm="1">
        <f t="array" ref="AX18">IF($AO18=999,0,INDEX(AI$198:AI$313,$AO18))</f>
        <v>8.64</v>
      </c>
      <c r="AY18" s="187" cm="1">
        <f t="array" ref="AY18">IF($AO18=999,0,INDEX(AJ$198:AJ$313,$AO18))</f>
        <v>0</v>
      </c>
      <c r="AZ18" s="187" cm="1">
        <f t="array" ref="AZ18">IF($AO18=999,0,INDEX(AK$198:AK$313,$AO18))</f>
        <v>18.47</v>
      </c>
      <c r="BA18" s="187" cm="1">
        <f t="array" ref="BA18">IF($AO18=999,0,INDEX(AL$198:AL$313,$AO18))</f>
        <v>64.58</v>
      </c>
      <c r="BB18" s="252" t="str">
        <f>INDEX(pMenus!$C$10:$C$23,MATCH(AU18,pMenus!$B$10:$B$23,0))</f>
        <v>Interregional Connectors</v>
      </c>
      <c r="BC18" s="221">
        <f t="shared" si="23"/>
        <v>9579.399396281271</v>
      </c>
      <c r="BD18" s="237">
        <f t="shared" si="24"/>
        <v>20478.183663115167</v>
      </c>
      <c r="BE18" s="188" t="s">
        <v>591</v>
      </c>
      <c r="BF18" s="188" t="str">
        <f t="shared" si="10"/>
        <v>Auckland Region</v>
      </c>
      <c r="BG18" s="188" t="str">
        <f t="shared" si="11"/>
        <v>Combined</v>
      </c>
      <c r="BH18" s="188" t="str">
        <f t="shared" si="12"/>
        <v>2019/20</v>
      </c>
      <c r="BI18" s="188" t="str">
        <f t="shared" si="13"/>
        <v>RURAL</v>
      </c>
      <c r="BJ18" s="188" t="str">
        <f t="shared" si="14"/>
        <v>Peri-urban Roads</v>
      </c>
      <c r="BK18" s="188">
        <f t="shared" si="15"/>
        <v>1517.4299999999998</v>
      </c>
      <c r="BL18" s="188">
        <f t="shared" si="16"/>
        <v>0.17119999999999999</v>
      </c>
      <c r="BM18" s="188">
        <f t="shared" si="17"/>
        <v>1231.7199999999998</v>
      </c>
      <c r="BN18" s="188">
        <f t="shared" si="18"/>
        <v>285.70999999999998</v>
      </c>
      <c r="BO18" s="188">
        <f t="shared" si="19"/>
        <v>2894.09</v>
      </c>
      <c r="BP18" s="188">
        <f t="shared" si="20"/>
        <v>711.03</v>
      </c>
      <c r="BQ18" s="253" t="str">
        <f>INDEX(pMenus!$D$10:$D$23,MATCH(BJ18,pMenus!$B$10:$B$23,0))</f>
        <v>Rural Connectors</v>
      </c>
      <c r="BR18" s="226">
        <f t="shared" si="25"/>
        <v>673.10532749854838</v>
      </c>
      <c r="BS18" s="238">
        <f t="shared" si="26"/>
        <v>1283.7675525462619</v>
      </c>
    </row>
    <row r="19" spans="1:71">
      <c r="A19" s="202"/>
      <c r="B19" s="210" t="str">
        <f t="shared" si="1"/>
        <v>Rural Connectors Local LTA Roads Auckland Region</v>
      </c>
      <c r="C19" s="193">
        <f t="shared" si="21"/>
        <v>214.88</v>
      </c>
      <c r="D19" s="193">
        <f t="shared" si="22"/>
        <v>184.25</v>
      </c>
      <c r="E19" s="194">
        <f t="shared" si="2"/>
        <v>2349.1926682238704</v>
      </c>
      <c r="F19" s="202"/>
      <c r="AA19" s="185" t="s">
        <v>412</v>
      </c>
      <c r="AB19" s="185" t="s">
        <v>413</v>
      </c>
      <c r="AC19" s="185" t="s">
        <v>401</v>
      </c>
      <c r="AD19" s="185" t="s">
        <v>331</v>
      </c>
      <c r="AE19" s="185" t="s">
        <v>403</v>
      </c>
      <c r="AF19" s="185" t="s">
        <v>406</v>
      </c>
      <c r="AG19" s="185">
        <v>167.61</v>
      </c>
      <c r="AH19" s="185">
        <v>2.0500000000000001E-2</v>
      </c>
      <c r="AI19" s="185">
        <v>167.61</v>
      </c>
      <c r="AJ19" s="185">
        <v>0</v>
      </c>
      <c r="AK19" s="185">
        <v>337.09</v>
      </c>
      <c r="AL19" s="185">
        <v>251.53</v>
      </c>
      <c r="AM19" s="186">
        <v>12</v>
      </c>
      <c r="AN19" s="186" t="str">
        <f t="shared" si="3"/>
        <v>Auckland RegionRural Connectors</v>
      </c>
      <c r="AO19" s="186">
        <f t="shared" si="4"/>
        <v>4</v>
      </c>
      <c r="AP19" s="187" t="s">
        <v>1105</v>
      </c>
      <c r="AQ19" s="187" t="str">
        <f t="shared" si="5"/>
        <v>Auckland Region</v>
      </c>
      <c r="AR19" s="187" t="str">
        <f t="shared" si="6"/>
        <v>Combined</v>
      </c>
      <c r="AS19" s="187" t="str">
        <f t="shared" si="7"/>
        <v>2019/20</v>
      </c>
      <c r="AT19" s="187" t="str">
        <f t="shared" si="8"/>
        <v>RURAL</v>
      </c>
      <c r="AU19" s="187" t="str">
        <f t="shared" si="9"/>
        <v>Rural Connectors</v>
      </c>
      <c r="AV19" s="187" cm="1">
        <f t="array" ref="AV19">IF($AO19=999,0,INDEX(AG$198:AG$313,$AO19))</f>
        <v>61.11</v>
      </c>
      <c r="AW19" s="187" cm="1">
        <f t="array" ref="AW19">IF($AO19=999,0,INDEX(AH$198:AH$313,$AO19))</f>
        <v>0.109</v>
      </c>
      <c r="AX19" s="187" cm="1">
        <f t="array" ref="AX19">IF($AO19=999,0,INDEX(AI$198:AI$313,$AO19))</f>
        <v>61.11</v>
      </c>
      <c r="AY19" s="187" cm="1">
        <f t="array" ref="AY19">IF($AO19=999,0,INDEX(AJ$198:AJ$313,$AO19))</f>
        <v>0</v>
      </c>
      <c r="AZ19" s="187" cm="1">
        <f t="array" ref="AZ19">IF($AO19=999,0,INDEX(AK$198:AK$313,$AO19))</f>
        <v>122.21</v>
      </c>
      <c r="BA19" s="187" cm="1">
        <f t="array" ref="BA19">IF($AO19=999,0,INDEX(AL$198:AL$313,$AO19))</f>
        <v>67.28</v>
      </c>
      <c r="BB19" s="252" t="str">
        <f>INDEX(pMenus!$C$10:$C$23,MATCH(AU19,pMenus!$B$10:$B$23,0))</f>
        <v>Rural Connectors</v>
      </c>
      <c r="BC19" s="221">
        <f t="shared" si="23"/>
        <v>1508.2952878102255</v>
      </c>
      <c r="BD19" s="237">
        <f t="shared" si="24"/>
        <v>3016.3437591766924</v>
      </c>
      <c r="BE19" s="188" t="s">
        <v>591</v>
      </c>
      <c r="BF19" s="188" t="str">
        <f t="shared" si="10"/>
        <v>Auckland Region</v>
      </c>
      <c r="BG19" s="188" t="str">
        <f t="shared" si="11"/>
        <v>Combined</v>
      </c>
      <c r="BH19" s="188" t="str">
        <f t="shared" si="12"/>
        <v>2019/20</v>
      </c>
      <c r="BI19" s="188" t="str">
        <f t="shared" si="13"/>
        <v>RURAL</v>
      </c>
      <c r="BJ19" s="188" t="str">
        <f t="shared" si="14"/>
        <v>Rural Connectors</v>
      </c>
      <c r="BK19" s="188">
        <f t="shared" si="15"/>
        <v>106.50000000000001</v>
      </c>
      <c r="BL19" s="188">
        <f t="shared" si="16"/>
        <v>-8.8499999999999995E-2</v>
      </c>
      <c r="BM19" s="188">
        <f t="shared" si="17"/>
        <v>106.50000000000001</v>
      </c>
      <c r="BN19" s="188">
        <f t="shared" si="18"/>
        <v>0</v>
      </c>
      <c r="BO19" s="188">
        <f t="shared" si="19"/>
        <v>214.88</v>
      </c>
      <c r="BP19" s="188">
        <f t="shared" si="20"/>
        <v>184.25</v>
      </c>
      <c r="BQ19" s="253" t="str">
        <f>INDEX(pMenus!$D$10:$D$23,MATCH(BJ19,pMenus!$B$10:$B$23,0))</f>
        <v>Rural Connectors</v>
      </c>
      <c r="BR19" s="226">
        <f t="shared" si="25"/>
        <v>2349.1926682238704</v>
      </c>
      <c r="BS19" s="238">
        <f t="shared" si="26"/>
        <v>4739.8546530323483</v>
      </c>
    </row>
    <row r="20" spans="1:71">
      <c r="A20" s="202"/>
      <c r="B20" s="210" t="str">
        <f t="shared" si="1"/>
        <v>Rural Connectors Local LTA Roads Auckland Region</v>
      </c>
      <c r="C20" s="193">
        <f t="shared" si="21"/>
        <v>2286.36</v>
      </c>
      <c r="D20" s="193">
        <f t="shared" si="22"/>
        <v>224.49</v>
      </c>
      <c r="E20" s="194">
        <f t="shared" si="2"/>
        <v>269.00448568484882</v>
      </c>
      <c r="F20" s="202"/>
      <c r="AA20" s="185" t="s">
        <v>412</v>
      </c>
      <c r="AB20" s="185" t="s">
        <v>413</v>
      </c>
      <c r="AC20" s="185" t="s">
        <v>401</v>
      </c>
      <c r="AD20" s="185" t="s">
        <v>331</v>
      </c>
      <c r="AE20" s="185" t="s">
        <v>403</v>
      </c>
      <c r="AF20" s="185" t="s">
        <v>414</v>
      </c>
      <c r="AG20" s="185">
        <v>1221.69</v>
      </c>
      <c r="AH20" s="185">
        <v>0.14940000000000001</v>
      </c>
      <c r="AI20" s="185">
        <v>705.57</v>
      </c>
      <c r="AJ20" s="185">
        <v>516.12</v>
      </c>
      <c r="AK20" s="185">
        <v>2286.36</v>
      </c>
      <c r="AL20" s="185">
        <v>224.49</v>
      </c>
      <c r="AM20" s="186">
        <v>13</v>
      </c>
      <c r="AN20" s="186" t="str">
        <f t="shared" si="3"/>
        <v>Auckland RegionRural Roads</v>
      </c>
      <c r="AO20" s="186">
        <f t="shared" si="4"/>
        <v>999</v>
      </c>
      <c r="AP20" s="187" t="s">
        <v>1105</v>
      </c>
      <c r="AQ20" s="187" t="str">
        <f t="shared" si="5"/>
        <v>Auckland Region</v>
      </c>
      <c r="AR20" s="187" t="str">
        <f t="shared" si="6"/>
        <v>Combined</v>
      </c>
      <c r="AS20" s="187" t="str">
        <f t="shared" si="7"/>
        <v>2019/20</v>
      </c>
      <c r="AT20" s="187" t="str">
        <f t="shared" si="8"/>
        <v>RURAL</v>
      </c>
      <c r="AU20" s="187" t="str">
        <f t="shared" si="9"/>
        <v>Rural Roads</v>
      </c>
      <c r="AV20" s="187" cm="1">
        <f t="array" ref="AV20">IF($AO20=999,0,INDEX(AG$198:AG$313,$AO20))</f>
        <v>0</v>
      </c>
      <c r="AW20" s="187" cm="1">
        <f t="array" ref="AW20">IF($AO20=999,0,INDEX(AH$198:AH$313,$AO20))</f>
        <v>0</v>
      </c>
      <c r="AX20" s="187" cm="1">
        <f t="array" ref="AX20">IF($AO20=999,0,INDEX(AI$198:AI$313,$AO20))</f>
        <v>0</v>
      </c>
      <c r="AY20" s="187" cm="1">
        <f t="array" ref="AY20">IF($AO20=999,0,INDEX(AJ$198:AJ$313,$AO20))</f>
        <v>0</v>
      </c>
      <c r="AZ20" s="187" cm="1">
        <f t="array" ref="AZ20">IF($AO20=999,0,INDEX(AK$198:AK$313,$AO20))</f>
        <v>0</v>
      </c>
      <c r="BA20" s="187" cm="1">
        <f t="array" ref="BA20">IF($AO20=999,0,INDEX(AL$198:AL$313,$AO20))</f>
        <v>0</v>
      </c>
      <c r="BB20" s="252" t="str">
        <f>INDEX(pMenus!$C$10:$C$23,MATCH(AU20,pMenus!$B$10:$B$23,0))</f>
        <v>NA</v>
      </c>
      <c r="BC20" s="221">
        <f t="shared" si="23"/>
        <v>0</v>
      </c>
      <c r="BD20" s="237">
        <f t="shared" si="24"/>
        <v>0</v>
      </c>
      <c r="BE20" s="188" t="s">
        <v>591</v>
      </c>
      <c r="BF20" s="188" t="str">
        <f t="shared" si="10"/>
        <v>Auckland Region</v>
      </c>
      <c r="BG20" s="188" t="str">
        <f t="shared" si="11"/>
        <v>Combined</v>
      </c>
      <c r="BH20" s="188" t="str">
        <f t="shared" si="12"/>
        <v>2019/20</v>
      </c>
      <c r="BI20" s="188" t="str">
        <f t="shared" si="13"/>
        <v>RURAL</v>
      </c>
      <c r="BJ20" s="188" t="str">
        <f t="shared" si="14"/>
        <v>Rural Roads</v>
      </c>
      <c r="BK20" s="188">
        <f t="shared" si="15"/>
        <v>1221.69</v>
      </c>
      <c r="BL20" s="188">
        <f t="shared" si="16"/>
        <v>0.14940000000000001</v>
      </c>
      <c r="BM20" s="188">
        <f t="shared" si="17"/>
        <v>705.57</v>
      </c>
      <c r="BN20" s="188">
        <f t="shared" si="18"/>
        <v>516.12</v>
      </c>
      <c r="BO20" s="188">
        <f t="shared" si="19"/>
        <v>2286.36</v>
      </c>
      <c r="BP20" s="188">
        <f t="shared" si="20"/>
        <v>224.49</v>
      </c>
      <c r="BQ20" s="253" t="str">
        <f>INDEX(pMenus!$D$10:$D$23,MATCH(BJ20,pMenus!$B$10:$B$23,0))</f>
        <v>Rural Connectors</v>
      </c>
      <c r="BR20" s="226">
        <f t="shared" si="25"/>
        <v>269.00448568484882</v>
      </c>
      <c r="BS20" s="238">
        <f t="shared" si="26"/>
        <v>503.43466500537039</v>
      </c>
    </row>
    <row r="21" spans="1:71">
      <c r="A21" s="202"/>
      <c r="B21" s="210" t="str">
        <f t="shared" si="1"/>
        <v>Rural Connectors Local LTA Roads Auckland Region</v>
      </c>
      <c r="C21" s="193">
        <f t="shared" si="21"/>
        <v>71.459999999999994</v>
      </c>
      <c r="D21" s="193">
        <f t="shared" si="22"/>
        <v>47.69</v>
      </c>
      <c r="E21" s="194">
        <f t="shared" si="2"/>
        <v>1828.4009830195266</v>
      </c>
      <c r="F21" s="202"/>
      <c r="AA21" s="185" t="s">
        <v>412</v>
      </c>
      <c r="AB21" s="185" t="s">
        <v>413</v>
      </c>
      <c r="AC21" s="185" t="s">
        <v>401</v>
      </c>
      <c r="AD21" s="185" t="s">
        <v>331</v>
      </c>
      <c r="AE21" s="185" t="s">
        <v>403</v>
      </c>
      <c r="AF21" s="185" t="s">
        <v>415</v>
      </c>
      <c r="AG21" s="185">
        <v>35.43</v>
      </c>
      <c r="AH21" s="185">
        <v>4.3E-3</v>
      </c>
      <c r="AI21" s="185">
        <v>35.19</v>
      </c>
      <c r="AJ21" s="185">
        <v>0.24</v>
      </c>
      <c r="AK21" s="185">
        <v>71.459999999999994</v>
      </c>
      <c r="AL21" s="185">
        <v>47.69</v>
      </c>
      <c r="AM21" s="186">
        <v>14</v>
      </c>
      <c r="AN21" s="186" t="str">
        <f t="shared" si="3"/>
        <v>Auckland RegionStopping Places</v>
      </c>
      <c r="AO21" s="186">
        <f t="shared" si="4"/>
        <v>999</v>
      </c>
      <c r="AP21" s="187" t="s">
        <v>1105</v>
      </c>
      <c r="AQ21" s="187" t="str">
        <f t="shared" si="5"/>
        <v>Auckland Region</v>
      </c>
      <c r="AR21" s="187" t="str">
        <f t="shared" si="6"/>
        <v>Combined</v>
      </c>
      <c r="AS21" s="187" t="str">
        <f t="shared" si="7"/>
        <v>2019/20</v>
      </c>
      <c r="AT21" s="187" t="str">
        <f t="shared" si="8"/>
        <v>RURAL</v>
      </c>
      <c r="AU21" s="187" t="str">
        <f t="shared" si="9"/>
        <v>Stopping Places</v>
      </c>
      <c r="AV21" s="187" cm="1">
        <f t="array" ref="AV21">IF($AO21=999,0,INDEX(AG$198:AG$313,$AO21))</f>
        <v>0</v>
      </c>
      <c r="AW21" s="187" cm="1">
        <f t="array" ref="AW21">IF($AO21=999,0,INDEX(AH$198:AH$313,$AO21))</f>
        <v>0</v>
      </c>
      <c r="AX21" s="187" cm="1">
        <f t="array" ref="AX21">IF($AO21=999,0,INDEX(AI$198:AI$313,$AO21))</f>
        <v>0</v>
      </c>
      <c r="AY21" s="187" cm="1">
        <f t="array" ref="AY21">IF($AO21=999,0,INDEX(AJ$198:AJ$313,$AO21))</f>
        <v>0</v>
      </c>
      <c r="AZ21" s="187" cm="1">
        <f t="array" ref="AZ21">IF($AO21=999,0,INDEX(AK$198:AK$313,$AO21))</f>
        <v>0</v>
      </c>
      <c r="BA21" s="187" cm="1">
        <f t="array" ref="BA21">IF($AO21=999,0,INDEX(AL$198:AL$313,$AO21))</f>
        <v>0</v>
      </c>
      <c r="BB21" s="252" t="str">
        <f>INDEX(pMenus!$C$10:$C$23,MATCH(AU21,pMenus!$B$10:$B$23,0))</f>
        <v>Interregional Connectors</v>
      </c>
      <c r="BC21" s="221">
        <f t="shared" si="23"/>
        <v>0</v>
      </c>
      <c r="BD21" s="237">
        <f t="shared" si="24"/>
        <v>0</v>
      </c>
      <c r="BE21" s="188" t="s">
        <v>591</v>
      </c>
      <c r="BF21" s="188" t="str">
        <f t="shared" si="10"/>
        <v>Auckland Region</v>
      </c>
      <c r="BG21" s="188" t="str">
        <f t="shared" si="11"/>
        <v>Combined</v>
      </c>
      <c r="BH21" s="188" t="str">
        <f t="shared" si="12"/>
        <v>2019/20</v>
      </c>
      <c r="BI21" s="188" t="str">
        <f t="shared" si="13"/>
        <v>RURAL</v>
      </c>
      <c r="BJ21" s="188" t="str">
        <f t="shared" si="14"/>
        <v>Stopping Places</v>
      </c>
      <c r="BK21" s="188">
        <f t="shared" si="15"/>
        <v>35.43</v>
      </c>
      <c r="BL21" s="188">
        <f t="shared" si="16"/>
        <v>4.3E-3</v>
      </c>
      <c r="BM21" s="188">
        <f t="shared" si="17"/>
        <v>35.19</v>
      </c>
      <c r="BN21" s="188">
        <f t="shared" si="18"/>
        <v>0.24</v>
      </c>
      <c r="BO21" s="188">
        <f t="shared" si="19"/>
        <v>71.459999999999994</v>
      </c>
      <c r="BP21" s="188">
        <f t="shared" si="20"/>
        <v>47.69</v>
      </c>
      <c r="BQ21" s="253" t="str">
        <f>INDEX(pMenus!$D$10:$D$23,MATCH(BJ21,pMenus!$B$10:$B$23,0))</f>
        <v>Rural Connectors</v>
      </c>
      <c r="BR21" s="226">
        <f t="shared" si="25"/>
        <v>1828.4009830195266</v>
      </c>
      <c r="BS21" s="238">
        <f t="shared" si="26"/>
        <v>3687.765572864108</v>
      </c>
    </row>
    <row r="22" spans="1:71">
      <c r="A22" s="202"/>
      <c r="B22" s="210" t="str">
        <f t="shared" si="1"/>
        <v>Activity Streets Local LTA Roads Auckland Region</v>
      </c>
      <c r="C22" s="193">
        <f t="shared" si="21"/>
        <v>608.57000000000005</v>
      </c>
      <c r="D22" s="193">
        <f t="shared" si="22"/>
        <v>547.53</v>
      </c>
      <c r="E22" s="194">
        <f t="shared" si="2"/>
        <v>2464.9295755308704</v>
      </c>
      <c r="F22" s="202"/>
      <c r="AA22" s="185" t="s">
        <v>412</v>
      </c>
      <c r="AB22" s="185" t="s">
        <v>413</v>
      </c>
      <c r="AC22" s="185" t="s">
        <v>401</v>
      </c>
      <c r="AD22" s="185" t="s">
        <v>331</v>
      </c>
      <c r="AE22" s="185" t="s">
        <v>407</v>
      </c>
      <c r="AF22" s="185" t="s">
        <v>408</v>
      </c>
      <c r="AG22" s="185">
        <v>307.73</v>
      </c>
      <c r="AH22" s="185">
        <v>3.7600000000000001E-2</v>
      </c>
      <c r="AI22" s="185">
        <v>307.73</v>
      </c>
      <c r="AJ22" s="185">
        <v>0</v>
      </c>
      <c r="AK22" s="185">
        <v>614.75</v>
      </c>
      <c r="AL22" s="185">
        <v>564.41999999999996</v>
      </c>
      <c r="AM22" s="186">
        <v>15</v>
      </c>
      <c r="AN22" s="186" t="str">
        <f t="shared" si="3"/>
        <v>Auckland RegionActivity Streets</v>
      </c>
      <c r="AO22" s="186">
        <f t="shared" si="4"/>
        <v>5</v>
      </c>
      <c r="AP22" s="187" t="s">
        <v>1105</v>
      </c>
      <c r="AQ22" s="187" t="str">
        <f t="shared" si="5"/>
        <v>Auckland Region</v>
      </c>
      <c r="AR22" s="187" t="str">
        <f t="shared" si="6"/>
        <v>Combined</v>
      </c>
      <c r="AS22" s="187" t="str">
        <f t="shared" si="7"/>
        <v>2019/20</v>
      </c>
      <c r="AT22" s="187" t="str">
        <f t="shared" si="8"/>
        <v>URBAN</v>
      </c>
      <c r="AU22" s="187" t="str">
        <f t="shared" si="9"/>
        <v>Activity Streets</v>
      </c>
      <c r="AV22" s="187" cm="1">
        <f t="array" ref="AV22">IF($AO22=999,0,INDEX(AG$198:AG$313,$AO22))</f>
        <v>3.09</v>
      </c>
      <c r="AW22" s="187" cm="1">
        <f t="array" ref="AW22">IF($AO22=999,0,INDEX(AH$198:AH$313,$AO22))</f>
        <v>5.4999999999999997E-3</v>
      </c>
      <c r="AX22" s="187" cm="1">
        <f t="array" ref="AX22">IF($AO22=999,0,INDEX(AI$198:AI$313,$AO22))</f>
        <v>3.09</v>
      </c>
      <c r="AY22" s="187" cm="1">
        <f t="array" ref="AY22">IF($AO22=999,0,INDEX(AJ$198:AJ$313,$AO22))</f>
        <v>0</v>
      </c>
      <c r="AZ22" s="187" cm="1">
        <f t="array" ref="AZ22">IF($AO22=999,0,INDEX(AK$198:AK$313,$AO22))</f>
        <v>6.18</v>
      </c>
      <c r="BA22" s="187" cm="1">
        <f t="array" ref="BA22">IF($AO22=999,0,INDEX(AL$198:AL$313,$AO22))</f>
        <v>16.89</v>
      </c>
      <c r="BB22" s="252" t="str">
        <f>INDEX(pMenus!$C$10:$C$23,MATCH(AU22,pMenus!$B$10:$B$23,0))</f>
        <v>Urban Connectors</v>
      </c>
      <c r="BC22" s="221">
        <f t="shared" si="23"/>
        <v>7487.6978321585329</v>
      </c>
      <c r="BD22" s="237">
        <f t="shared" si="24"/>
        <v>14975.395664317066</v>
      </c>
      <c r="BE22" s="188" t="s">
        <v>591</v>
      </c>
      <c r="BF22" s="188" t="str">
        <f t="shared" si="10"/>
        <v>Auckland Region</v>
      </c>
      <c r="BG22" s="188" t="str">
        <f t="shared" si="11"/>
        <v>Combined</v>
      </c>
      <c r="BH22" s="188" t="str">
        <f t="shared" si="12"/>
        <v>2019/20</v>
      </c>
      <c r="BI22" s="188" t="str">
        <f t="shared" si="13"/>
        <v>URBAN</v>
      </c>
      <c r="BJ22" s="188" t="str">
        <f t="shared" si="14"/>
        <v>Activity Streets</v>
      </c>
      <c r="BK22" s="188">
        <f t="shared" si="15"/>
        <v>304.64000000000004</v>
      </c>
      <c r="BL22" s="188">
        <f t="shared" si="16"/>
        <v>3.2100000000000004E-2</v>
      </c>
      <c r="BM22" s="188">
        <f t="shared" si="17"/>
        <v>304.64000000000004</v>
      </c>
      <c r="BN22" s="188">
        <f t="shared" si="18"/>
        <v>0</v>
      </c>
      <c r="BO22" s="188">
        <f t="shared" si="19"/>
        <v>608.57000000000005</v>
      </c>
      <c r="BP22" s="188">
        <f t="shared" si="20"/>
        <v>547.53</v>
      </c>
      <c r="BQ22" s="253" t="str">
        <f>INDEX(pMenus!$D$10:$D$23,MATCH(BJ22,pMenus!$B$10:$B$23,0))</f>
        <v>Activity Streets</v>
      </c>
      <c r="BR22" s="226">
        <f t="shared" si="25"/>
        <v>2464.9295755308704</v>
      </c>
      <c r="BS22" s="238">
        <f t="shared" si="26"/>
        <v>4924.1143375158272</v>
      </c>
    </row>
    <row r="23" spans="1:71">
      <c r="A23" s="202"/>
      <c r="B23" s="210" t="str">
        <f t="shared" si="1"/>
        <v>City Hubs Local LTA Roads Auckland Region</v>
      </c>
      <c r="C23" s="193">
        <f t="shared" si="21"/>
        <v>345.36</v>
      </c>
      <c r="D23" s="193">
        <f t="shared" si="22"/>
        <v>898.15</v>
      </c>
      <c r="E23" s="194">
        <f t="shared" si="2"/>
        <v>7124.9853240295606</v>
      </c>
      <c r="F23" s="202"/>
      <c r="AA23" s="185" t="s">
        <v>412</v>
      </c>
      <c r="AB23" s="185" t="s">
        <v>413</v>
      </c>
      <c r="AC23" s="185" t="s">
        <v>401</v>
      </c>
      <c r="AD23" s="185" t="s">
        <v>331</v>
      </c>
      <c r="AE23" s="185" t="s">
        <v>407</v>
      </c>
      <c r="AF23" s="185" t="s">
        <v>416</v>
      </c>
      <c r="AG23" s="185">
        <v>110.26</v>
      </c>
      <c r="AH23" s="185">
        <v>1.35E-2</v>
      </c>
      <c r="AI23" s="185">
        <v>110.26</v>
      </c>
      <c r="AJ23" s="185">
        <v>0</v>
      </c>
      <c r="AK23" s="185">
        <v>345.36</v>
      </c>
      <c r="AL23" s="185">
        <v>898.15</v>
      </c>
      <c r="AM23" s="186">
        <v>16</v>
      </c>
      <c r="AN23" s="186" t="str">
        <f t="shared" si="3"/>
        <v>Auckland RegionCity Hubs</v>
      </c>
      <c r="AO23" s="186">
        <f t="shared" si="4"/>
        <v>999</v>
      </c>
      <c r="AP23" s="187" t="s">
        <v>1105</v>
      </c>
      <c r="AQ23" s="187" t="str">
        <f t="shared" si="5"/>
        <v>Auckland Region</v>
      </c>
      <c r="AR23" s="187" t="str">
        <f t="shared" si="6"/>
        <v>Combined</v>
      </c>
      <c r="AS23" s="187" t="str">
        <f t="shared" si="7"/>
        <v>2019/20</v>
      </c>
      <c r="AT23" s="187" t="str">
        <f t="shared" si="8"/>
        <v>URBAN</v>
      </c>
      <c r="AU23" s="187" t="str">
        <f t="shared" si="9"/>
        <v>City Hubs</v>
      </c>
      <c r="AV23" s="187" cm="1">
        <f t="array" ref="AV23">IF($AO23=999,0,INDEX(AG$198:AG$313,$AO23))</f>
        <v>0</v>
      </c>
      <c r="AW23" s="187" cm="1">
        <f t="array" ref="AW23">IF($AO23=999,0,INDEX(AH$198:AH$313,$AO23))</f>
        <v>0</v>
      </c>
      <c r="AX23" s="187" cm="1">
        <f t="array" ref="AX23">IF($AO23=999,0,INDEX(AI$198:AI$313,$AO23))</f>
        <v>0</v>
      </c>
      <c r="AY23" s="187" cm="1">
        <f t="array" ref="AY23">IF($AO23=999,0,INDEX(AJ$198:AJ$313,$AO23))</f>
        <v>0</v>
      </c>
      <c r="AZ23" s="187" cm="1">
        <f t="array" ref="AZ23">IF($AO23=999,0,INDEX(AK$198:AK$313,$AO23))</f>
        <v>0</v>
      </c>
      <c r="BA23" s="187" cm="1">
        <f t="array" ref="BA23">IF($AO23=999,0,INDEX(AL$198:AL$313,$AO23))</f>
        <v>0</v>
      </c>
      <c r="BB23" s="252" t="str">
        <f>INDEX(pMenus!$C$10:$C$23,MATCH(AU23,pMenus!$B$10:$B$23,0))</f>
        <v>NA</v>
      </c>
      <c r="BC23" s="221">
        <f t="shared" si="23"/>
        <v>0</v>
      </c>
      <c r="BD23" s="237">
        <f t="shared" si="24"/>
        <v>0</v>
      </c>
      <c r="BE23" s="188" t="s">
        <v>591</v>
      </c>
      <c r="BF23" s="188" t="str">
        <f t="shared" si="10"/>
        <v>Auckland Region</v>
      </c>
      <c r="BG23" s="188" t="str">
        <f t="shared" si="11"/>
        <v>Combined</v>
      </c>
      <c r="BH23" s="188" t="str">
        <f t="shared" si="12"/>
        <v>2019/20</v>
      </c>
      <c r="BI23" s="188" t="str">
        <f t="shared" si="13"/>
        <v>URBAN</v>
      </c>
      <c r="BJ23" s="188" t="str">
        <f t="shared" si="14"/>
        <v>City Hubs</v>
      </c>
      <c r="BK23" s="188">
        <f t="shared" si="15"/>
        <v>110.26</v>
      </c>
      <c r="BL23" s="188">
        <f t="shared" si="16"/>
        <v>1.35E-2</v>
      </c>
      <c r="BM23" s="188">
        <f t="shared" si="17"/>
        <v>110.26</v>
      </c>
      <c r="BN23" s="188">
        <f t="shared" si="18"/>
        <v>0</v>
      </c>
      <c r="BO23" s="188">
        <f t="shared" si="19"/>
        <v>345.36</v>
      </c>
      <c r="BP23" s="188">
        <f t="shared" si="20"/>
        <v>898.15</v>
      </c>
      <c r="BQ23" s="253" t="str">
        <f>INDEX(pMenus!$D$10:$D$23,MATCH(BJ23,pMenus!$B$10:$B$23,0))</f>
        <v>City Hubs</v>
      </c>
      <c r="BR23" s="226">
        <f t="shared" si="25"/>
        <v>7124.9853240295606</v>
      </c>
      <c r="BS23" s="238">
        <f t="shared" si="26"/>
        <v>22317.113472763005</v>
      </c>
    </row>
    <row r="24" spans="1:71">
      <c r="A24" s="202"/>
      <c r="B24" s="210" t="str">
        <f t="shared" si="1"/>
        <v>Rural Connectors Local LTA Roads Auckland Region</v>
      </c>
      <c r="C24" s="193">
        <f t="shared" si="21"/>
        <v>75.09</v>
      </c>
      <c r="D24" s="193">
        <f t="shared" si="22"/>
        <v>4.62</v>
      </c>
      <c r="E24" s="194">
        <f t="shared" si="2"/>
        <v>168.5648454731035</v>
      </c>
      <c r="F24" s="202"/>
      <c r="AA24" s="185" t="s">
        <v>412</v>
      </c>
      <c r="AB24" s="185" t="s">
        <v>413</v>
      </c>
      <c r="AC24" s="185" t="s">
        <v>401</v>
      </c>
      <c r="AD24" s="185" t="s">
        <v>331</v>
      </c>
      <c r="AE24" s="185" t="s">
        <v>407</v>
      </c>
      <c r="AF24" s="185" t="s">
        <v>417</v>
      </c>
      <c r="AG24" s="185">
        <v>40.78</v>
      </c>
      <c r="AH24" s="185">
        <v>5.0000000000000001E-3</v>
      </c>
      <c r="AI24" s="185">
        <v>40.68</v>
      </c>
      <c r="AJ24" s="185">
        <v>0.1</v>
      </c>
      <c r="AK24" s="185">
        <v>75.09</v>
      </c>
      <c r="AL24" s="185">
        <v>4.62</v>
      </c>
      <c r="AM24" s="186">
        <v>17</v>
      </c>
      <c r="AN24" s="186" t="str">
        <f t="shared" si="3"/>
        <v>Auckland RegionCivic Spaces</v>
      </c>
      <c r="AO24" s="186">
        <f t="shared" si="4"/>
        <v>999</v>
      </c>
      <c r="AP24" s="187" t="s">
        <v>1105</v>
      </c>
      <c r="AQ24" s="187" t="str">
        <f t="shared" si="5"/>
        <v>Auckland Region</v>
      </c>
      <c r="AR24" s="187" t="str">
        <f t="shared" si="6"/>
        <v>Combined</v>
      </c>
      <c r="AS24" s="187" t="str">
        <f t="shared" si="7"/>
        <v>2019/20</v>
      </c>
      <c r="AT24" s="187" t="str">
        <f t="shared" si="8"/>
        <v>URBAN</v>
      </c>
      <c r="AU24" s="187" t="str">
        <f t="shared" si="9"/>
        <v>Civic Spaces</v>
      </c>
      <c r="AV24" s="187" cm="1">
        <f t="array" ref="AV24">IF($AO24=999,0,INDEX(AG$198:AG$313,$AO24))</f>
        <v>0</v>
      </c>
      <c r="AW24" s="187" cm="1">
        <f t="array" ref="AW24">IF($AO24=999,0,INDEX(AH$198:AH$313,$AO24))</f>
        <v>0</v>
      </c>
      <c r="AX24" s="187" cm="1">
        <f t="array" ref="AX24">IF($AO24=999,0,INDEX(AI$198:AI$313,$AO24))</f>
        <v>0</v>
      </c>
      <c r="AY24" s="187" cm="1">
        <f t="array" ref="AY24">IF($AO24=999,0,INDEX(AJ$198:AJ$313,$AO24))</f>
        <v>0</v>
      </c>
      <c r="AZ24" s="187" cm="1">
        <f t="array" ref="AZ24">IF($AO24=999,0,INDEX(AK$198:AK$313,$AO24))</f>
        <v>0</v>
      </c>
      <c r="BA24" s="187" cm="1">
        <f t="array" ref="BA24">IF($AO24=999,0,INDEX(AL$198:AL$313,$AO24))</f>
        <v>0</v>
      </c>
      <c r="BB24" s="252" t="str">
        <f>INDEX(pMenus!$C$10:$C$23,MATCH(AU24,pMenus!$B$10:$B$23,0))</f>
        <v>NA</v>
      </c>
      <c r="BC24" s="221">
        <f t="shared" si="23"/>
        <v>0</v>
      </c>
      <c r="BD24" s="237">
        <f t="shared" si="24"/>
        <v>0</v>
      </c>
      <c r="BE24" s="188" t="s">
        <v>591</v>
      </c>
      <c r="BF24" s="188" t="str">
        <f t="shared" si="10"/>
        <v>Auckland Region</v>
      </c>
      <c r="BG24" s="188" t="str">
        <f t="shared" si="11"/>
        <v>Combined</v>
      </c>
      <c r="BH24" s="188" t="str">
        <f t="shared" si="12"/>
        <v>2019/20</v>
      </c>
      <c r="BI24" s="188" t="str">
        <f t="shared" si="13"/>
        <v>URBAN</v>
      </c>
      <c r="BJ24" s="188" t="str">
        <f t="shared" si="14"/>
        <v>Civic Spaces</v>
      </c>
      <c r="BK24" s="188">
        <f t="shared" si="15"/>
        <v>40.78</v>
      </c>
      <c r="BL24" s="188">
        <f t="shared" si="16"/>
        <v>5.0000000000000001E-3</v>
      </c>
      <c r="BM24" s="188">
        <f t="shared" si="17"/>
        <v>40.68</v>
      </c>
      <c r="BN24" s="188">
        <f t="shared" si="18"/>
        <v>0.1</v>
      </c>
      <c r="BO24" s="188">
        <f t="shared" si="19"/>
        <v>75.09</v>
      </c>
      <c r="BP24" s="188">
        <f t="shared" si="20"/>
        <v>4.62</v>
      </c>
      <c r="BQ24" s="253" t="str">
        <f>INDEX(pMenus!$D$10:$D$23,MATCH(BJ24,pMenus!$B$10:$B$23,0))</f>
        <v>Rural Connectors</v>
      </c>
      <c r="BR24" s="226">
        <f t="shared" si="25"/>
        <v>168.5648454731035</v>
      </c>
      <c r="BS24" s="238">
        <f t="shared" si="26"/>
        <v>310.3858324319603</v>
      </c>
    </row>
    <row r="25" spans="1:71">
      <c r="A25" s="202"/>
      <c r="B25" s="210" t="str">
        <f t="shared" si="1"/>
        <v>Rural Connectors Local LTA Roads Auckland Region</v>
      </c>
      <c r="C25" s="193">
        <f t="shared" si="21"/>
        <v>4984.6899999999996</v>
      </c>
      <c r="D25" s="193">
        <f t="shared" si="22"/>
        <v>447.52</v>
      </c>
      <c r="E25" s="194">
        <f t="shared" si="2"/>
        <v>245.96959726298368</v>
      </c>
      <c r="F25" s="202"/>
      <c r="AA25" s="185" t="s">
        <v>412</v>
      </c>
      <c r="AB25" s="185" t="s">
        <v>413</v>
      </c>
      <c r="AC25" s="185" t="s">
        <v>401</v>
      </c>
      <c r="AD25" s="185" t="s">
        <v>331</v>
      </c>
      <c r="AE25" s="185" t="s">
        <v>407</v>
      </c>
      <c r="AF25" s="185" t="s">
        <v>418</v>
      </c>
      <c r="AG25" s="185">
        <v>2551.46</v>
      </c>
      <c r="AH25" s="185">
        <v>0.31190000000000001</v>
      </c>
      <c r="AI25" s="185">
        <v>2539.58</v>
      </c>
      <c r="AJ25" s="185">
        <v>11.88</v>
      </c>
      <c r="AK25" s="185">
        <v>4984.6899999999996</v>
      </c>
      <c r="AL25" s="185">
        <v>447.52</v>
      </c>
      <c r="AM25" s="186">
        <v>18</v>
      </c>
      <c r="AN25" s="186" t="str">
        <f t="shared" si="3"/>
        <v>Auckland RegionLocal Streets</v>
      </c>
      <c r="AO25" s="186">
        <f t="shared" si="4"/>
        <v>999</v>
      </c>
      <c r="AP25" s="187" t="s">
        <v>1105</v>
      </c>
      <c r="AQ25" s="187" t="str">
        <f t="shared" si="5"/>
        <v>Auckland Region</v>
      </c>
      <c r="AR25" s="187" t="str">
        <f t="shared" si="6"/>
        <v>Combined</v>
      </c>
      <c r="AS25" s="187" t="str">
        <f t="shared" si="7"/>
        <v>2019/20</v>
      </c>
      <c r="AT25" s="187" t="str">
        <f t="shared" si="8"/>
        <v>URBAN</v>
      </c>
      <c r="AU25" s="187" t="str">
        <f t="shared" si="9"/>
        <v>Local Streets</v>
      </c>
      <c r="AV25" s="187" cm="1">
        <f t="array" ref="AV25">IF($AO25=999,0,INDEX(AG$198:AG$313,$AO25))</f>
        <v>0</v>
      </c>
      <c r="AW25" s="187" cm="1">
        <f t="array" ref="AW25">IF($AO25=999,0,INDEX(AH$198:AH$313,$AO25))</f>
        <v>0</v>
      </c>
      <c r="AX25" s="187" cm="1">
        <f t="array" ref="AX25">IF($AO25=999,0,INDEX(AI$198:AI$313,$AO25))</f>
        <v>0</v>
      </c>
      <c r="AY25" s="187" cm="1">
        <f t="array" ref="AY25">IF($AO25=999,0,INDEX(AJ$198:AJ$313,$AO25))</f>
        <v>0</v>
      </c>
      <c r="AZ25" s="187" cm="1">
        <f t="array" ref="AZ25">IF($AO25=999,0,INDEX(AK$198:AK$313,$AO25))</f>
        <v>0</v>
      </c>
      <c r="BA25" s="187" cm="1">
        <f t="array" ref="BA25">IF($AO25=999,0,INDEX(AL$198:AL$313,$AO25))</f>
        <v>0</v>
      </c>
      <c r="BB25" s="252" t="str">
        <f>INDEX(pMenus!$C$10:$C$23,MATCH(AU25,pMenus!$B$10:$B$23,0))</f>
        <v>NA</v>
      </c>
      <c r="BC25" s="221">
        <f t="shared" si="23"/>
        <v>0</v>
      </c>
      <c r="BD25" s="237">
        <f t="shared" si="24"/>
        <v>0</v>
      </c>
      <c r="BE25" s="188" t="s">
        <v>591</v>
      </c>
      <c r="BF25" s="188" t="str">
        <f t="shared" si="10"/>
        <v>Auckland Region</v>
      </c>
      <c r="BG25" s="188" t="str">
        <f t="shared" si="11"/>
        <v>Combined</v>
      </c>
      <c r="BH25" s="188" t="str">
        <f t="shared" si="12"/>
        <v>2019/20</v>
      </c>
      <c r="BI25" s="188" t="str">
        <f t="shared" si="13"/>
        <v>URBAN</v>
      </c>
      <c r="BJ25" s="188" t="str">
        <f t="shared" si="14"/>
        <v>Local Streets</v>
      </c>
      <c r="BK25" s="188">
        <f t="shared" si="15"/>
        <v>2551.46</v>
      </c>
      <c r="BL25" s="188">
        <f t="shared" si="16"/>
        <v>0.31190000000000001</v>
      </c>
      <c r="BM25" s="188">
        <f t="shared" si="17"/>
        <v>2539.58</v>
      </c>
      <c r="BN25" s="188">
        <f t="shared" si="18"/>
        <v>11.88</v>
      </c>
      <c r="BO25" s="188">
        <f t="shared" si="19"/>
        <v>4984.6899999999996</v>
      </c>
      <c r="BP25" s="188">
        <f t="shared" si="20"/>
        <v>447.52</v>
      </c>
      <c r="BQ25" s="253" t="str">
        <f>INDEX(pMenus!$D$10:$D$23,MATCH(BJ25,pMenus!$B$10:$B$23,0))</f>
        <v>Rural Connectors</v>
      </c>
      <c r="BR25" s="226">
        <f t="shared" si="25"/>
        <v>245.96959726298368</v>
      </c>
      <c r="BS25" s="238">
        <f t="shared" si="26"/>
        <v>480.54141228191776</v>
      </c>
    </row>
    <row r="26" spans="1:71">
      <c r="A26" s="202"/>
      <c r="B26" s="210" t="str">
        <f t="shared" si="1"/>
        <v>Urban Connectors Local LTA Roads Auckland Region</v>
      </c>
      <c r="C26" s="193">
        <f t="shared" si="21"/>
        <v>308.47999999999996</v>
      </c>
      <c r="D26" s="193">
        <f t="shared" si="22"/>
        <v>469.01</v>
      </c>
      <c r="E26" s="194">
        <f t="shared" si="2"/>
        <v>4165.4528789859605</v>
      </c>
      <c r="F26" s="202"/>
      <c r="AA26" s="185" t="s">
        <v>412</v>
      </c>
      <c r="AB26" s="185" t="s">
        <v>413</v>
      </c>
      <c r="AC26" s="185" t="s">
        <v>401</v>
      </c>
      <c r="AD26" s="185" t="s">
        <v>331</v>
      </c>
      <c r="AE26" s="185" t="s">
        <v>407</v>
      </c>
      <c r="AF26" s="185" t="s">
        <v>409</v>
      </c>
      <c r="AG26" s="185">
        <v>139.51</v>
      </c>
      <c r="AH26" s="185">
        <v>1.7100000000000001E-2</v>
      </c>
      <c r="AI26" s="185">
        <v>139.51</v>
      </c>
      <c r="AJ26" s="185">
        <v>0</v>
      </c>
      <c r="AK26" s="185">
        <v>309.83999999999997</v>
      </c>
      <c r="AL26" s="185">
        <v>472.01</v>
      </c>
      <c r="AM26" s="186">
        <v>19</v>
      </c>
      <c r="AN26" s="186" t="str">
        <f t="shared" si="3"/>
        <v>Auckland RegionMain Streets</v>
      </c>
      <c r="AO26" s="186">
        <f t="shared" si="4"/>
        <v>6</v>
      </c>
      <c r="AP26" s="187" t="s">
        <v>1105</v>
      </c>
      <c r="AQ26" s="187" t="str">
        <f t="shared" si="5"/>
        <v>Auckland Region</v>
      </c>
      <c r="AR26" s="187" t="str">
        <f t="shared" si="6"/>
        <v>Combined</v>
      </c>
      <c r="AS26" s="187" t="str">
        <f t="shared" si="7"/>
        <v>2019/20</v>
      </c>
      <c r="AT26" s="187" t="str">
        <f t="shared" si="8"/>
        <v>URBAN</v>
      </c>
      <c r="AU26" s="187" t="str">
        <f t="shared" si="9"/>
        <v>Main Streets</v>
      </c>
      <c r="AV26" s="187" cm="1">
        <f t="array" ref="AV26">IF($AO26=999,0,INDEX(AG$198:AG$313,$AO26))</f>
        <v>0.68</v>
      </c>
      <c r="AW26" s="187" cm="1">
        <f t="array" ref="AW26">IF($AO26=999,0,INDEX(AH$198:AH$313,$AO26))</f>
        <v>1.1999999999999999E-3</v>
      </c>
      <c r="AX26" s="187" cm="1">
        <f t="array" ref="AX26">IF($AO26=999,0,INDEX(AI$198:AI$313,$AO26))</f>
        <v>0.68</v>
      </c>
      <c r="AY26" s="187" cm="1">
        <f t="array" ref="AY26">IF($AO26=999,0,INDEX(AJ$198:AJ$313,$AO26))</f>
        <v>0</v>
      </c>
      <c r="AZ26" s="187" cm="1">
        <f t="array" ref="AZ26">IF($AO26=999,0,INDEX(AK$198:AK$313,$AO26))</f>
        <v>1.36</v>
      </c>
      <c r="BA26" s="187" cm="1">
        <f t="array" ref="BA26">IF($AO26=999,0,INDEX(AL$198:AL$313,$AO26))</f>
        <v>3</v>
      </c>
      <c r="BB26" s="252" t="str">
        <f>INDEX(pMenus!$C$10:$C$23,MATCH(AU26,pMenus!$B$10:$B$23,0))</f>
        <v>Urban Connectors</v>
      </c>
      <c r="BC26" s="221">
        <f t="shared" si="23"/>
        <v>6043.5132957292508</v>
      </c>
      <c r="BD26" s="237">
        <f t="shared" si="24"/>
        <v>12087.026591458502</v>
      </c>
      <c r="BE26" s="188" t="s">
        <v>591</v>
      </c>
      <c r="BF26" s="188" t="str">
        <f t="shared" si="10"/>
        <v>Auckland Region</v>
      </c>
      <c r="BG26" s="188" t="str">
        <f t="shared" si="11"/>
        <v>Combined</v>
      </c>
      <c r="BH26" s="188" t="str">
        <f t="shared" si="12"/>
        <v>2019/20</v>
      </c>
      <c r="BI26" s="188" t="str">
        <f t="shared" si="13"/>
        <v>URBAN</v>
      </c>
      <c r="BJ26" s="188" t="str">
        <f t="shared" si="14"/>
        <v>Main Streets</v>
      </c>
      <c r="BK26" s="188">
        <f t="shared" si="15"/>
        <v>138.82999999999998</v>
      </c>
      <c r="BL26" s="188">
        <f t="shared" si="16"/>
        <v>1.5900000000000001E-2</v>
      </c>
      <c r="BM26" s="188">
        <f t="shared" si="17"/>
        <v>138.82999999999998</v>
      </c>
      <c r="BN26" s="188">
        <f t="shared" si="18"/>
        <v>0</v>
      </c>
      <c r="BO26" s="188">
        <f t="shared" si="19"/>
        <v>308.47999999999996</v>
      </c>
      <c r="BP26" s="188">
        <f t="shared" si="20"/>
        <v>469.01</v>
      </c>
      <c r="BQ26" s="253" t="str">
        <f>INDEX(pMenus!$D$10:$D$23,MATCH(BJ26,pMenus!$B$10:$B$23,0))</f>
        <v>Urban Connectors</v>
      </c>
      <c r="BR26" s="226">
        <f t="shared" si="25"/>
        <v>4165.4528789859605</v>
      </c>
      <c r="BS26" s="238">
        <f t="shared" si="26"/>
        <v>9255.6284960713765</v>
      </c>
    </row>
    <row r="27" spans="1:71">
      <c r="A27" s="202"/>
      <c r="B27" s="210" t="str">
        <f t="shared" si="1"/>
        <v>Urban Connectors Local LTA Roads Auckland Region</v>
      </c>
      <c r="C27" s="373">
        <f t="shared" si="21"/>
        <v>-10.769999999999982</v>
      </c>
      <c r="D27" s="193">
        <f t="shared" si="22"/>
        <v>-59.219999999999345</v>
      </c>
      <c r="E27" s="194">
        <f t="shared" si="2"/>
        <v>15064.677376273372</v>
      </c>
      <c r="F27" s="202"/>
      <c r="AA27" s="185" t="s">
        <v>412</v>
      </c>
      <c r="AB27" s="185" t="s">
        <v>413</v>
      </c>
      <c r="AC27" s="185" t="s">
        <v>401</v>
      </c>
      <c r="AD27" s="185" t="s">
        <v>331</v>
      </c>
      <c r="AE27" s="185" t="s">
        <v>407</v>
      </c>
      <c r="AF27" s="185" t="s">
        <v>410</v>
      </c>
      <c r="AG27" s="185">
        <v>296.62</v>
      </c>
      <c r="AH27" s="185">
        <v>3.6299999999999999E-2</v>
      </c>
      <c r="AI27" s="185">
        <v>296.62</v>
      </c>
      <c r="AJ27" s="185">
        <v>0</v>
      </c>
      <c r="AK27" s="185">
        <v>735.44</v>
      </c>
      <c r="AL27" s="185">
        <v>4257.5200000000004</v>
      </c>
      <c r="AM27" s="186">
        <v>20</v>
      </c>
      <c r="AN27" s="186" t="str">
        <f t="shared" si="3"/>
        <v>Auckland RegionTransit Corridors</v>
      </c>
      <c r="AO27" s="186">
        <f t="shared" si="4"/>
        <v>7</v>
      </c>
      <c r="AP27" s="187" t="s">
        <v>1105</v>
      </c>
      <c r="AQ27" s="187" t="str">
        <f t="shared" si="5"/>
        <v>Auckland Region</v>
      </c>
      <c r="AR27" s="187" t="str">
        <f t="shared" si="6"/>
        <v>Combined</v>
      </c>
      <c r="AS27" s="187" t="str">
        <f t="shared" si="7"/>
        <v>2019/20</v>
      </c>
      <c r="AT27" s="187" t="str">
        <f t="shared" si="8"/>
        <v>URBAN</v>
      </c>
      <c r="AU27" s="187" t="str">
        <f t="shared" si="9"/>
        <v>Transit Corridors</v>
      </c>
      <c r="AV27" s="187" cm="1">
        <f t="array" ref="AV27">IF($AO27=999,0,INDEX(AG$198:AG$313,$AO27))</f>
        <v>300.02</v>
      </c>
      <c r="AW27" s="187" cm="1">
        <f t="array" ref="AW27">IF($AO27=999,0,INDEX(AH$198:AH$313,$AO27))</f>
        <v>0.53520000000000001</v>
      </c>
      <c r="AX27" s="187" cm="1">
        <f t="array" ref="AX27">IF($AO27=999,0,INDEX(AI$198:AI$313,$AO27))</f>
        <v>300.02</v>
      </c>
      <c r="AY27" s="187" cm="1">
        <f t="array" ref="AY27">IF($AO27=999,0,INDEX(AJ$198:AJ$313,$AO27))</f>
        <v>0</v>
      </c>
      <c r="AZ27" s="187" cm="1">
        <f t="array" ref="AZ27">IF($AO27=999,0,INDEX(AK$198:AK$313,$AO27))</f>
        <v>746.21</v>
      </c>
      <c r="BA27" s="187" cm="1">
        <f t="array" ref="BA27">IF($AO27=999,0,INDEX(AL$198:AL$313,$AO27))</f>
        <v>4316.74</v>
      </c>
      <c r="BB27" s="252" t="str">
        <f>INDEX(pMenus!$C$10:$C$23,MATCH(AU27,pMenus!$B$10:$B$23,0))</f>
        <v>Transit Corridors</v>
      </c>
      <c r="BC27" s="221">
        <f t="shared" si="23"/>
        <v>15849.003539897412</v>
      </c>
      <c r="BD27" s="237">
        <f t="shared" si="24"/>
        <v>39419.655128014296</v>
      </c>
      <c r="BE27" s="188" t="s">
        <v>591</v>
      </c>
      <c r="BF27" s="188" t="str">
        <f t="shared" si="10"/>
        <v>Auckland Region</v>
      </c>
      <c r="BG27" s="188" t="str">
        <f t="shared" si="11"/>
        <v>Combined</v>
      </c>
      <c r="BH27" s="188" t="str">
        <f t="shared" si="12"/>
        <v>2019/20</v>
      </c>
      <c r="BI27" s="188" t="str">
        <f t="shared" si="13"/>
        <v>URBAN</v>
      </c>
      <c r="BJ27" s="188" t="str">
        <f t="shared" si="14"/>
        <v>Transit Corridors</v>
      </c>
      <c r="BK27" s="188">
        <f t="shared" si="15"/>
        <v>-3.3999999999999773</v>
      </c>
      <c r="BL27" s="188">
        <f t="shared" si="16"/>
        <v>-0.49890000000000001</v>
      </c>
      <c r="BM27" s="188">
        <f t="shared" si="17"/>
        <v>-3.3999999999999773</v>
      </c>
      <c r="BN27" s="188">
        <f t="shared" si="18"/>
        <v>0</v>
      </c>
      <c r="BO27" s="188">
        <f>AK27-AZ27</f>
        <v>-10.769999999999982</v>
      </c>
      <c r="BP27" s="188">
        <f t="shared" si="20"/>
        <v>-59.219999999999345</v>
      </c>
      <c r="BQ27" s="253" t="str">
        <f>INDEX(pMenus!$D$10:$D$23,MATCH(BJ27,pMenus!$B$10:$B$23,0))</f>
        <v>Urban Connectors</v>
      </c>
      <c r="BR27" s="226">
        <f t="shared" si="25"/>
        <v>15064.677376273372</v>
      </c>
      <c r="BS27" s="238">
        <f t="shared" si="26"/>
        <v>47719.580983077947</v>
      </c>
    </row>
    <row r="28" spans="1:71">
      <c r="A28" s="202"/>
      <c r="B28" s="210" t="str">
        <f t="shared" si="1"/>
        <v>Urban Connectors Local LTA Roads Auckland Region</v>
      </c>
      <c r="C28" s="193">
        <f t="shared" si="21"/>
        <v>3272.21</v>
      </c>
      <c r="D28" s="193">
        <f t="shared" si="22"/>
        <v>4738.2700000000004</v>
      </c>
      <c r="E28" s="194">
        <f t="shared" si="2"/>
        <v>3967.2153204823703</v>
      </c>
      <c r="F28" s="202"/>
      <c r="AA28" s="185" t="s">
        <v>412</v>
      </c>
      <c r="AB28" s="185" t="s">
        <v>413</v>
      </c>
      <c r="AC28" s="185" t="s">
        <v>401</v>
      </c>
      <c r="AD28" s="185" t="s">
        <v>331</v>
      </c>
      <c r="AE28" s="185" t="s">
        <v>407</v>
      </c>
      <c r="AF28" s="185" t="s">
        <v>411</v>
      </c>
      <c r="AG28" s="185">
        <v>1553.6</v>
      </c>
      <c r="AH28" s="185">
        <v>0.18990000000000001</v>
      </c>
      <c r="AI28" s="185">
        <v>1553.51</v>
      </c>
      <c r="AJ28" s="185">
        <v>0.09</v>
      </c>
      <c r="AK28" s="185">
        <v>3318.7</v>
      </c>
      <c r="AL28" s="185">
        <v>4854.01</v>
      </c>
      <c r="AM28" s="186">
        <v>21</v>
      </c>
      <c r="AN28" s="186" t="str">
        <f t="shared" si="3"/>
        <v>Auckland RegionUrban Connectors</v>
      </c>
      <c r="AO28" s="186">
        <f t="shared" si="4"/>
        <v>8</v>
      </c>
      <c r="AP28" s="187" t="s">
        <v>1105</v>
      </c>
      <c r="AQ28" s="187" t="str">
        <f t="shared" si="5"/>
        <v>Auckland Region</v>
      </c>
      <c r="AR28" s="187" t="str">
        <f t="shared" si="6"/>
        <v>Combined</v>
      </c>
      <c r="AS28" s="187" t="str">
        <f t="shared" si="7"/>
        <v>2019/20</v>
      </c>
      <c r="AT28" s="187" t="str">
        <f t="shared" si="8"/>
        <v>URBAN</v>
      </c>
      <c r="AU28" s="187" t="str">
        <f t="shared" si="9"/>
        <v>Urban Connectors</v>
      </c>
      <c r="AV28" s="187" cm="1">
        <f t="array" ref="AV28">IF($AO28=999,0,INDEX(AG$198:AG$313,$AO28))</f>
        <v>21.09</v>
      </c>
      <c r="AW28" s="187" cm="1">
        <f t="array" ref="AW28">IF($AO28=999,0,INDEX(AH$198:AH$313,$AO28))</f>
        <v>3.7600000000000001E-2</v>
      </c>
      <c r="AX28" s="187" cm="1">
        <f t="array" ref="AX28">IF($AO28=999,0,INDEX(AI$198:AI$313,$AO28))</f>
        <v>21.09</v>
      </c>
      <c r="AY28" s="187" cm="1">
        <f t="array" ref="AY28">IF($AO28=999,0,INDEX(AJ$198:AJ$313,$AO28))</f>
        <v>0</v>
      </c>
      <c r="AZ28" s="187" cm="1">
        <f t="array" ref="AZ28">IF($AO28=999,0,INDEX(AK$198:AK$313,$AO28))</f>
        <v>46.49</v>
      </c>
      <c r="BA28" s="187" cm="1">
        <f t="array" ref="BA28">IF($AO28=999,0,INDEX(AL$198:AL$313,$AO28))</f>
        <v>115.74</v>
      </c>
      <c r="BB28" s="252" t="str">
        <f>INDEX(pMenus!$C$10:$C$23,MATCH(AU28,pMenus!$B$10:$B$23,0))</f>
        <v>Urban Connectors</v>
      </c>
      <c r="BC28" s="221">
        <f t="shared" si="23"/>
        <v>6820.7332848130545</v>
      </c>
      <c r="BD28" s="237">
        <f t="shared" si="24"/>
        <v>15035.367018063487</v>
      </c>
      <c r="BE28" s="188" t="s">
        <v>591</v>
      </c>
      <c r="BF28" s="188" t="str">
        <f t="shared" si="10"/>
        <v>Auckland Region</v>
      </c>
      <c r="BG28" s="188" t="str">
        <f t="shared" si="11"/>
        <v>Combined</v>
      </c>
      <c r="BH28" s="188" t="str">
        <f t="shared" si="12"/>
        <v>2019/20</v>
      </c>
      <c r="BI28" s="188" t="str">
        <f t="shared" si="13"/>
        <v>URBAN</v>
      </c>
      <c r="BJ28" s="188" t="str">
        <f t="shared" si="14"/>
        <v>Urban Connectors</v>
      </c>
      <c r="BK28" s="188">
        <f t="shared" si="15"/>
        <v>1532.51</v>
      </c>
      <c r="BL28" s="188">
        <f t="shared" si="16"/>
        <v>0.15230000000000002</v>
      </c>
      <c r="BM28" s="188">
        <f t="shared" si="17"/>
        <v>1532.42</v>
      </c>
      <c r="BN28" s="188">
        <f t="shared" si="18"/>
        <v>0.09</v>
      </c>
      <c r="BO28" s="188">
        <f t="shared" si="19"/>
        <v>3272.21</v>
      </c>
      <c r="BP28" s="188">
        <f t="shared" si="20"/>
        <v>4738.2700000000004</v>
      </c>
      <c r="BQ28" s="253" t="str">
        <f>INDEX(pMenus!$D$10:$D$23,MATCH(BJ28,pMenus!$B$10:$B$23,0))</f>
        <v>Urban Connectors</v>
      </c>
      <c r="BR28" s="226">
        <f t="shared" si="25"/>
        <v>3967.2153204823703</v>
      </c>
      <c r="BS28" s="238">
        <f t="shared" si="26"/>
        <v>8470.7842975482181</v>
      </c>
    </row>
    <row r="29" spans="1:71">
      <c r="A29" s="202"/>
      <c r="B29" s="210" t="str">
        <f t="shared" si="1"/>
        <v>NA Local LTA Roads Bay of Plenty Region</v>
      </c>
      <c r="C29" s="193">
        <f t="shared" si="21"/>
        <v>185.46</v>
      </c>
      <c r="D29" s="193">
        <f t="shared" si="22"/>
        <v>65.350000000000009</v>
      </c>
      <c r="E29" s="194">
        <f t="shared" si="2"/>
        <v>965.38928011652638</v>
      </c>
      <c r="F29" s="202"/>
      <c r="AA29" s="185" t="s">
        <v>412</v>
      </c>
      <c r="AB29" s="185" t="s">
        <v>419</v>
      </c>
      <c r="AC29" s="185" t="s">
        <v>401</v>
      </c>
      <c r="AD29" s="185" t="s">
        <v>331</v>
      </c>
      <c r="AE29" s="185"/>
      <c r="AF29" s="185" t="s">
        <v>402</v>
      </c>
      <c r="AG29" s="185">
        <v>119.27</v>
      </c>
      <c r="AH29" s="185">
        <v>2.5100000000000001E-2</v>
      </c>
      <c r="AI29" s="185">
        <v>91.65</v>
      </c>
      <c r="AJ29" s="185">
        <v>27.62</v>
      </c>
      <c r="AK29" s="185">
        <v>222</v>
      </c>
      <c r="AL29" s="185">
        <v>142.84</v>
      </c>
      <c r="AM29" s="186">
        <v>31</v>
      </c>
      <c r="AN29" s="186" t="str">
        <f t="shared" si="3"/>
        <v>Bay of Plenty RegionUnclassified</v>
      </c>
      <c r="AO29" s="186">
        <f t="shared" si="4"/>
        <v>9</v>
      </c>
      <c r="AP29" s="187" t="s">
        <v>1105</v>
      </c>
      <c r="AQ29" s="187" t="str">
        <f t="shared" si="5"/>
        <v>Bay of Plenty Region</v>
      </c>
      <c r="AR29" s="187" t="str">
        <f t="shared" si="6"/>
        <v>Combined</v>
      </c>
      <c r="AS29" s="187" t="str">
        <f t="shared" si="7"/>
        <v>2019/20</v>
      </c>
      <c r="AT29" s="187">
        <f t="shared" si="8"/>
        <v>0</v>
      </c>
      <c r="AU29" s="187" t="str">
        <f t="shared" si="9"/>
        <v>Unclassified</v>
      </c>
      <c r="AV29" s="187" cm="1">
        <f t="array" ref="AV29">IF($AO29=999,0,INDEX(AG$198:AG$313,$AO29))</f>
        <v>18.059999999999999</v>
      </c>
      <c r="AW29" s="187" cm="1">
        <f t="array" ref="AW29">IF($AO29=999,0,INDEX(AH$198:AH$313,$AO29))</f>
        <v>2.23E-2</v>
      </c>
      <c r="AX29" s="187" cm="1">
        <f t="array" ref="AX29">IF($AO29=999,0,INDEX(AI$198:AI$313,$AO29))</f>
        <v>18.059999999999999</v>
      </c>
      <c r="AY29" s="187" cm="1">
        <f t="array" ref="AY29">IF($AO29=999,0,INDEX(AJ$198:AJ$313,$AO29))</f>
        <v>0</v>
      </c>
      <c r="AZ29" s="187" cm="1">
        <f t="array" ref="AZ29">IF($AO29=999,0,INDEX(AK$198:AK$313,$AO29))</f>
        <v>36.54</v>
      </c>
      <c r="BA29" s="187" cm="1">
        <f t="array" ref="BA29">IF($AO29=999,0,INDEX(AL$198:AL$313,$AO29))</f>
        <v>77.489999999999995</v>
      </c>
      <c r="BB29" s="252" t="str">
        <f>INDEX(pMenus!$C$10:$C$23,MATCH(AU29,pMenus!$B$10:$B$23,0))</f>
        <v>NA</v>
      </c>
      <c r="BC29" s="221">
        <f t="shared" si="23"/>
        <v>5810.108644307983</v>
      </c>
      <c r="BD29" s="237">
        <f t="shared" si="24"/>
        <v>11755.336094297545</v>
      </c>
      <c r="BE29" s="188" t="s">
        <v>591</v>
      </c>
      <c r="BF29" s="188" t="str">
        <f t="shared" si="10"/>
        <v>Bay of Plenty Region</v>
      </c>
      <c r="BG29" s="188" t="str">
        <f t="shared" si="11"/>
        <v>Combined</v>
      </c>
      <c r="BH29" s="188" t="str">
        <f t="shared" si="12"/>
        <v>2019/20</v>
      </c>
      <c r="BI29" s="188">
        <f t="shared" si="13"/>
        <v>0</v>
      </c>
      <c r="BJ29" s="188" t="str">
        <f t="shared" si="14"/>
        <v>Unclassified</v>
      </c>
      <c r="BK29" s="188">
        <f t="shared" si="15"/>
        <v>101.21</v>
      </c>
      <c r="BL29" s="188">
        <f t="shared" si="16"/>
        <v>2.8000000000000004E-3</v>
      </c>
      <c r="BM29" s="188">
        <f t="shared" si="17"/>
        <v>73.59</v>
      </c>
      <c r="BN29" s="188">
        <f t="shared" si="18"/>
        <v>27.62</v>
      </c>
      <c r="BO29" s="188">
        <f t="shared" si="19"/>
        <v>185.46</v>
      </c>
      <c r="BP29" s="188">
        <f t="shared" si="20"/>
        <v>65.350000000000009</v>
      </c>
      <c r="BQ29" s="253" t="str">
        <f>INDEX(pMenus!$D$10:$D$23,MATCH(BJ29,pMenus!$B$10:$B$23,0))</f>
        <v>NA</v>
      </c>
      <c r="BR29" s="226">
        <f t="shared" si="25"/>
        <v>965.38928011652638</v>
      </c>
      <c r="BS29" s="238">
        <f t="shared" si="26"/>
        <v>1769.0059864678487</v>
      </c>
    </row>
    <row r="30" spans="1:71">
      <c r="A30" s="202"/>
      <c r="B30" s="210" t="str">
        <f t="shared" si="1"/>
        <v>Interregional Connectors Local LTA Roads Bay of Plenty Region</v>
      </c>
      <c r="C30" s="373">
        <f t="shared" si="21"/>
        <v>-10.439999999999998</v>
      </c>
      <c r="D30" s="193">
        <f t="shared" si="22"/>
        <v>8.4199999999999591</v>
      </c>
      <c r="E30" s="194">
        <f t="shared" si="2"/>
        <v>-2209.6257807169372</v>
      </c>
      <c r="F30" s="202"/>
      <c r="AA30" s="185" t="s">
        <v>412</v>
      </c>
      <c r="AB30" s="185" t="s">
        <v>419</v>
      </c>
      <c r="AC30" s="185" t="s">
        <v>401</v>
      </c>
      <c r="AD30" s="185" t="s">
        <v>331</v>
      </c>
      <c r="AE30" s="185" t="s">
        <v>403</v>
      </c>
      <c r="AF30" s="185" t="s">
        <v>404</v>
      </c>
      <c r="AG30" s="185">
        <v>219.54</v>
      </c>
      <c r="AH30" s="185">
        <v>4.6100000000000002E-2</v>
      </c>
      <c r="AI30" s="185">
        <v>219.54</v>
      </c>
      <c r="AJ30" s="185">
        <v>0</v>
      </c>
      <c r="AK30" s="185">
        <v>456</v>
      </c>
      <c r="AL30" s="185">
        <v>780.25</v>
      </c>
      <c r="AM30" s="186">
        <v>32</v>
      </c>
      <c r="AN30" s="186" t="str">
        <f t="shared" si="3"/>
        <v>Bay of Plenty RegionInterregional Connectors</v>
      </c>
      <c r="AO30" s="186">
        <f t="shared" si="4"/>
        <v>10</v>
      </c>
      <c r="AP30" s="187" t="s">
        <v>1105</v>
      </c>
      <c r="AQ30" s="187" t="str">
        <f t="shared" si="5"/>
        <v>Bay of Plenty Region</v>
      </c>
      <c r="AR30" s="187" t="str">
        <f t="shared" si="6"/>
        <v>Combined</v>
      </c>
      <c r="AS30" s="187" t="str">
        <f t="shared" si="7"/>
        <v>2019/20</v>
      </c>
      <c r="AT30" s="187" t="str">
        <f t="shared" si="8"/>
        <v>RURAL</v>
      </c>
      <c r="AU30" s="187" t="str">
        <f t="shared" si="9"/>
        <v>Interregional Connectors</v>
      </c>
      <c r="AV30" s="187" cm="1">
        <f t="array" ref="AV30">IF($AO30=999,0,INDEX(AG$198:AG$313,$AO30))</f>
        <v>225.08</v>
      </c>
      <c r="AW30" s="187" cm="1">
        <f t="array" ref="AW30">IF($AO30=999,0,INDEX(AH$198:AH$313,$AO30))</f>
        <v>0.2777</v>
      </c>
      <c r="AX30" s="187" cm="1">
        <f t="array" ref="AX30">IF($AO30=999,0,INDEX(AI$198:AI$313,$AO30))</f>
        <v>225.08</v>
      </c>
      <c r="AY30" s="187" cm="1">
        <f t="array" ref="AY30">IF($AO30=999,0,INDEX(AJ$198:AJ$313,$AO30))</f>
        <v>0</v>
      </c>
      <c r="AZ30" s="187" cm="1">
        <f t="array" ref="AZ30">IF($AO30=999,0,INDEX(AK$198:AK$313,$AO30))</f>
        <v>466.44</v>
      </c>
      <c r="BA30" s="187" cm="1">
        <f t="array" ref="BA30">IF($AO30=999,0,INDEX(AL$198:AL$313,$AO30))</f>
        <v>771.83</v>
      </c>
      <c r="BB30" s="252" t="str">
        <f>INDEX(pMenus!$C$10:$C$23,MATCH(AU30,pMenus!$B$10:$B$23,0))</f>
        <v>Interregional Connectors</v>
      </c>
      <c r="BC30" s="221">
        <f t="shared" si="23"/>
        <v>4533.4935677172361</v>
      </c>
      <c r="BD30" s="237">
        <f t="shared" si="24"/>
        <v>9394.8939920296216</v>
      </c>
      <c r="BE30" s="188" t="s">
        <v>591</v>
      </c>
      <c r="BF30" s="188" t="str">
        <f t="shared" si="10"/>
        <v>Bay of Plenty Region</v>
      </c>
      <c r="BG30" s="188" t="str">
        <f t="shared" si="11"/>
        <v>Combined</v>
      </c>
      <c r="BH30" s="188" t="str">
        <f t="shared" si="12"/>
        <v>2019/20</v>
      </c>
      <c r="BI30" s="188" t="str">
        <f t="shared" si="13"/>
        <v>RURAL</v>
      </c>
      <c r="BJ30" s="188" t="str">
        <f t="shared" si="14"/>
        <v>Interregional Connectors</v>
      </c>
      <c r="BK30" s="188">
        <f t="shared" si="15"/>
        <v>-5.5400000000000205</v>
      </c>
      <c r="BL30" s="188">
        <f t="shared" si="16"/>
        <v>-0.2316</v>
      </c>
      <c r="BM30" s="188">
        <f t="shared" si="17"/>
        <v>-5.5400000000000205</v>
      </c>
      <c r="BN30" s="188">
        <f t="shared" si="18"/>
        <v>0</v>
      </c>
      <c r="BO30" s="188">
        <f t="shared" si="19"/>
        <v>-10.439999999999998</v>
      </c>
      <c r="BP30" s="188">
        <f t="shared" si="20"/>
        <v>8.4199999999999591</v>
      </c>
      <c r="BQ30" s="253" t="str">
        <f>INDEX(pMenus!$D$10:$D$23,MATCH(BJ30,pMenus!$B$10:$B$23,0))</f>
        <v>Interregional Connectors</v>
      </c>
      <c r="BR30" s="226">
        <f t="shared" si="25"/>
        <v>-2209.6257807169372</v>
      </c>
      <c r="BS30" s="238">
        <f t="shared" si="26"/>
        <v>-4163.9879333365943</v>
      </c>
    </row>
    <row r="31" spans="1:71">
      <c r="A31" s="202"/>
      <c r="B31" s="210" t="str">
        <f t="shared" si="1"/>
        <v>Rural Connectors Local LTA Roads Bay of Plenty Region</v>
      </c>
      <c r="C31" s="193">
        <f t="shared" si="21"/>
        <v>366.58</v>
      </c>
      <c r="D31" s="193">
        <f t="shared" si="22"/>
        <v>36.36</v>
      </c>
      <c r="E31" s="194">
        <f t="shared" si="2"/>
        <v>271.7454262539265</v>
      </c>
      <c r="F31" s="202"/>
      <c r="AA31" s="185" t="s">
        <v>412</v>
      </c>
      <c r="AB31" s="185" t="s">
        <v>419</v>
      </c>
      <c r="AC31" s="185" t="s">
        <v>401</v>
      </c>
      <c r="AD31" s="185" t="s">
        <v>331</v>
      </c>
      <c r="AE31" s="185" t="s">
        <v>403</v>
      </c>
      <c r="AF31" s="185" t="s">
        <v>405</v>
      </c>
      <c r="AG31" s="185">
        <v>196.62</v>
      </c>
      <c r="AH31" s="185">
        <v>4.1300000000000003E-2</v>
      </c>
      <c r="AI31" s="185">
        <v>184.84</v>
      </c>
      <c r="AJ31" s="185">
        <v>11.77</v>
      </c>
      <c r="AK31" s="185">
        <v>388.5</v>
      </c>
      <c r="AL31" s="185">
        <v>52.85</v>
      </c>
      <c r="AM31" s="186">
        <v>33</v>
      </c>
      <c r="AN31" s="186" t="str">
        <f t="shared" si="3"/>
        <v>Bay of Plenty RegionPeri-urban Roads</v>
      </c>
      <c r="AO31" s="186">
        <f t="shared" si="4"/>
        <v>11</v>
      </c>
      <c r="AP31" s="187" t="s">
        <v>1105</v>
      </c>
      <c r="AQ31" s="187" t="str">
        <f t="shared" si="5"/>
        <v>Bay of Plenty Region</v>
      </c>
      <c r="AR31" s="187" t="str">
        <f t="shared" si="6"/>
        <v>Combined</v>
      </c>
      <c r="AS31" s="187" t="str">
        <f t="shared" si="7"/>
        <v>2019/20</v>
      </c>
      <c r="AT31" s="187" t="str">
        <f t="shared" si="8"/>
        <v>RURAL</v>
      </c>
      <c r="AU31" s="187" t="str">
        <f t="shared" si="9"/>
        <v>Peri-urban Roads</v>
      </c>
      <c r="AV31" s="187" cm="1">
        <f t="array" ref="AV31">IF($AO31=999,0,INDEX(AG$198:AG$313,$AO31))</f>
        <v>10.96</v>
      </c>
      <c r="AW31" s="187" cm="1">
        <f t="array" ref="AW31">IF($AO31=999,0,INDEX(AH$198:AH$313,$AO31))</f>
        <v>1.35E-2</v>
      </c>
      <c r="AX31" s="187" cm="1">
        <f t="array" ref="AX31">IF($AO31=999,0,INDEX(AI$198:AI$313,$AO31))</f>
        <v>10.96</v>
      </c>
      <c r="AY31" s="187" cm="1">
        <f t="array" ref="AY31">IF($AO31=999,0,INDEX(AJ$198:AJ$313,$AO31))</f>
        <v>0</v>
      </c>
      <c r="AZ31" s="187" cm="1">
        <f t="array" ref="AZ31">IF($AO31=999,0,INDEX(AK$198:AK$313,$AO31))</f>
        <v>21.92</v>
      </c>
      <c r="BA31" s="187" cm="1">
        <f t="array" ref="BA31">IF($AO31=999,0,INDEX(AL$198:AL$313,$AO31))</f>
        <v>16.489999999999998</v>
      </c>
      <c r="BB31" s="252" t="str">
        <f>INDEX(pMenus!$C$10:$C$23,MATCH(AU31,pMenus!$B$10:$B$23,0))</f>
        <v>Interregional Connectors</v>
      </c>
      <c r="BC31" s="221">
        <f t="shared" si="23"/>
        <v>2061.0438956104385</v>
      </c>
      <c r="BD31" s="237">
        <f t="shared" si="24"/>
        <v>4122.0877912208771</v>
      </c>
      <c r="BE31" s="188" t="s">
        <v>591</v>
      </c>
      <c r="BF31" s="188" t="str">
        <f t="shared" si="10"/>
        <v>Bay of Plenty Region</v>
      </c>
      <c r="BG31" s="188" t="str">
        <f t="shared" si="11"/>
        <v>Combined</v>
      </c>
      <c r="BH31" s="188" t="str">
        <f t="shared" si="12"/>
        <v>2019/20</v>
      </c>
      <c r="BI31" s="188" t="str">
        <f t="shared" si="13"/>
        <v>RURAL</v>
      </c>
      <c r="BJ31" s="188" t="str">
        <f t="shared" si="14"/>
        <v>Peri-urban Roads</v>
      </c>
      <c r="BK31" s="188">
        <f t="shared" si="15"/>
        <v>185.66</v>
      </c>
      <c r="BL31" s="188">
        <f t="shared" si="16"/>
        <v>2.7800000000000005E-2</v>
      </c>
      <c r="BM31" s="188">
        <f t="shared" si="17"/>
        <v>173.88</v>
      </c>
      <c r="BN31" s="188">
        <f t="shared" si="18"/>
        <v>11.77</v>
      </c>
      <c r="BO31" s="188">
        <f t="shared" si="19"/>
        <v>366.58</v>
      </c>
      <c r="BP31" s="188">
        <f t="shared" si="20"/>
        <v>36.36</v>
      </c>
      <c r="BQ31" s="253" t="str">
        <f>INDEX(pMenus!$D$10:$D$23,MATCH(BJ31,pMenus!$B$10:$B$23,0))</f>
        <v>Rural Connectors</v>
      </c>
      <c r="BR31" s="226">
        <f t="shared" si="25"/>
        <v>271.7454262539265</v>
      </c>
      <c r="BS31" s="238">
        <f t="shared" si="26"/>
        <v>536.55304511561121</v>
      </c>
    </row>
    <row r="32" spans="1:71">
      <c r="A32" s="202"/>
      <c r="B32" s="210" t="str">
        <f t="shared" si="1"/>
        <v>Rural Connectors Local LTA Roads Bay of Plenty Region</v>
      </c>
      <c r="C32" s="193">
        <f t="shared" si="21"/>
        <v>1419.89</v>
      </c>
      <c r="D32" s="193">
        <f t="shared" si="22"/>
        <v>350.39</v>
      </c>
      <c r="E32" s="194">
        <f t="shared" si="2"/>
        <v>676.08941730678146</v>
      </c>
      <c r="F32" s="202"/>
      <c r="AA32" s="185" t="s">
        <v>412</v>
      </c>
      <c r="AB32" s="185" t="s">
        <v>419</v>
      </c>
      <c r="AC32" s="185" t="s">
        <v>401</v>
      </c>
      <c r="AD32" s="185" t="s">
        <v>331</v>
      </c>
      <c r="AE32" s="185" t="s">
        <v>403</v>
      </c>
      <c r="AF32" s="185" t="s">
        <v>406</v>
      </c>
      <c r="AG32" s="185">
        <v>1139.21</v>
      </c>
      <c r="AH32" s="185">
        <v>0.23930000000000001</v>
      </c>
      <c r="AI32" s="185">
        <v>1124.76</v>
      </c>
      <c r="AJ32" s="185">
        <v>14.45</v>
      </c>
      <c r="AK32" s="185">
        <v>2287.86</v>
      </c>
      <c r="AL32" s="185">
        <v>833.15</v>
      </c>
      <c r="AM32" s="186">
        <v>34</v>
      </c>
      <c r="AN32" s="186" t="str">
        <f t="shared" si="3"/>
        <v>Bay of Plenty RegionRural Connectors</v>
      </c>
      <c r="AO32" s="186">
        <f t="shared" si="4"/>
        <v>12</v>
      </c>
      <c r="AP32" s="187" t="s">
        <v>1105</v>
      </c>
      <c r="AQ32" s="187" t="str">
        <f t="shared" si="5"/>
        <v>Bay of Plenty Region</v>
      </c>
      <c r="AR32" s="187" t="str">
        <f t="shared" si="6"/>
        <v>Combined</v>
      </c>
      <c r="AS32" s="187" t="str">
        <f t="shared" si="7"/>
        <v>2019/20</v>
      </c>
      <c r="AT32" s="187" t="str">
        <f t="shared" si="8"/>
        <v>RURAL</v>
      </c>
      <c r="AU32" s="187" t="str">
        <f t="shared" si="9"/>
        <v>Rural Connectors</v>
      </c>
      <c r="AV32" s="187" cm="1">
        <f t="array" ref="AV32">IF($AO32=999,0,INDEX(AG$198:AG$313,$AO32))</f>
        <v>430.13</v>
      </c>
      <c r="AW32" s="187" cm="1">
        <f t="array" ref="AW32">IF($AO32=999,0,INDEX(AH$198:AH$313,$AO32))</f>
        <v>0.53069999999999995</v>
      </c>
      <c r="AX32" s="187" cm="1">
        <f t="array" ref="AX32">IF($AO32=999,0,INDEX(AI$198:AI$313,$AO32))</f>
        <v>430.13</v>
      </c>
      <c r="AY32" s="187" cm="1">
        <f t="array" ref="AY32">IF($AO32=999,0,INDEX(AJ$198:AJ$313,$AO32))</f>
        <v>0</v>
      </c>
      <c r="AZ32" s="187" cm="1">
        <f t="array" ref="AZ32">IF($AO32=999,0,INDEX(AK$198:AK$313,$AO32))</f>
        <v>867.97</v>
      </c>
      <c r="BA32" s="187" cm="1">
        <f t="array" ref="BA32">IF($AO32=999,0,INDEX(AL$198:AL$313,$AO32))</f>
        <v>482.76</v>
      </c>
      <c r="BB32" s="252" t="str">
        <f>INDEX(pMenus!$C$10:$C$23,MATCH(AU32,pMenus!$B$10:$B$23,0))</f>
        <v>Rural Connectors</v>
      </c>
      <c r="BC32" s="221">
        <f t="shared" si="23"/>
        <v>1523.820105517819</v>
      </c>
      <c r="BD32" s="237">
        <f t="shared" si="24"/>
        <v>3074.9544021256397</v>
      </c>
      <c r="BE32" s="188" t="s">
        <v>591</v>
      </c>
      <c r="BF32" s="188" t="str">
        <f t="shared" si="10"/>
        <v>Bay of Plenty Region</v>
      </c>
      <c r="BG32" s="188" t="str">
        <f t="shared" si="11"/>
        <v>Combined</v>
      </c>
      <c r="BH32" s="188" t="str">
        <f t="shared" si="12"/>
        <v>2019/20</v>
      </c>
      <c r="BI32" s="188" t="str">
        <f t="shared" si="13"/>
        <v>RURAL</v>
      </c>
      <c r="BJ32" s="188" t="str">
        <f t="shared" si="14"/>
        <v>Rural Connectors</v>
      </c>
      <c r="BK32" s="188">
        <f t="shared" si="15"/>
        <v>709.08</v>
      </c>
      <c r="BL32" s="188">
        <f t="shared" si="16"/>
        <v>-0.29139999999999994</v>
      </c>
      <c r="BM32" s="188">
        <f t="shared" si="17"/>
        <v>694.63</v>
      </c>
      <c r="BN32" s="188">
        <f t="shared" si="18"/>
        <v>14.45</v>
      </c>
      <c r="BO32" s="188">
        <f t="shared" si="19"/>
        <v>1419.89</v>
      </c>
      <c r="BP32" s="188">
        <f t="shared" si="20"/>
        <v>350.39</v>
      </c>
      <c r="BQ32" s="253" t="str">
        <f>INDEX(pMenus!$D$10:$D$23,MATCH(BJ32,pMenus!$B$10:$B$23,0))</f>
        <v>Rural Connectors</v>
      </c>
      <c r="BR32" s="226">
        <f t="shared" si="25"/>
        <v>676.08941730678146</v>
      </c>
      <c r="BS32" s="238">
        <f t="shared" si="26"/>
        <v>1353.8283448126106</v>
      </c>
    </row>
    <row r="33" spans="1:71">
      <c r="A33" s="202"/>
      <c r="B33" s="210" t="str">
        <f t="shared" si="1"/>
        <v>Rural Connectors Local LTA Roads Bay of Plenty Region</v>
      </c>
      <c r="C33" s="193">
        <f t="shared" si="21"/>
        <v>3236.33</v>
      </c>
      <c r="D33" s="193">
        <f t="shared" si="22"/>
        <v>91</v>
      </c>
      <c r="E33" s="194">
        <f t="shared" si="2"/>
        <v>77.036355530230438</v>
      </c>
      <c r="F33" s="202"/>
      <c r="AA33" s="185" t="s">
        <v>412</v>
      </c>
      <c r="AB33" s="185" t="s">
        <v>419</v>
      </c>
      <c r="AC33" s="185" t="s">
        <v>401</v>
      </c>
      <c r="AD33" s="185" t="s">
        <v>331</v>
      </c>
      <c r="AE33" s="185" t="s">
        <v>403</v>
      </c>
      <c r="AF33" s="185" t="s">
        <v>414</v>
      </c>
      <c r="AG33" s="185">
        <v>1714.45</v>
      </c>
      <c r="AH33" s="185">
        <v>0.36020000000000002</v>
      </c>
      <c r="AI33" s="185">
        <v>1140.94</v>
      </c>
      <c r="AJ33" s="185">
        <v>573.5</v>
      </c>
      <c r="AK33" s="185">
        <v>3236.33</v>
      </c>
      <c r="AL33" s="185">
        <v>91</v>
      </c>
      <c r="AM33" s="186">
        <v>35</v>
      </c>
      <c r="AN33" s="186" t="str">
        <f t="shared" si="3"/>
        <v>Bay of Plenty RegionRural Roads</v>
      </c>
      <c r="AO33" s="186">
        <f t="shared" si="4"/>
        <v>999</v>
      </c>
      <c r="AP33" s="187" t="s">
        <v>1105</v>
      </c>
      <c r="AQ33" s="187" t="str">
        <f t="shared" si="5"/>
        <v>Bay of Plenty Region</v>
      </c>
      <c r="AR33" s="187" t="str">
        <f t="shared" si="6"/>
        <v>Combined</v>
      </c>
      <c r="AS33" s="187" t="str">
        <f t="shared" si="7"/>
        <v>2019/20</v>
      </c>
      <c r="AT33" s="187" t="str">
        <f t="shared" si="8"/>
        <v>RURAL</v>
      </c>
      <c r="AU33" s="187" t="str">
        <f t="shared" si="9"/>
        <v>Rural Roads</v>
      </c>
      <c r="AV33" s="187" cm="1">
        <f t="array" ref="AV33">IF($AO33=999,0,INDEX(AG$198:AG$313,$AO33))</f>
        <v>0</v>
      </c>
      <c r="AW33" s="187" cm="1">
        <f t="array" ref="AW33">IF($AO33=999,0,INDEX(AH$198:AH$313,$AO33))</f>
        <v>0</v>
      </c>
      <c r="AX33" s="187" cm="1">
        <f t="array" ref="AX33">IF($AO33=999,0,INDEX(AI$198:AI$313,$AO33))</f>
        <v>0</v>
      </c>
      <c r="AY33" s="187" cm="1">
        <f t="array" ref="AY33">IF($AO33=999,0,INDEX(AJ$198:AJ$313,$AO33))</f>
        <v>0</v>
      </c>
      <c r="AZ33" s="187" cm="1">
        <f t="array" ref="AZ33">IF($AO33=999,0,INDEX(AK$198:AK$313,$AO33))</f>
        <v>0</v>
      </c>
      <c r="BA33" s="187" cm="1">
        <f t="array" ref="BA33">IF($AO33=999,0,INDEX(AL$198:AL$313,$AO33))</f>
        <v>0</v>
      </c>
      <c r="BB33" s="252" t="str">
        <f>INDEX(pMenus!$C$10:$C$23,MATCH(AU33,pMenus!$B$10:$B$23,0))</f>
        <v>NA</v>
      </c>
      <c r="BC33" s="221">
        <f t="shared" si="23"/>
        <v>0</v>
      </c>
      <c r="BD33" s="237">
        <f t="shared" si="24"/>
        <v>0</v>
      </c>
      <c r="BE33" s="188" t="s">
        <v>591</v>
      </c>
      <c r="BF33" s="188" t="str">
        <f t="shared" si="10"/>
        <v>Bay of Plenty Region</v>
      </c>
      <c r="BG33" s="188" t="str">
        <f t="shared" si="11"/>
        <v>Combined</v>
      </c>
      <c r="BH33" s="188" t="str">
        <f t="shared" si="12"/>
        <v>2019/20</v>
      </c>
      <c r="BI33" s="188" t="str">
        <f t="shared" si="13"/>
        <v>RURAL</v>
      </c>
      <c r="BJ33" s="188" t="str">
        <f t="shared" si="14"/>
        <v>Rural Roads</v>
      </c>
      <c r="BK33" s="188">
        <f t="shared" si="15"/>
        <v>1714.45</v>
      </c>
      <c r="BL33" s="188">
        <f t="shared" si="16"/>
        <v>0.36020000000000002</v>
      </c>
      <c r="BM33" s="188">
        <f t="shared" si="17"/>
        <v>1140.94</v>
      </c>
      <c r="BN33" s="188">
        <f t="shared" si="18"/>
        <v>573.5</v>
      </c>
      <c r="BO33" s="188">
        <f t="shared" si="19"/>
        <v>3236.33</v>
      </c>
      <c r="BP33" s="188">
        <f t="shared" si="20"/>
        <v>91</v>
      </c>
      <c r="BQ33" s="253" t="str">
        <f>INDEX(pMenus!$D$10:$D$23,MATCH(BJ33,pMenus!$B$10:$B$23,0))</f>
        <v>Rural Connectors</v>
      </c>
      <c r="BR33" s="226">
        <f t="shared" si="25"/>
        <v>77.036355530230438</v>
      </c>
      <c r="BS33" s="238">
        <f t="shared" si="26"/>
        <v>145.41985388500723</v>
      </c>
    </row>
    <row r="34" spans="1:71">
      <c r="A34" s="202"/>
      <c r="B34" s="210" t="str">
        <f t="shared" si="1"/>
        <v>Rural Connectors Local LTA Roads Bay of Plenty Region</v>
      </c>
      <c r="C34" s="193">
        <f t="shared" si="21"/>
        <v>43.12</v>
      </c>
      <c r="D34" s="193">
        <f t="shared" si="22"/>
        <v>4.1500000000000004</v>
      </c>
      <c r="E34" s="194">
        <f t="shared" si="2"/>
        <v>263.67956896332635</v>
      </c>
      <c r="F34" s="202"/>
      <c r="AA34" s="185" t="s">
        <v>412</v>
      </c>
      <c r="AB34" s="185" t="s">
        <v>419</v>
      </c>
      <c r="AC34" s="185" t="s">
        <v>401</v>
      </c>
      <c r="AD34" s="185" t="s">
        <v>331</v>
      </c>
      <c r="AE34" s="185" t="s">
        <v>403</v>
      </c>
      <c r="AF34" s="185" t="s">
        <v>415</v>
      </c>
      <c r="AG34" s="185">
        <v>22.26</v>
      </c>
      <c r="AH34" s="185">
        <v>4.7000000000000002E-3</v>
      </c>
      <c r="AI34" s="185">
        <v>14.03</v>
      </c>
      <c r="AJ34" s="185">
        <v>8.23</v>
      </c>
      <c r="AK34" s="185">
        <v>43.47</v>
      </c>
      <c r="AL34" s="185">
        <v>4.67</v>
      </c>
      <c r="AM34" s="186">
        <v>36</v>
      </c>
      <c r="AN34" s="186" t="str">
        <f t="shared" si="3"/>
        <v>Bay of Plenty RegionStopping Places</v>
      </c>
      <c r="AO34" s="186">
        <f t="shared" si="4"/>
        <v>13</v>
      </c>
      <c r="AP34" s="187" t="s">
        <v>1105</v>
      </c>
      <c r="AQ34" s="187" t="str">
        <f t="shared" si="5"/>
        <v>Bay of Plenty Region</v>
      </c>
      <c r="AR34" s="187" t="str">
        <f t="shared" si="6"/>
        <v>Combined</v>
      </c>
      <c r="AS34" s="187" t="str">
        <f t="shared" si="7"/>
        <v>2019/20</v>
      </c>
      <c r="AT34" s="187" t="str">
        <f t="shared" si="8"/>
        <v>RURAL</v>
      </c>
      <c r="AU34" s="187" t="str">
        <f t="shared" si="9"/>
        <v>Stopping Places</v>
      </c>
      <c r="AV34" s="187" cm="1">
        <f t="array" ref="AV34">IF($AO34=999,0,INDEX(AG$198:AG$313,$AO34))</f>
        <v>0.12</v>
      </c>
      <c r="AW34" s="187" cm="1">
        <f t="array" ref="AW34">IF($AO34=999,0,INDEX(AH$198:AH$313,$AO34))</f>
        <v>1E-4</v>
      </c>
      <c r="AX34" s="187" cm="1">
        <f t="array" ref="AX34">IF($AO34=999,0,INDEX(AI$198:AI$313,$AO34))</f>
        <v>0.12</v>
      </c>
      <c r="AY34" s="187" cm="1">
        <f t="array" ref="AY34">IF($AO34=999,0,INDEX(AJ$198:AJ$313,$AO34))</f>
        <v>0</v>
      </c>
      <c r="AZ34" s="187" cm="1">
        <f t="array" ref="AZ34">IF($AO34=999,0,INDEX(AK$198:AK$313,$AO34))</f>
        <v>0.35</v>
      </c>
      <c r="BA34" s="187" cm="1">
        <f t="array" ref="BA34">IF($AO34=999,0,INDEX(AL$198:AL$313,$AO34))</f>
        <v>0.52</v>
      </c>
      <c r="BB34" s="252" t="str">
        <f>INDEX(pMenus!$C$10:$C$23,MATCH(AU34,pMenus!$B$10:$B$23,0))</f>
        <v>Interregional Connectors</v>
      </c>
      <c r="BC34" s="221">
        <f t="shared" si="23"/>
        <v>4070.4500978473579</v>
      </c>
      <c r="BD34" s="237">
        <f t="shared" si="24"/>
        <v>11872.146118721463</v>
      </c>
      <c r="BE34" s="188" t="s">
        <v>591</v>
      </c>
      <c r="BF34" s="188" t="str">
        <f t="shared" si="10"/>
        <v>Bay of Plenty Region</v>
      </c>
      <c r="BG34" s="188" t="str">
        <f t="shared" si="11"/>
        <v>Combined</v>
      </c>
      <c r="BH34" s="188" t="str">
        <f t="shared" si="12"/>
        <v>2019/20</v>
      </c>
      <c r="BI34" s="188" t="str">
        <f t="shared" si="13"/>
        <v>RURAL</v>
      </c>
      <c r="BJ34" s="188" t="str">
        <f t="shared" si="14"/>
        <v>Stopping Places</v>
      </c>
      <c r="BK34" s="188">
        <f t="shared" si="15"/>
        <v>22.14</v>
      </c>
      <c r="BL34" s="188">
        <f t="shared" si="16"/>
        <v>4.5999999999999999E-3</v>
      </c>
      <c r="BM34" s="188">
        <f t="shared" si="17"/>
        <v>13.91</v>
      </c>
      <c r="BN34" s="188">
        <f t="shared" si="18"/>
        <v>8.23</v>
      </c>
      <c r="BO34" s="188">
        <f t="shared" si="19"/>
        <v>43.12</v>
      </c>
      <c r="BP34" s="188">
        <f t="shared" si="20"/>
        <v>4.1500000000000004</v>
      </c>
      <c r="BQ34" s="253" t="str">
        <f>INDEX(pMenus!$D$10:$D$23,MATCH(BJ34,pMenus!$B$10:$B$23,0))</f>
        <v>Rural Connectors</v>
      </c>
      <c r="BR34" s="226">
        <f t="shared" si="25"/>
        <v>263.67956896332635</v>
      </c>
      <c r="BS34" s="238">
        <f t="shared" si="26"/>
        <v>513.54394822487041</v>
      </c>
    </row>
    <row r="35" spans="1:71">
      <c r="A35" s="202"/>
      <c r="B35" s="210" t="str">
        <f t="shared" si="1"/>
        <v>Activity Streets Local LTA Roads Bay of Plenty Region</v>
      </c>
      <c r="C35" s="193">
        <f t="shared" si="21"/>
        <v>164.94</v>
      </c>
      <c r="D35" s="193">
        <f t="shared" si="22"/>
        <v>177.87</v>
      </c>
      <c r="E35" s="194">
        <f t="shared" si="2"/>
        <v>2954.4990208145427</v>
      </c>
      <c r="F35" s="202"/>
      <c r="AA35" s="185" t="s">
        <v>412</v>
      </c>
      <c r="AB35" s="185" t="s">
        <v>419</v>
      </c>
      <c r="AC35" s="185" t="s">
        <v>401</v>
      </c>
      <c r="AD35" s="185" t="s">
        <v>331</v>
      </c>
      <c r="AE35" s="185" t="s">
        <v>407</v>
      </c>
      <c r="AF35" s="185" t="s">
        <v>408</v>
      </c>
      <c r="AG35" s="185">
        <v>92.61</v>
      </c>
      <c r="AH35" s="185">
        <v>1.95E-2</v>
      </c>
      <c r="AI35" s="185">
        <v>92.61</v>
      </c>
      <c r="AJ35" s="185">
        <v>0</v>
      </c>
      <c r="AK35" s="185">
        <v>185.73</v>
      </c>
      <c r="AL35" s="185">
        <v>215.84</v>
      </c>
      <c r="AM35" s="186">
        <v>37</v>
      </c>
      <c r="AN35" s="186" t="str">
        <f t="shared" si="3"/>
        <v>Bay of Plenty RegionActivity Streets</v>
      </c>
      <c r="AO35" s="186">
        <f t="shared" si="4"/>
        <v>14</v>
      </c>
      <c r="AP35" s="187" t="s">
        <v>1105</v>
      </c>
      <c r="AQ35" s="187" t="str">
        <f t="shared" si="5"/>
        <v>Bay of Plenty Region</v>
      </c>
      <c r="AR35" s="187" t="str">
        <f t="shared" si="6"/>
        <v>Combined</v>
      </c>
      <c r="AS35" s="187" t="str">
        <f t="shared" si="7"/>
        <v>2019/20</v>
      </c>
      <c r="AT35" s="187" t="str">
        <f t="shared" si="8"/>
        <v>URBAN</v>
      </c>
      <c r="AU35" s="187" t="str">
        <f t="shared" si="9"/>
        <v>Activity Streets</v>
      </c>
      <c r="AV35" s="187" cm="1">
        <f t="array" ref="AV35">IF($AO35=999,0,INDEX(AG$198:AG$313,$AO35))</f>
        <v>10.31</v>
      </c>
      <c r="AW35" s="187" cm="1">
        <f t="array" ref="AW35">IF($AO35=999,0,INDEX(AH$198:AH$313,$AO35))</f>
        <v>1.2699999999999999E-2</v>
      </c>
      <c r="AX35" s="187" cm="1">
        <f t="array" ref="AX35">IF($AO35=999,0,INDEX(AI$198:AI$313,$AO35))</f>
        <v>10.31</v>
      </c>
      <c r="AY35" s="187" cm="1">
        <f t="array" ref="AY35">IF($AO35=999,0,INDEX(AJ$198:AJ$313,$AO35))</f>
        <v>0</v>
      </c>
      <c r="AZ35" s="187" cm="1">
        <f t="array" ref="AZ35">IF($AO35=999,0,INDEX(AK$198:AK$313,$AO35))</f>
        <v>20.79</v>
      </c>
      <c r="BA35" s="187" cm="1">
        <f t="array" ref="BA35">IF($AO35=999,0,INDEX(AL$198:AL$313,$AO35))</f>
        <v>37.97</v>
      </c>
      <c r="BB35" s="252" t="str">
        <f>INDEX(pMenus!$C$10:$C$23,MATCH(AU35,pMenus!$B$10:$B$23,0))</f>
        <v>Urban Connectors</v>
      </c>
      <c r="BC35" s="221">
        <f t="shared" si="23"/>
        <v>5003.7228119419897</v>
      </c>
      <c r="BD35" s="237">
        <f t="shared" si="24"/>
        <v>10089.951237659938</v>
      </c>
      <c r="BE35" s="188" t="s">
        <v>591</v>
      </c>
      <c r="BF35" s="188" t="str">
        <f t="shared" si="10"/>
        <v>Bay of Plenty Region</v>
      </c>
      <c r="BG35" s="188" t="str">
        <f t="shared" si="11"/>
        <v>Combined</v>
      </c>
      <c r="BH35" s="188" t="str">
        <f t="shared" si="12"/>
        <v>2019/20</v>
      </c>
      <c r="BI35" s="188" t="str">
        <f t="shared" si="13"/>
        <v>URBAN</v>
      </c>
      <c r="BJ35" s="188" t="str">
        <f t="shared" si="14"/>
        <v>Activity Streets</v>
      </c>
      <c r="BK35" s="188">
        <f t="shared" si="15"/>
        <v>82.3</v>
      </c>
      <c r="BL35" s="188">
        <f t="shared" si="16"/>
        <v>6.8000000000000005E-3</v>
      </c>
      <c r="BM35" s="188">
        <f t="shared" si="17"/>
        <v>82.3</v>
      </c>
      <c r="BN35" s="188">
        <f t="shared" si="18"/>
        <v>0</v>
      </c>
      <c r="BO35" s="188">
        <f t="shared" si="19"/>
        <v>164.94</v>
      </c>
      <c r="BP35" s="188">
        <f t="shared" si="20"/>
        <v>177.87</v>
      </c>
      <c r="BQ35" s="253" t="str">
        <f>INDEX(pMenus!$D$10:$D$23,MATCH(BJ35,pMenus!$B$10:$B$23,0))</f>
        <v>Activity Streets</v>
      </c>
      <c r="BR35" s="226">
        <f t="shared" si="25"/>
        <v>2954.4990208145427</v>
      </c>
      <c r="BS35" s="238">
        <f t="shared" si="26"/>
        <v>5921.203748397942</v>
      </c>
    </row>
    <row r="36" spans="1:71">
      <c r="A36" s="202"/>
      <c r="B36" s="210" t="str">
        <f t="shared" si="1"/>
        <v>Rural Connectors Local LTA Roads Bay of Plenty Region</v>
      </c>
      <c r="C36" s="193">
        <f t="shared" si="21"/>
        <v>0.43</v>
      </c>
      <c r="D36" s="193">
        <f t="shared" si="22"/>
        <v>0.19</v>
      </c>
      <c r="E36" s="194">
        <f t="shared" si="2"/>
        <v>1210.5766167569291</v>
      </c>
      <c r="F36" s="202"/>
      <c r="AA36" s="185" t="s">
        <v>412</v>
      </c>
      <c r="AB36" s="185" t="s">
        <v>419</v>
      </c>
      <c r="AC36" s="185" t="s">
        <v>401</v>
      </c>
      <c r="AD36" s="185" t="s">
        <v>331</v>
      </c>
      <c r="AE36" s="185" t="s">
        <v>407</v>
      </c>
      <c r="AF36" s="185" t="s">
        <v>417</v>
      </c>
      <c r="AG36" s="185">
        <v>0.23</v>
      </c>
      <c r="AH36" s="185">
        <v>0</v>
      </c>
      <c r="AI36" s="185">
        <v>0.23</v>
      </c>
      <c r="AJ36" s="185">
        <v>0</v>
      </c>
      <c r="AK36" s="185">
        <v>0.43</v>
      </c>
      <c r="AL36" s="185">
        <v>0.19</v>
      </c>
      <c r="AM36" s="186">
        <v>38</v>
      </c>
      <c r="AN36" s="186" t="str">
        <f t="shared" si="3"/>
        <v>Bay of Plenty RegionCivic Spaces</v>
      </c>
      <c r="AO36" s="186">
        <f t="shared" si="4"/>
        <v>999</v>
      </c>
      <c r="AP36" s="187" t="s">
        <v>1105</v>
      </c>
      <c r="AQ36" s="187" t="str">
        <f t="shared" si="5"/>
        <v>Bay of Plenty Region</v>
      </c>
      <c r="AR36" s="187" t="str">
        <f t="shared" si="6"/>
        <v>Combined</v>
      </c>
      <c r="AS36" s="187" t="str">
        <f t="shared" si="7"/>
        <v>2019/20</v>
      </c>
      <c r="AT36" s="187" t="str">
        <f t="shared" si="8"/>
        <v>URBAN</v>
      </c>
      <c r="AU36" s="187" t="str">
        <f t="shared" si="9"/>
        <v>Civic Spaces</v>
      </c>
      <c r="AV36" s="187" cm="1">
        <f t="array" ref="AV36">IF($AO36=999,0,INDEX(AG$198:AG$313,$AO36))</f>
        <v>0</v>
      </c>
      <c r="AW36" s="187" cm="1">
        <f t="array" ref="AW36">IF($AO36=999,0,INDEX(AH$198:AH$313,$AO36))</f>
        <v>0</v>
      </c>
      <c r="AX36" s="187" cm="1">
        <f t="array" ref="AX36">IF($AO36=999,0,INDEX(AI$198:AI$313,$AO36))</f>
        <v>0</v>
      </c>
      <c r="AY36" s="187" cm="1">
        <f t="array" ref="AY36">IF($AO36=999,0,INDEX(AJ$198:AJ$313,$AO36))</f>
        <v>0</v>
      </c>
      <c r="AZ36" s="187" cm="1">
        <f t="array" ref="AZ36">IF($AO36=999,0,INDEX(AK$198:AK$313,$AO36))</f>
        <v>0</v>
      </c>
      <c r="BA36" s="187" cm="1">
        <f t="array" ref="BA36">IF($AO36=999,0,INDEX(AL$198:AL$313,$AO36))</f>
        <v>0</v>
      </c>
      <c r="BB36" s="252" t="str">
        <f>INDEX(pMenus!$C$10:$C$23,MATCH(AU36,pMenus!$B$10:$B$23,0))</f>
        <v>NA</v>
      </c>
      <c r="BC36" s="221">
        <f t="shared" si="23"/>
        <v>0</v>
      </c>
      <c r="BD36" s="237">
        <f t="shared" si="24"/>
        <v>0</v>
      </c>
      <c r="BE36" s="188" t="s">
        <v>591</v>
      </c>
      <c r="BF36" s="188" t="str">
        <f t="shared" si="10"/>
        <v>Bay of Plenty Region</v>
      </c>
      <c r="BG36" s="188" t="str">
        <f t="shared" si="11"/>
        <v>Combined</v>
      </c>
      <c r="BH36" s="188" t="str">
        <f t="shared" si="12"/>
        <v>2019/20</v>
      </c>
      <c r="BI36" s="188" t="str">
        <f t="shared" si="13"/>
        <v>URBAN</v>
      </c>
      <c r="BJ36" s="188" t="str">
        <f t="shared" si="14"/>
        <v>Civic Spaces</v>
      </c>
      <c r="BK36" s="188">
        <f t="shared" si="15"/>
        <v>0.23</v>
      </c>
      <c r="BL36" s="188">
        <f t="shared" si="16"/>
        <v>0</v>
      </c>
      <c r="BM36" s="188">
        <f t="shared" si="17"/>
        <v>0.23</v>
      </c>
      <c r="BN36" s="188">
        <f t="shared" si="18"/>
        <v>0</v>
      </c>
      <c r="BO36" s="188">
        <f t="shared" si="19"/>
        <v>0.43</v>
      </c>
      <c r="BP36" s="188">
        <f t="shared" si="20"/>
        <v>0.19</v>
      </c>
      <c r="BQ36" s="253" t="str">
        <f>INDEX(pMenus!$D$10:$D$23,MATCH(BJ36,pMenus!$B$10:$B$23,0))</f>
        <v>Rural Connectors</v>
      </c>
      <c r="BR36" s="226">
        <f t="shared" si="25"/>
        <v>1210.5766167569291</v>
      </c>
      <c r="BS36" s="238">
        <f t="shared" si="26"/>
        <v>2263.2519356759976</v>
      </c>
    </row>
    <row r="37" spans="1:71">
      <c r="A37" s="202"/>
      <c r="B37" s="210" t="str">
        <f t="shared" si="1"/>
        <v>Rural Connectors Local LTA Roads Bay of Plenty Region</v>
      </c>
      <c r="C37" s="193">
        <f t="shared" si="21"/>
        <v>1818.04</v>
      </c>
      <c r="D37" s="193">
        <f t="shared" si="22"/>
        <v>198.71</v>
      </c>
      <c r="E37" s="194">
        <f t="shared" si="2"/>
        <v>299.44938444924736</v>
      </c>
      <c r="F37" s="202"/>
      <c r="AA37" s="185" t="s">
        <v>412</v>
      </c>
      <c r="AB37" s="185" t="s">
        <v>419</v>
      </c>
      <c r="AC37" s="185" t="s">
        <v>401</v>
      </c>
      <c r="AD37" s="185" t="s">
        <v>331</v>
      </c>
      <c r="AE37" s="185" t="s">
        <v>407</v>
      </c>
      <c r="AF37" s="185" t="s">
        <v>418</v>
      </c>
      <c r="AG37" s="185">
        <v>931.05</v>
      </c>
      <c r="AH37" s="185">
        <v>0.1956</v>
      </c>
      <c r="AI37" s="185">
        <v>928.01</v>
      </c>
      <c r="AJ37" s="185">
        <v>3.04</v>
      </c>
      <c r="AK37" s="185">
        <v>1818.04</v>
      </c>
      <c r="AL37" s="185">
        <v>198.71</v>
      </c>
      <c r="AM37" s="186">
        <v>39</v>
      </c>
      <c r="AN37" s="186" t="str">
        <f t="shared" si="3"/>
        <v>Bay of Plenty RegionLocal Streets</v>
      </c>
      <c r="AO37" s="186">
        <f t="shared" si="4"/>
        <v>999</v>
      </c>
      <c r="AP37" s="187" t="s">
        <v>1105</v>
      </c>
      <c r="AQ37" s="187" t="str">
        <f t="shared" si="5"/>
        <v>Bay of Plenty Region</v>
      </c>
      <c r="AR37" s="187" t="str">
        <f t="shared" si="6"/>
        <v>Combined</v>
      </c>
      <c r="AS37" s="187" t="str">
        <f t="shared" si="7"/>
        <v>2019/20</v>
      </c>
      <c r="AT37" s="187" t="str">
        <f t="shared" si="8"/>
        <v>URBAN</v>
      </c>
      <c r="AU37" s="187" t="str">
        <f t="shared" si="9"/>
        <v>Local Streets</v>
      </c>
      <c r="AV37" s="187" cm="1">
        <f t="array" ref="AV37">IF($AO37=999,0,INDEX(AG$198:AG$313,$AO37))</f>
        <v>0</v>
      </c>
      <c r="AW37" s="187" cm="1">
        <f t="array" ref="AW37">IF($AO37=999,0,INDEX(AH$198:AH$313,$AO37))</f>
        <v>0</v>
      </c>
      <c r="AX37" s="187" cm="1">
        <f t="array" ref="AX37">IF($AO37=999,0,INDEX(AI$198:AI$313,$AO37))</f>
        <v>0</v>
      </c>
      <c r="AY37" s="187" cm="1">
        <f t="array" ref="AY37">IF($AO37=999,0,INDEX(AJ$198:AJ$313,$AO37))</f>
        <v>0</v>
      </c>
      <c r="AZ37" s="187" cm="1">
        <f t="array" ref="AZ37">IF($AO37=999,0,INDEX(AK$198:AK$313,$AO37))</f>
        <v>0</v>
      </c>
      <c r="BA37" s="187" cm="1">
        <f t="array" ref="BA37">IF($AO37=999,0,INDEX(AL$198:AL$313,$AO37))</f>
        <v>0</v>
      </c>
      <c r="BB37" s="252" t="str">
        <f>INDEX(pMenus!$C$10:$C$23,MATCH(AU37,pMenus!$B$10:$B$23,0))</f>
        <v>NA</v>
      </c>
      <c r="BC37" s="221">
        <f t="shared" si="23"/>
        <v>0</v>
      </c>
      <c r="BD37" s="237">
        <f t="shared" si="24"/>
        <v>0</v>
      </c>
      <c r="BE37" s="188" t="s">
        <v>591</v>
      </c>
      <c r="BF37" s="188" t="str">
        <f t="shared" si="10"/>
        <v>Bay of Plenty Region</v>
      </c>
      <c r="BG37" s="188" t="str">
        <f t="shared" si="11"/>
        <v>Combined</v>
      </c>
      <c r="BH37" s="188" t="str">
        <f t="shared" si="12"/>
        <v>2019/20</v>
      </c>
      <c r="BI37" s="188" t="str">
        <f t="shared" si="13"/>
        <v>URBAN</v>
      </c>
      <c r="BJ37" s="188" t="str">
        <f t="shared" si="14"/>
        <v>Local Streets</v>
      </c>
      <c r="BK37" s="188">
        <f t="shared" si="15"/>
        <v>931.05</v>
      </c>
      <c r="BL37" s="188">
        <f t="shared" si="16"/>
        <v>0.1956</v>
      </c>
      <c r="BM37" s="188">
        <f t="shared" si="17"/>
        <v>928.01</v>
      </c>
      <c r="BN37" s="188">
        <f t="shared" si="18"/>
        <v>3.04</v>
      </c>
      <c r="BO37" s="188">
        <f t="shared" si="19"/>
        <v>1818.04</v>
      </c>
      <c r="BP37" s="188">
        <f t="shared" si="20"/>
        <v>198.71</v>
      </c>
      <c r="BQ37" s="253" t="str">
        <f>INDEX(pMenus!$D$10:$D$23,MATCH(BJ37,pMenus!$B$10:$B$23,0))</f>
        <v>Rural Connectors</v>
      </c>
      <c r="BR37" s="226">
        <f t="shared" si="25"/>
        <v>299.44938444924736</v>
      </c>
      <c r="BS37" s="238">
        <f t="shared" si="26"/>
        <v>584.72795113485813</v>
      </c>
    </row>
    <row r="38" spans="1:71">
      <c r="A38" s="202"/>
      <c r="B38" s="210" t="str">
        <f t="shared" si="1"/>
        <v>Urban Connectors Local LTA Roads Bay of Plenty Region</v>
      </c>
      <c r="C38" s="193">
        <f t="shared" si="21"/>
        <v>12.899999999999999</v>
      </c>
      <c r="D38" s="193">
        <f t="shared" si="22"/>
        <v>22.25</v>
      </c>
      <c r="E38" s="194">
        <f t="shared" si="2"/>
        <v>4725.4964426038023</v>
      </c>
      <c r="F38" s="202"/>
      <c r="AA38" s="185" t="s">
        <v>412</v>
      </c>
      <c r="AB38" s="185" t="s">
        <v>419</v>
      </c>
      <c r="AC38" s="185" t="s">
        <v>401</v>
      </c>
      <c r="AD38" s="185" t="s">
        <v>331</v>
      </c>
      <c r="AE38" s="185" t="s">
        <v>407</v>
      </c>
      <c r="AF38" s="185" t="s">
        <v>409</v>
      </c>
      <c r="AG38" s="185">
        <v>7.08</v>
      </c>
      <c r="AH38" s="185">
        <v>1.5E-3</v>
      </c>
      <c r="AI38" s="185">
        <v>7.08</v>
      </c>
      <c r="AJ38" s="185">
        <v>0</v>
      </c>
      <c r="AK38" s="185">
        <v>13.28</v>
      </c>
      <c r="AL38" s="185">
        <v>23.14</v>
      </c>
      <c r="AM38" s="186">
        <v>40</v>
      </c>
      <c r="AN38" s="186" t="str">
        <f t="shared" si="3"/>
        <v>Bay of Plenty RegionMain Streets</v>
      </c>
      <c r="AO38" s="186">
        <f t="shared" si="4"/>
        <v>15</v>
      </c>
      <c r="AP38" s="187" t="s">
        <v>1105</v>
      </c>
      <c r="AQ38" s="187" t="str">
        <f t="shared" si="5"/>
        <v>Bay of Plenty Region</v>
      </c>
      <c r="AR38" s="187" t="str">
        <f t="shared" si="6"/>
        <v>Combined</v>
      </c>
      <c r="AS38" s="187" t="str">
        <f t="shared" si="7"/>
        <v>2019/20</v>
      </c>
      <c r="AT38" s="187" t="str">
        <f t="shared" si="8"/>
        <v>URBAN</v>
      </c>
      <c r="AU38" s="187" t="str">
        <f t="shared" si="9"/>
        <v>Main Streets</v>
      </c>
      <c r="AV38" s="187" cm="1">
        <f t="array" ref="AV38">IF($AO38=999,0,INDEX(AG$198:AG$313,$AO38))</f>
        <v>0.19</v>
      </c>
      <c r="AW38" s="187" cm="1">
        <f t="array" ref="AW38">IF($AO38=999,0,INDEX(AH$198:AH$313,$AO38))</f>
        <v>2.0000000000000001E-4</v>
      </c>
      <c r="AX38" s="187" cm="1">
        <f t="array" ref="AX38">IF($AO38=999,0,INDEX(AI$198:AI$313,$AO38))</f>
        <v>0.19</v>
      </c>
      <c r="AY38" s="187" cm="1">
        <f t="array" ref="AY38">IF($AO38=999,0,INDEX(AJ$198:AJ$313,$AO38))</f>
        <v>0</v>
      </c>
      <c r="AZ38" s="187" cm="1">
        <f t="array" ref="AZ38">IF($AO38=999,0,INDEX(AK$198:AK$313,$AO38))</f>
        <v>0.38</v>
      </c>
      <c r="BA38" s="187" cm="1">
        <f t="array" ref="BA38">IF($AO38=999,0,INDEX(AL$198:AL$313,$AO38))</f>
        <v>0.89</v>
      </c>
      <c r="BB38" s="252" t="str">
        <f>INDEX(pMenus!$C$10:$C$23,MATCH(AU38,pMenus!$B$10:$B$23,0))</f>
        <v>Urban Connectors</v>
      </c>
      <c r="BC38" s="221">
        <f t="shared" si="23"/>
        <v>6416.7267483777941</v>
      </c>
      <c r="BD38" s="237">
        <f t="shared" si="24"/>
        <v>12833.453496755588</v>
      </c>
      <c r="BE38" s="188" t="s">
        <v>591</v>
      </c>
      <c r="BF38" s="188" t="str">
        <f t="shared" si="10"/>
        <v>Bay of Plenty Region</v>
      </c>
      <c r="BG38" s="188" t="str">
        <f t="shared" si="11"/>
        <v>Combined</v>
      </c>
      <c r="BH38" s="188" t="str">
        <f t="shared" si="12"/>
        <v>2019/20</v>
      </c>
      <c r="BI38" s="188" t="str">
        <f t="shared" si="13"/>
        <v>URBAN</v>
      </c>
      <c r="BJ38" s="188" t="str">
        <f t="shared" si="14"/>
        <v>Main Streets</v>
      </c>
      <c r="BK38" s="188">
        <f t="shared" si="15"/>
        <v>6.89</v>
      </c>
      <c r="BL38" s="188">
        <f t="shared" si="16"/>
        <v>1.2999999999999999E-3</v>
      </c>
      <c r="BM38" s="188">
        <f t="shared" si="17"/>
        <v>6.89</v>
      </c>
      <c r="BN38" s="188">
        <f t="shared" si="18"/>
        <v>0</v>
      </c>
      <c r="BO38" s="188">
        <f t="shared" si="19"/>
        <v>12.899999999999999</v>
      </c>
      <c r="BP38" s="188">
        <f t="shared" si="20"/>
        <v>22.25</v>
      </c>
      <c r="BQ38" s="253" t="str">
        <f>INDEX(pMenus!$D$10:$D$23,MATCH(BJ38,pMenus!$B$10:$B$23,0))</f>
        <v>Urban Connectors</v>
      </c>
      <c r="BR38" s="226">
        <f t="shared" si="25"/>
        <v>4725.4964426038023</v>
      </c>
      <c r="BS38" s="238">
        <f t="shared" si="26"/>
        <v>8847.4461697516763</v>
      </c>
    </row>
    <row r="39" spans="1:71">
      <c r="A39" s="202"/>
      <c r="B39" s="210" t="str">
        <f t="shared" si="1"/>
        <v>Urban Connectors Local LTA Roads Bay of Plenty Region</v>
      </c>
      <c r="C39" s="193">
        <f t="shared" si="21"/>
        <v>6.5700000000000074</v>
      </c>
      <c r="D39" s="193">
        <f t="shared" si="22"/>
        <v>12.280000000000001</v>
      </c>
      <c r="E39" s="194">
        <f t="shared" si="2"/>
        <v>5120.8273388795014</v>
      </c>
      <c r="F39" s="202"/>
      <c r="AA39" s="185" t="s">
        <v>412</v>
      </c>
      <c r="AB39" s="185" t="s">
        <v>419</v>
      </c>
      <c r="AC39" s="185" t="s">
        <v>401</v>
      </c>
      <c r="AD39" s="185" t="s">
        <v>331</v>
      </c>
      <c r="AE39" s="185" t="s">
        <v>407</v>
      </c>
      <c r="AF39" s="185" t="s">
        <v>410</v>
      </c>
      <c r="AG39" s="185">
        <v>38.479999999999997</v>
      </c>
      <c r="AH39" s="185">
        <v>8.0999999999999996E-3</v>
      </c>
      <c r="AI39" s="185">
        <v>38.479999999999997</v>
      </c>
      <c r="AJ39" s="185">
        <v>0</v>
      </c>
      <c r="AK39" s="185">
        <v>79.14</v>
      </c>
      <c r="AL39" s="185">
        <v>237.25</v>
      </c>
      <c r="AM39" s="186">
        <v>41</v>
      </c>
      <c r="AN39" s="186" t="str">
        <f t="shared" si="3"/>
        <v>Bay of Plenty RegionTransit Corridors</v>
      </c>
      <c r="AO39" s="186">
        <f t="shared" si="4"/>
        <v>16</v>
      </c>
      <c r="AP39" s="187" t="s">
        <v>1105</v>
      </c>
      <c r="AQ39" s="187" t="str">
        <f t="shared" si="5"/>
        <v>Bay of Plenty Region</v>
      </c>
      <c r="AR39" s="187" t="str">
        <f t="shared" si="6"/>
        <v>Combined</v>
      </c>
      <c r="AS39" s="187" t="str">
        <f t="shared" si="7"/>
        <v>2019/20</v>
      </c>
      <c r="AT39" s="187" t="str">
        <f t="shared" si="8"/>
        <v>URBAN</v>
      </c>
      <c r="AU39" s="187" t="str">
        <f t="shared" si="9"/>
        <v>Transit Corridors</v>
      </c>
      <c r="AV39" s="187" cm="1">
        <f t="array" ref="AV39">IF($AO39=999,0,INDEX(AG$198:AG$313,$AO39))</f>
        <v>36.32</v>
      </c>
      <c r="AW39" s="187" cm="1">
        <f t="array" ref="AW39">IF($AO39=999,0,INDEX(AH$198:AH$313,$AO39))</f>
        <v>4.48E-2</v>
      </c>
      <c r="AX39" s="187" cm="1">
        <f t="array" ref="AX39">IF($AO39=999,0,INDEX(AI$198:AI$313,$AO39))</f>
        <v>36.32</v>
      </c>
      <c r="AY39" s="187" cm="1">
        <f t="array" ref="AY39">IF($AO39=999,0,INDEX(AJ$198:AJ$313,$AO39))</f>
        <v>0</v>
      </c>
      <c r="AZ39" s="187" cm="1">
        <f t="array" ref="AZ39">IF($AO39=999,0,INDEX(AK$198:AK$313,$AO39))</f>
        <v>72.569999999999993</v>
      </c>
      <c r="BA39" s="187" cm="1">
        <f t="array" ref="BA39">IF($AO39=999,0,INDEX(AL$198:AL$313,$AO39))</f>
        <v>224.97</v>
      </c>
      <c r="BB39" s="252" t="str">
        <f>INDEX(pMenus!$C$10:$C$23,MATCH(AU39,pMenus!$B$10:$B$23,0))</f>
        <v>Transit Corridors</v>
      </c>
      <c r="BC39" s="221">
        <f t="shared" si="23"/>
        <v>8493.263943551905</v>
      </c>
      <c r="BD39" s="237">
        <f t="shared" si="24"/>
        <v>16970.158711001146</v>
      </c>
      <c r="BE39" s="188" t="s">
        <v>591</v>
      </c>
      <c r="BF39" s="188" t="str">
        <f t="shared" si="10"/>
        <v>Bay of Plenty Region</v>
      </c>
      <c r="BG39" s="188" t="str">
        <f t="shared" si="11"/>
        <v>Combined</v>
      </c>
      <c r="BH39" s="188" t="str">
        <f t="shared" si="12"/>
        <v>2019/20</v>
      </c>
      <c r="BI39" s="188" t="str">
        <f t="shared" si="13"/>
        <v>URBAN</v>
      </c>
      <c r="BJ39" s="188" t="str">
        <f t="shared" si="14"/>
        <v>Transit Corridors</v>
      </c>
      <c r="BK39" s="188">
        <f t="shared" si="15"/>
        <v>2.1599999999999966</v>
      </c>
      <c r="BL39" s="188">
        <f t="shared" si="16"/>
        <v>-3.6699999999999997E-2</v>
      </c>
      <c r="BM39" s="188">
        <f t="shared" si="17"/>
        <v>2.1599999999999966</v>
      </c>
      <c r="BN39" s="188">
        <f t="shared" si="18"/>
        <v>0</v>
      </c>
      <c r="BO39" s="188">
        <f t="shared" si="19"/>
        <v>6.5700000000000074</v>
      </c>
      <c r="BP39" s="188">
        <f t="shared" si="20"/>
        <v>12.280000000000001</v>
      </c>
      <c r="BQ39" s="253" t="str">
        <f>INDEX(pMenus!$D$10:$D$23,MATCH(BJ39,pMenus!$B$10:$B$23,0))</f>
        <v>Urban Connectors</v>
      </c>
      <c r="BR39" s="226">
        <f t="shared" si="25"/>
        <v>5120.8273388795014</v>
      </c>
      <c r="BS39" s="238">
        <f t="shared" si="26"/>
        <v>15575.849822425193</v>
      </c>
    </row>
    <row r="40" spans="1:71">
      <c r="A40" s="202"/>
      <c r="B40" s="210" t="str">
        <f t="shared" si="1"/>
        <v>Urban Connectors Local LTA Roads Bay of Plenty Region</v>
      </c>
      <c r="C40" s="193">
        <f t="shared" si="21"/>
        <v>398.50999999999993</v>
      </c>
      <c r="D40" s="193">
        <f t="shared" si="22"/>
        <v>509.34</v>
      </c>
      <c r="E40" s="194">
        <f t="shared" si="2"/>
        <v>3501.6738721600982</v>
      </c>
      <c r="F40" s="202"/>
      <c r="AA40" s="185" t="s">
        <v>412</v>
      </c>
      <c r="AB40" s="185" t="s">
        <v>419</v>
      </c>
      <c r="AC40" s="185" t="s">
        <v>401</v>
      </c>
      <c r="AD40" s="185" t="s">
        <v>331</v>
      </c>
      <c r="AE40" s="185" t="s">
        <v>407</v>
      </c>
      <c r="AF40" s="185" t="s">
        <v>411</v>
      </c>
      <c r="AG40" s="185">
        <v>279.02</v>
      </c>
      <c r="AH40" s="185">
        <v>5.8599999999999999E-2</v>
      </c>
      <c r="AI40" s="185">
        <v>279.02</v>
      </c>
      <c r="AJ40" s="185">
        <v>0</v>
      </c>
      <c r="AK40" s="185">
        <v>569.55999999999995</v>
      </c>
      <c r="AL40" s="185">
        <v>844.76</v>
      </c>
      <c r="AM40" s="186">
        <v>42</v>
      </c>
      <c r="AN40" s="186" t="str">
        <f t="shared" si="3"/>
        <v>Bay of Plenty RegionUrban Connectors</v>
      </c>
      <c r="AO40" s="186">
        <f t="shared" si="4"/>
        <v>17</v>
      </c>
      <c r="AP40" s="187" t="s">
        <v>1105</v>
      </c>
      <c r="AQ40" s="187" t="str">
        <f t="shared" si="5"/>
        <v>Bay of Plenty Region</v>
      </c>
      <c r="AR40" s="187" t="str">
        <f t="shared" si="6"/>
        <v>Combined</v>
      </c>
      <c r="AS40" s="187" t="str">
        <f t="shared" si="7"/>
        <v>2019/20</v>
      </c>
      <c r="AT40" s="187" t="str">
        <f t="shared" si="8"/>
        <v>URBAN</v>
      </c>
      <c r="AU40" s="187" t="str">
        <f t="shared" si="9"/>
        <v>Urban Connectors</v>
      </c>
      <c r="AV40" s="187" cm="1">
        <f t="array" ref="AV40">IF($AO40=999,0,INDEX(AG$198:AG$313,$AO40))</f>
        <v>79.290000000000006</v>
      </c>
      <c r="AW40" s="187" cm="1">
        <f t="array" ref="AW40">IF($AO40=999,0,INDEX(AH$198:AH$313,$AO40))</f>
        <v>9.7799999999999998E-2</v>
      </c>
      <c r="AX40" s="187" cm="1">
        <f t="array" ref="AX40">IF($AO40=999,0,INDEX(AI$198:AI$313,$AO40))</f>
        <v>79.290000000000006</v>
      </c>
      <c r="AY40" s="187" cm="1">
        <f t="array" ref="AY40">IF($AO40=999,0,INDEX(AJ$198:AJ$313,$AO40))</f>
        <v>0</v>
      </c>
      <c r="AZ40" s="187" cm="1">
        <f t="array" ref="AZ40">IF($AO40=999,0,INDEX(AK$198:AK$313,$AO40))</f>
        <v>171.05</v>
      </c>
      <c r="BA40" s="187" cm="1">
        <f t="array" ref="BA40">IF($AO40=999,0,INDEX(AL$198:AL$313,$AO40))</f>
        <v>335.42</v>
      </c>
      <c r="BB40" s="252" t="str">
        <f>INDEX(pMenus!$C$10:$C$23,MATCH(AU40,pMenus!$B$10:$B$23,0))</f>
        <v>Urban Connectors</v>
      </c>
      <c r="BC40" s="221">
        <f t="shared" si="23"/>
        <v>5372.4577849142888</v>
      </c>
      <c r="BD40" s="237">
        <f t="shared" si="24"/>
        <v>11589.846186273036</v>
      </c>
      <c r="BE40" s="188" t="s">
        <v>591</v>
      </c>
      <c r="BF40" s="188" t="str">
        <f t="shared" si="10"/>
        <v>Bay of Plenty Region</v>
      </c>
      <c r="BG40" s="188" t="str">
        <f t="shared" si="11"/>
        <v>Combined</v>
      </c>
      <c r="BH40" s="188" t="str">
        <f t="shared" si="12"/>
        <v>2019/20</v>
      </c>
      <c r="BI40" s="188" t="str">
        <f t="shared" si="13"/>
        <v>URBAN</v>
      </c>
      <c r="BJ40" s="188" t="str">
        <f t="shared" si="14"/>
        <v>Urban Connectors</v>
      </c>
      <c r="BK40" s="188">
        <f t="shared" si="15"/>
        <v>199.72999999999996</v>
      </c>
      <c r="BL40" s="188">
        <f t="shared" si="16"/>
        <v>-3.9199999999999999E-2</v>
      </c>
      <c r="BM40" s="188">
        <f t="shared" si="17"/>
        <v>199.72999999999996</v>
      </c>
      <c r="BN40" s="188">
        <f t="shared" si="18"/>
        <v>0</v>
      </c>
      <c r="BO40" s="188">
        <f t="shared" si="19"/>
        <v>398.50999999999993</v>
      </c>
      <c r="BP40" s="188">
        <f t="shared" si="20"/>
        <v>509.34</v>
      </c>
      <c r="BQ40" s="253" t="str">
        <f>INDEX(pMenus!$D$10:$D$23,MATCH(BJ40,pMenus!$B$10:$B$23,0))</f>
        <v>Urban Connectors</v>
      </c>
      <c r="BR40" s="226">
        <f t="shared" si="25"/>
        <v>3501.6738721600982</v>
      </c>
      <c r="BS40" s="238">
        <f t="shared" si="26"/>
        <v>6986.6923085891995</v>
      </c>
    </row>
    <row r="41" spans="1:71">
      <c r="A41" s="202"/>
      <c r="B41" s="210" t="str">
        <f t="shared" si="1"/>
        <v>NA Local LTA Roads Canterbury Region</v>
      </c>
      <c r="C41" s="193">
        <f t="shared" si="21"/>
        <v>508.19000000000005</v>
      </c>
      <c r="D41" s="193">
        <f t="shared" si="22"/>
        <v>87.149999999999977</v>
      </c>
      <c r="E41" s="194">
        <f t="shared" si="2"/>
        <v>469.83829529835526</v>
      </c>
      <c r="F41" s="202"/>
      <c r="AA41" s="185" t="s">
        <v>412</v>
      </c>
      <c r="AB41" s="185" t="s">
        <v>420</v>
      </c>
      <c r="AC41" s="185" t="s">
        <v>401</v>
      </c>
      <c r="AD41" s="185" t="s">
        <v>331</v>
      </c>
      <c r="AE41" s="185"/>
      <c r="AF41" s="185" t="s">
        <v>402</v>
      </c>
      <c r="AG41" s="185">
        <v>371.81</v>
      </c>
      <c r="AH41" s="185">
        <v>2.3E-2</v>
      </c>
      <c r="AI41" s="185">
        <v>156.87</v>
      </c>
      <c r="AJ41" s="185">
        <v>214.94</v>
      </c>
      <c r="AK41" s="185">
        <v>575.32000000000005</v>
      </c>
      <c r="AL41" s="185">
        <v>268.95</v>
      </c>
      <c r="AM41" s="186">
        <v>52</v>
      </c>
      <c r="AN41" s="186" t="str">
        <f t="shared" si="3"/>
        <v>Canterbury RegionUnclassified</v>
      </c>
      <c r="AO41" s="186">
        <f t="shared" si="4"/>
        <v>18</v>
      </c>
      <c r="AP41" s="187" t="s">
        <v>1105</v>
      </c>
      <c r="AQ41" s="187" t="str">
        <f t="shared" si="5"/>
        <v>Canterbury Region</v>
      </c>
      <c r="AR41" s="187" t="str">
        <f t="shared" si="6"/>
        <v>Combined</v>
      </c>
      <c r="AS41" s="187" t="str">
        <f t="shared" si="7"/>
        <v>2019/20</v>
      </c>
      <c r="AT41" s="187">
        <f t="shared" si="8"/>
        <v>0</v>
      </c>
      <c r="AU41" s="187" t="str">
        <f t="shared" si="9"/>
        <v>Unclassified</v>
      </c>
      <c r="AV41" s="187" cm="1">
        <f t="array" ref="AV41">IF($AO41=999,0,INDEX(AG$198:AG$313,$AO41))</f>
        <v>32.82</v>
      </c>
      <c r="AW41" s="187" cm="1">
        <f t="array" ref="AW41">IF($AO41=999,0,INDEX(AH$198:AH$313,$AO41))</f>
        <v>2.35E-2</v>
      </c>
      <c r="AX41" s="187" cm="1">
        <f t="array" ref="AX41">IF($AO41=999,0,INDEX(AI$198:AI$313,$AO41))</f>
        <v>32.82</v>
      </c>
      <c r="AY41" s="187" cm="1">
        <f t="array" ref="AY41">IF($AO41=999,0,INDEX(AJ$198:AJ$313,$AO41))</f>
        <v>0</v>
      </c>
      <c r="AZ41" s="187" cm="1">
        <f t="array" ref="AZ41">IF($AO41=999,0,INDEX(AK$198:AK$313,$AO41))</f>
        <v>67.13</v>
      </c>
      <c r="BA41" s="187" cm="1">
        <f t="array" ref="BA41">IF($AO41=999,0,INDEX(AL$198:AL$313,$AO41))</f>
        <v>181.8</v>
      </c>
      <c r="BB41" s="252" t="str">
        <f>INDEX(pMenus!$C$10:$C$23,MATCH(AU41,pMenus!$B$10:$B$23,0))</f>
        <v>NA</v>
      </c>
      <c r="BC41" s="221">
        <f t="shared" si="23"/>
        <v>7419.6661966456431</v>
      </c>
      <c r="BD41" s="237">
        <f t="shared" si="24"/>
        <v>15176.178908617367</v>
      </c>
      <c r="BE41" s="188" t="s">
        <v>591</v>
      </c>
      <c r="BF41" s="188" t="str">
        <f t="shared" si="10"/>
        <v>Canterbury Region</v>
      </c>
      <c r="BG41" s="188" t="str">
        <f t="shared" si="11"/>
        <v>Combined</v>
      </c>
      <c r="BH41" s="188" t="str">
        <f t="shared" si="12"/>
        <v>2019/20</v>
      </c>
      <c r="BI41" s="188">
        <f t="shared" si="13"/>
        <v>0</v>
      </c>
      <c r="BJ41" s="188" t="str">
        <f t="shared" si="14"/>
        <v>Unclassified</v>
      </c>
      <c r="BK41" s="188">
        <f t="shared" si="15"/>
        <v>338.99</v>
      </c>
      <c r="BL41" s="188">
        <f t="shared" si="16"/>
        <v>-5.0000000000000044E-4</v>
      </c>
      <c r="BM41" s="188">
        <f t="shared" si="17"/>
        <v>124.05000000000001</v>
      </c>
      <c r="BN41" s="188">
        <f t="shared" si="18"/>
        <v>214.94</v>
      </c>
      <c r="BO41" s="188">
        <f t="shared" si="19"/>
        <v>508.19000000000005</v>
      </c>
      <c r="BP41" s="188">
        <f t="shared" si="20"/>
        <v>87.149999999999977</v>
      </c>
      <c r="BQ41" s="253" t="str">
        <f>INDEX(pMenus!$D$10:$D$23,MATCH(BJ41,pMenus!$B$10:$B$23,0))</f>
        <v>NA</v>
      </c>
      <c r="BR41" s="226">
        <f t="shared" si="25"/>
        <v>469.83829529835526</v>
      </c>
      <c r="BS41" s="238">
        <f t="shared" si="26"/>
        <v>704.34857455285157</v>
      </c>
    </row>
    <row r="42" spans="1:71">
      <c r="A42" s="202"/>
      <c r="B42" s="210" t="str">
        <f t="shared" si="1"/>
        <v>Interregional Connectors Local LTA Roads Canterbury Region</v>
      </c>
      <c r="C42" s="193">
        <f t="shared" si="21"/>
        <v>0.36999999999989086</v>
      </c>
      <c r="D42" s="193">
        <f t="shared" si="22"/>
        <v>0.35000000000013642</v>
      </c>
      <c r="E42" s="194">
        <f t="shared" si="2"/>
        <v>2591.6327286208043</v>
      </c>
      <c r="F42" s="202"/>
      <c r="AA42" s="185" t="s">
        <v>412</v>
      </c>
      <c r="AB42" s="185" t="s">
        <v>420</v>
      </c>
      <c r="AC42" s="185" t="s">
        <v>401</v>
      </c>
      <c r="AD42" s="185" t="s">
        <v>331</v>
      </c>
      <c r="AE42" s="185" t="s">
        <v>403</v>
      </c>
      <c r="AF42" s="185" t="s">
        <v>404</v>
      </c>
      <c r="AG42" s="185">
        <v>568.72</v>
      </c>
      <c r="AH42" s="185">
        <v>3.5099999999999999E-2</v>
      </c>
      <c r="AI42" s="185">
        <v>568.72</v>
      </c>
      <c r="AJ42" s="185">
        <v>0</v>
      </c>
      <c r="AK42" s="185">
        <v>1191.1199999999999</v>
      </c>
      <c r="AL42" s="185">
        <v>1365.18</v>
      </c>
      <c r="AM42" s="186">
        <v>53</v>
      </c>
      <c r="AN42" s="186" t="str">
        <f t="shared" si="3"/>
        <v>Canterbury RegionInterregional Connectors</v>
      </c>
      <c r="AO42" s="186">
        <f t="shared" si="4"/>
        <v>19</v>
      </c>
      <c r="AP42" s="187" t="s">
        <v>1105</v>
      </c>
      <c r="AQ42" s="187" t="str">
        <f t="shared" si="5"/>
        <v>Canterbury Region</v>
      </c>
      <c r="AR42" s="187" t="str">
        <f t="shared" si="6"/>
        <v>Combined</v>
      </c>
      <c r="AS42" s="187" t="str">
        <f t="shared" si="7"/>
        <v>2019/20</v>
      </c>
      <c r="AT42" s="187" t="str">
        <f t="shared" si="8"/>
        <v>RURAL</v>
      </c>
      <c r="AU42" s="187" t="str">
        <f t="shared" si="9"/>
        <v>Interregional Connectors</v>
      </c>
      <c r="AV42" s="187" cm="1">
        <f t="array" ref="AV42">IF($AO42=999,0,INDEX(AG$198:AG$313,$AO42))</f>
        <v>568.54</v>
      </c>
      <c r="AW42" s="187" cm="1">
        <f t="array" ref="AW42">IF($AO42=999,0,INDEX(AH$198:AH$313,$AO42))</f>
        <v>0.40689999999999998</v>
      </c>
      <c r="AX42" s="187" cm="1">
        <f t="array" ref="AX42">IF($AO42=999,0,INDEX(AI$198:AI$313,$AO42))</f>
        <v>568.54</v>
      </c>
      <c r="AY42" s="187" cm="1">
        <f t="array" ref="AY42">IF($AO42=999,0,INDEX(AJ$198:AJ$313,$AO42))</f>
        <v>0</v>
      </c>
      <c r="AZ42" s="187" cm="1">
        <f t="array" ref="AZ42">IF($AO42=999,0,INDEX(AK$198:AK$313,$AO42))</f>
        <v>1190.75</v>
      </c>
      <c r="BA42" s="187" cm="1">
        <f t="array" ref="BA42">IF($AO42=999,0,INDEX(AL$198:AL$313,$AO42))</f>
        <v>1364.83</v>
      </c>
      <c r="BB42" s="252" t="str">
        <f>INDEX(pMenus!$C$10:$C$23,MATCH(AU42,pMenus!$B$10:$B$23,0))</f>
        <v>Interregional Connectors</v>
      </c>
      <c r="BC42" s="221">
        <f t="shared" si="23"/>
        <v>3140.2563711716161</v>
      </c>
      <c r="BD42" s="237">
        <f t="shared" si="24"/>
        <v>6576.951971668841</v>
      </c>
      <c r="BE42" s="188" t="s">
        <v>591</v>
      </c>
      <c r="BF42" s="188" t="str">
        <f t="shared" si="10"/>
        <v>Canterbury Region</v>
      </c>
      <c r="BG42" s="188" t="str">
        <f t="shared" si="11"/>
        <v>Combined</v>
      </c>
      <c r="BH42" s="188" t="str">
        <f t="shared" si="12"/>
        <v>2019/20</v>
      </c>
      <c r="BI42" s="188" t="str">
        <f t="shared" si="13"/>
        <v>RURAL</v>
      </c>
      <c r="BJ42" s="188" t="str">
        <f t="shared" si="14"/>
        <v>Interregional Connectors</v>
      </c>
      <c r="BK42" s="188">
        <f t="shared" si="15"/>
        <v>0.18000000000006366</v>
      </c>
      <c r="BL42" s="188">
        <f t="shared" si="16"/>
        <v>-0.37179999999999996</v>
      </c>
      <c r="BM42" s="188">
        <f t="shared" si="17"/>
        <v>0.18000000000006366</v>
      </c>
      <c r="BN42" s="188">
        <f t="shared" si="18"/>
        <v>0</v>
      </c>
      <c r="BO42" s="188">
        <f t="shared" si="19"/>
        <v>0.36999999999989086</v>
      </c>
      <c r="BP42" s="188">
        <f t="shared" si="20"/>
        <v>0.35000000000013642</v>
      </c>
      <c r="BQ42" s="253" t="str">
        <f>INDEX(pMenus!$D$10:$D$23,MATCH(BJ42,pMenus!$B$10:$B$23,0))</f>
        <v>Interregional Connectors</v>
      </c>
      <c r="BR42" s="226">
        <f t="shared" si="25"/>
        <v>2591.6327286208043</v>
      </c>
      <c r="BS42" s="238">
        <f t="shared" si="26"/>
        <v>5327.2450532726425</v>
      </c>
    </row>
    <row r="43" spans="1:71">
      <c r="A43" s="202"/>
      <c r="B43" s="210" t="str">
        <f t="shared" si="1"/>
        <v>Rural Connectors Local LTA Roads Canterbury Region</v>
      </c>
      <c r="C43" s="193">
        <f t="shared" si="21"/>
        <v>759.49</v>
      </c>
      <c r="D43" s="193">
        <f t="shared" si="22"/>
        <v>193.44</v>
      </c>
      <c r="E43" s="194">
        <f t="shared" si="2"/>
        <v>697.80063297703191</v>
      </c>
      <c r="F43" s="202"/>
      <c r="AA43" s="185" t="s">
        <v>412</v>
      </c>
      <c r="AB43" s="185" t="s">
        <v>420</v>
      </c>
      <c r="AC43" s="185" t="s">
        <v>401</v>
      </c>
      <c r="AD43" s="185" t="s">
        <v>331</v>
      </c>
      <c r="AE43" s="185" t="s">
        <v>403</v>
      </c>
      <c r="AF43" s="185" t="s">
        <v>405</v>
      </c>
      <c r="AG43" s="185">
        <v>409.18</v>
      </c>
      <c r="AH43" s="185">
        <v>2.53E-2</v>
      </c>
      <c r="AI43" s="185">
        <v>375.69</v>
      </c>
      <c r="AJ43" s="185">
        <v>33.49</v>
      </c>
      <c r="AK43" s="185">
        <v>770.65</v>
      </c>
      <c r="AL43" s="185">
        <v>199.13</v>
      </c>
      <c r="AM43" s="186">
        <v>54</v>
      </c>
      <c r="AN43" s="186" t="str">
        <f t="shared" si="3"/>
        <v>Canterbury RegionPeri-urban Roads</v>
      </c>
      <c r="AO43" s="186">
        <f t="shared" si="4"/>
        <v>20</v>
      </c>
      <c r="AP43" s="187" t="s">
        <v>1105</v>
      </c>
      <c r="AQ43" s="187" t="str">
        <f t="shared" si="5"/>
        <v>Canterbury Region</v>
      </c>
      <c r="AR43" s="187" t="str">
        <f t="shared" si="6"/>
        <v>Combined</v>
      </c>
      <c r="AS43" s="187" t="str">
        <f t="shared" si="7"/>
        <v>2019/20</v>
      </c>
      <c r="AT43" s="187" t="str">
        <f t="shared" si="8"/>
        <v>RURAL</v>
      </c>
      <c r="AU43" s="187" t="str">
        <f t="shared" si="9"/>
        <v>Peri-urban Roads</v>
      </c>
      <c r="AV43" s="187" cm="1">
        <f t="array" ref="AV43">IF($AO43=999,0,INDEX(AG$198:AG$313,$AO43))</f>
        <v>5.58</v>
      </c>
      <c r="AW43" s="187" cm="1">
        <f t="array" ref="AW43">IF($AO43=999,0,INDEX(AH$198:AH$313,$AO43))</f>
        <v>4.0000000000000001E-3</v>
      </c>
      <c r="AX43" s="187" cm="1">
        <f t="array" ref="AX43">IF($AO43=999,0,INDEX(AI$198:AI$313,$AO43))</f>
        <v>5.58</v>
      </c>
      <c r="AY43" s="187" cm="1">
        <f t="array" ref="AY43">IF($AO43=999,0,INDEX(AJ$198:AJ$313,$AO43))</f>
        <v>0</v>
      </c>
      <c r="AZ43" s="187" cm="1">
        <f t="array" ref="AZ43">IF($AO43=999,0,INDEX(AK$198:AK$313,$AO43))</f>
        <v>11.16</v>
      </c>
      <c r="BA43" s="187" cm="1">
        <f t="array" ref="BA43">IF($AO43=999,0,INDEX(AL$198:AL$313,$AO43))</f>
        <v>5.69</v>
      </c>
      <c r="BB43" s="252" t="str">
        <f>INDEX(pMenus!$C$10:$C$23,MATCH(AU43,pMenus!$B$10:$B$23,0))</f>
        <v>Interregional Connectors</v>
      </c>
      <c r="BC43" s="221">
        <f t="shared" si="23"/>
        <v>1396.8674817106105</v>
      </c>
      <c r="BD43" s="237">
        <f t="shared" si="24"/>
        <v>2793.734963421221</v>
      </c>
      <c r="BE43" s="188" t="s">
        <v>591</v>
      </c>
      <c r="BF43" s="188" t="str">
        <f t="shared" si="10"/>
        <v>Canterbury Region</v>
      </c>
      <c r="BG43" s="188" t="str">
        <f t="shared" si="11"/>
        <v>Combined</v>
      </c>
      <c r="BH43" s="188" t="str">
        <f t="shared" si="12"/>
        <v>2019/20</v>
      </c>
      <c r="BI43" s="188" t="str">
        <f t="shared" si="13"/>
        <v>RURAL</v>
      </c>
      <c r="BJ43" s="188" t="str">
        <f t="shared" si="14"/>
        <v>Peri-urban Roads</v>
      </c>
      <c r="BK43" s="188">
        <f t="shared" si="15"/>
        <v>403.6</v>
      </c>
      <c r="BL43" s="188">
        <f t="shared" si="16"/>
        <v>2.1299999999999999E-2</v>
      </c>
      <c r="BM43" s="188">
        <f t="shared" si="17"/>
        <v>370.11</v>
      </c>
      <c r="BN43" s="188">
        <f t="shared" si="18"/>
        <v>33.49</v>
      </c>
      <c r="BO43" s="188">
        <f t="shared" si="19"/>
        <v>759.49</v>
      </c>
      <c r="BP43" s="188">
        <f t="shared" si="20"/>
        <v>193.44</v>
      </c>
      <c r="BQ43" s="253" t="str">
        <f>INDEX(pMenus!$D$10:$D$23,MATCH(BJ43,pMenus!$B$10:$B$23,0))</f>
        <v>Rural Connectors</v>
      </c>
      <c r="BR43" s="226">
        <f t="shared" si="25"/>
        <v>697.80063297703191</v>
      </c>
      <c r="BS43" s="238">
        <f t="shared" si="26"/>
        <v>1313.113485479995</v>
      </c>
    </row>
    <row r="44" spans="1:71">
      <c r="A44" s="202"/>
      <c r="B44" s="210" t="str">
        <f t="shared" si="1"/>
        <v>Rural Connectors Local LTA Roads Canterbury Region</v>
      </c>
      <c r="C44" s="193">
        <f t="shared" si="21"/>
        <v>5303.2800000000007</v>
      </c>
      <c r="D44" s="193">
        <f t="shared" si="22"/>
        <v>876.19</v>
      </c>
      <c r="E44" s="194">
        <f t="shared" si="2"/>
        <v>452.64827577371091</v>
      </c>
      <c r="F44" s="202"/>
      <c r="AA44" s="185" t="s">
        <v>412</v>
      </c>
      <c r="AB44" s="185" t="s">
        <v>420</v>
      </c>
      <c r="AC44" s="185" t="s">
        <v>401</v>
      </c>
      <c r="AD44" s="185" t="s">
        <v>331</v>
      </c>
      <c r="AE44" s="185" t="s">
        <v>403</v>
      </c>
      <c r="AF44" s="185" t="s">
        <v>406</v>
      </c>
      <c r="AG44" s="185">
        <v>3279.31</v>
      </c>
      <c r="AH44" s="185">
        <v>0.2026</v>
      </c>
      <c r="AI44" s="185">
        <v>3033.72</v>
      </c>
      <c r="AJ44" s="185">
        <v>245.59</v>
      </c>
      <c r="AK44" s="185">
        <v>6547.18</v>
      </c>
      <c r="AL44" s="185">
        <v>1429.48</v>
      </c>
      <c r="AM44" s="186">
        <v>55</v>
      </c>
      <c r="AN44" s="186" t="str">
        <f t="shared" si="3"/>
        <v>Canterbury RegionRural Connectors</v>
      </c>
      <c r="AO44" s="186">
        <f t="shared" si="4"/>
        <v>21</v>
      </c>
      <c r="AP44" s="187" t="s">
        <v>1105</v>
      </c>
      <c r="AQ44" s="187" t="str">
        <f t="shared" si="5"/>
        <v>Canterbury Region</v>
      </c>
      <c r="AR44" s="187" t="str">
        <f t="shared" si="6"/>
        <v>Combined</v>
      </c>
      <c r="AS44" s="187" t="str">
        <f t="shared" si="7"/>
        <v>2019/20</v>
      </c>
      <c r="AT44" s="187" t="str">
        <f t="shared" si="8"/>
        <v>RURAL</v>
      </c>
      <c r="AU44" s="187" t="str">
        <f t="shared" si="9"/>
        <v>Rural Connectors</v>
      </c>
      <c r="AV44" s="187" cm="1">
        <f t="array" ref="AV44">IF($AO44=999,0,INDEX(AG$198:AG$313,$AO44))</f>
        <v>621.92999999999995</v>
      </c>
      <c r="AW44" s="187" cm="1">
        <f t="array" ref="AW44">IF($AO44=999,0,INDEX(AH$198:AH$313,$AO44))</f>
        <v>0.4451</v>
      </c>
      <c r="AX44" s="187" cm="1">
        <f t="array" ref="AX44">IF($AO44=999,0,INDEX(AI$198:AI$313,$AO44))</f>
        <v>621.92999999999995</v>
      </c>
      <c r="AY44" s="187" cm="1">
        <f t="array" ref="AY44">IF($AO44=999,0,INDEX(AJ$198:AJ$313,$AO44))</f>
        <v>0</v>
      </c>
      <c r="AZ44" s="187" cm="1">
        <f t="array" ref="AZ44">IF($AO44=999,0,INDEX(AK$198:AK$313,$AO44))</f>
        <v>1243.9000000000001</v>
      </c>
      <c r="BA44" s="187" cm="1">
        <f t="array" ref="BA44">IF($AO44=999,0,INDEX(AL$198:AL$313,$AO44))</f>
        <v>553.29</v>
      </c>
      <c r="BB44" s="252" t="str">
        <f>INDEX(pMenus!$C$10:$C$23,MATCH(AU44,pMenus!$B$10:$B$23,0))</f>
        <v>Rural Connectors</v>
      </c>
      <c r="BC44" s="221">
        <f t="shared" si="23"/>
        <v>1218.63736128196</v>
      </c>
      <c r="BD44" s="237">
        <f t="shared" si="24"/>
        <v>2437.3531003467115</v>
      </c>
      <c r="BE44" s="188" t="s">
        <v>591</v>
      </c>
      <c r="BF44" s="188" t="str">
        <f t="shared" si="10"/>
        <v>Canterbury Region</v>
      </c>
      <c r="BG44" s="188" t="str">
        <f t="shared" si="11"/>
        <v>Combined</v>
      </c>
      <c r="BH44" s="188" t="str">
        <f t="shared" si="12"/>
        <v>2019/20</v>
      </c>
      <c r="BI44" s="188" t="str">
        <f t="shared" si="13"/>
        <v>RURAL</v>
      </c>
      <c r="BJ44" s="188" t="str">
        <f t="shared" si="14"/>
        <v>Rural Connectors</v>
      </c>
      <c r="BK44" s="188">
        <f t="shared" si="15"/>
        <v>2657.38</v>
      </c>
      <c r="BL44" s="188">
        <f t="shared" si="16"/>
        <v>-0.24249999999999999</v>
      </c>
      <c r="BM44" s="188">
        <f t="shared" si="17"/>
        <v>2411.79</v>
      </c>
      <c r="BN44" s="188">
        <f t="shared" si="18"/>
        <v>245.59</v>
      </c>
      <c r="BO44" s="188">
        <f t="shared" si="19"/>
        <v>5303.2800000000007</v>
      </c>
      <c r="BP44" s="188">
        <f t="shared" si="20"/>
        <v>876.19</v>
      </c>
      <c r="BQ44" s="253" t="str">
        <f>INDEX(pMenus!$D$10:$D$23,MATCH(BJ44,pMenus!$B$10:$B$23,0))</f>
        <v>Rural Connectors</v>
      </c>
      <c r="BR44" s="226">
        <f t="shared" si="25"/>
        <v>452.64827577371091</v>
      </c>
      <c r="BS44" s="238">
        <f t="shared" si="26"/>
        <v>903.34109082826149</v>
      </c>
    </row>
    <row r="45" spans="1:71">
      <c r="A45" s="202"/>
      <c r="B45" s="210" t="str">
        <f t="shared" si="1"/>
        <v>Rural Connectors Local LTA Roads Canterbury Region</v>
      </c>
      <c r="C45" s="193">
        <f t="shared" si="21"/>
        <v>14862.59</v>
      </c>
      <c r="D45" s="193">
        <f t="shared" si="22"/>
        <v>256.07</v>
      </c>
      <c r="E45" s="194">
        <f t="shared" si="2"/>
        <v>47.203188935146329</v>
      </c>
      <c r="F45" s="202"/>
      <c r="AA45" s="185" t="s">
        <v>412</v>
      </c>
      <c r="AB45" s="185" t="s">
        <v>420</v>
      </c>
      <c r="AC45" s="185" t="s">
        <v>401</v>
      </c>
      <c r="AD45" s="185" t="s">
        <v>331</v>
      </c>
      <c r="AE45" s="185" t="s">
        <v>403</v>
      </c>
      <c r="AF45" s="185" t="s">
        <v>414</v>
      </c>
      <c r="AG45" s="185">
        <v>8610.5</v>
      </c>
      <c r="AH45" s="185">
        <v>0.53190000000000004</v>
      </c>
      <c r="AI45" s="185">
        <v>3007.28</v>
      </c>
      <c r="AJ45" s="185">
        <v>5603.22</v>
      </c>
      <c r="AK45" s="185">
        <v>14862.59</v>
      </c>
      <c r="AL45" s="185">
        <v>256.07</v>
      </c>
      <c r="AM45" s="186">
        <v>56</v>
      </c>
      <c r="AN45" s="186" t="str">
        <f t="shared" si="3"/>
        <v>Canterbury RegionRural Roads</v>
      </c>
      <c r="AO45" s="186">
        <f t="shared" si="4"/>
        <v>999</v>
      </c>
      <c r="AP45" s="187" t="s">
        <v>1105</v>
      </c>
      <c r="AQ45" s="187" t="str">
        <f t="shared" si="5"/>
        <v>Canterbury Region</v>
      </c>
      <c r="AR45" s="187" t="str">
        <f t="shared" si="6"/>
        <v>Combined</v>
      </c>
      <c r="AS45" s="187" t="str">
        <f t="shared" si="7"/>
        <v>2019/20</v>
      </c>
      <c r="AT45" s="187" t="str">
        <f t="shared" si="8"/>
        <v>RURAL</v>
      </c>
      <c r="AU45" s="187" t="str">
        <f t="shared" si="9"/>
        <v>Rural Roads</v>
      </c>
      <c r="AV45" s="187" cm="1">
        <f t="array" ref="AV45">IF($AO45=999,0,INDEX(AG$198:AG$313,$AO45))</f>
        <v>0</v>
      </c>
      <c r="AW45" s="187" cm="1">
        <f t="array" ref="AW45">IF($AO45=999,0,INDEX(AH$198:AH$313,$AO45))</f>
        <v>0</v>
      </c>
      <c r="AX45" s="187" cm="1">
        <f t="array" ref="AX45">IF($AO45=999,0,INDEX(AI$198:AI$313,$AO45))</f>
        <v>0</v>
      </c>
      <c r="AY45" s="187" cm="1">
        <f t="array" ref="AY45">IF($AO45=999,0,INDEX(AJ$198:AJ$313,$AO45))</f>
        <v>0</v>
      </c>
      <c r="AZ45" s="187" cm="1">
        <f t="array" ref="AZ45">IF($AO45=999,0,INDEX(AK$198:AK$313,$AO45))</f>
        <v>0</v>
      </c>
      <c r="BA45" s="187" cm="1">
        <f t="array" ref="BA45">IF($AO45=999,0,INDEX(AL$198:AL$313,$AO45))</f>
        <v>0</v>
      </c>
      <c r="BB45" s="252" t="str">
        <f>INDEX(pMenus!$C$10:$C$23,MATCH(AU45,pMenus!$B$10:$B$23,0))</f>
        <v>NA</v>
      </c>
      <c r="BC45" s="221">
        <f t="shared" si="23"/>
        <v>0</v>
      </c>
      <c r="BD45" s="237">
        <f t="shared" si="24"/>
        <v>0</v>
      </c>
      <c r="BE45" s="188" t="s">
        <v>591</v>
      </c>
      <c r="BF45" s="188" t="str">
        <f t="shared" si="10"/>
        <v>Canterbury Region</v>
      </c>
      <c r="BG45" s="188" t="str">
        <f t="shared" si="11"/>
        <v>Combined</v>
      </c>
      <c r="BH45" s="188" t="str">
        <f t="shared" si="12"/>
        <v>2019/20</v>
      </c>
      <c r="BI45" s="188" t="str">
        <f t="shared" si="13"/>
        <v>RURAL</v>
      </c>
      <c r="BJ45" s="188" t="str">
        <f t="shared" si="14"/>
        <v>Rural Roads</v>
      </c>
      <c r="BK45" s="188">
        <f t="shared" si="15"/>
        <v>8610.5</v>
      </c>
      <c r="BL45" s="188">
        <f t="shared" si="16"/>
        <v>0.53190000000000004</v>
      </c>
      <c r="BM45" s="188">
        <f t="shared" si="17"/>
        <v>3007.28</v>
      </c>
      <c r="BN45" s="188">
        <f t="shared" si="18"/>
        <v>5603.22</v>
      </c>
      <c r="BO45" s="188">
        <f t="shared" si="19"/>
        <v>14862.59</v>
      </c>
      <c r="BP45" s="188">
        <f t="shared" si="20"/>
        <v>256.07</v>
      </c>
      <c r="BQ45" s="253" t="str">
        <f>INDEX(pMenus!$D$10:$D$23,MATCH(BJ45,pMenus!$B$10:$B$23,0))</f>
        <v>Rural Connectors</v>
      </c>
      <c r="BR45" s="226">
        <f t="shared" si="25"/>
        <v>47.203188935146329</v>
      </c>
      <c r="BS45" s="238">
        <f t="shared" si="26"/>
        <v>81.477457039151773</v>
      </c>
    </row>
    <row r="46" spans="1:71">
      <c r="A46" s="202"/>
      <c r="B46" s="210" t="str">
        <f t="shared" si="1"/>
        <v>Rural Connectors Local LTA Roads Canterbury Region</v>
      </c>
      <c r="C46" s="193">
        <f t="shared" si="21"/>
        <v>103.36999999999999</v>
      </c>
      <c r="D46" s="193">
        <f t="shared" si="22"/>
        <v>3.6300000000000003</v>
      </c>
      <c r="E46" s="194">
        <f t="shared" si="2"/>
        <v>96.209785038715822</v>
      </c>
      <c r="F46" s="202"/>
      <c r="AA46" s="185" t="s">
        <v>412</v>
      </c>
      <c r="AB46" s="185" t="s">
        <v>420</v>
      </c>
      <c r="AC46" s="185" t="s">
        <v>401</v>
      </c>
      <c r="AD46" s="185" t="s">
        <v>331</v>
      </c>
      <c r="AE46" s="185" t="s">
        <v>403</v>
      </c>
      <c r="AF46" s="185" t="s">
        <v>415</v>
      </c>
      <c r="AG46" s="185">
        <v>52.85</v>
      </c>
      <c r="AH46" s="185">
        <v>3.3E-3</v>
      </c>
      <c r="AI46" s="185">
        <v>15.79</v>
      </c>
      <c r="AJ46" s="185">
        <v>37.07</v>
      </c>
      <c r="AK46" s="185">
        <v>104.63</v>
      </c>
      <c r="AL46" s="185">
        <v>3.97</v>
      </c>
      <c r="AM46" s="186">
        <v>57</v>
      </c>
      <c r="AN46" s="186" t="str">
        <f t="shared" si="3"/>
        <v>Canterbury RegionStopping Places</v>
      </c>
      <c r="AO46" s="186">
        <f t="shared" si="4"/>
        <v>22</v>
      </c>
      <c r="AP46" s="187" t="s">
        <v>1105</v>
      </c>
      <c r="AQ46" s="187" t="str">
        <f t="shared" si="5"/>
        <v>Canterbury Region</v>
      </c>
      <c r="AR46" s="187" t="str">
        <f t="shared" si="6"/>
        <v>Combined</v>
      </c>
      <c r="AS46" s="187" t="str">
        <f t="shared" si="7"/>
        <v>2019/20</v>
      </c>
      <c r="AT46" s="187" t="str">
        <f t="shared" si="8"/>
        <v>RURAL</v>
      </c>
      <c r="AU46" s="187" t="str">
        <f t="shared" si="9"/>
        <v>Stopping Places</v>
      </c>
      <c r="AV46" s="187" cm="1">
        <f t="array" ref="AV46">IF($AO46=999,0,INDEX(AG$198:AG$313,$AO46))</f>
        <v>0.63</v>
      </c>
      <c r="AW46" s="187" cm="1">
        <f t="array" ref="AW46">IF($AO46=999,0,INDEX(AH$198:AH$313,$AO46))</f>
        <v>5.0000000000000001E-4</v>
      </c>
      <c r="AX46" s="187" cm="1">
        <f t="array" ref="AX46">IF($AO46=999,0,INDEX(AI$198:AI$313,$AO46))</f>
        <v>0.63</v>
      </c>
      <c r="AY46" s="187" cm="1">
        <f t="array" ref="AY46">IF($AO46=999,0,INDEX(AJ$198:AJ$313,$AO46))</f>
        <v>0</v>
      </c>
      <c r="AZ46" s="187" cm="1">
        <f t="array" ref="AZ46">IF($AO46=999,0,INDEX(AK$198:AK$313,$AO46))</f>
        <v>1.26</v>
      </c>
      <c r="BA46" s="187" cm="1">
        <f t="array" ref="BA46">IF($AO46=999,0,INDEX(AL$198:AL$313,$AO46))</f>
        <v>0.34</v>
      </c>
      <c r="BB46" s="252" t="str">
        <f>INDEX(pMenus!$C$10:$C$23,MATCH(AU46,pMenus!$B$10:$B$23,0))</f>
        <v>Interregional Connectors</v>
      </c>
      <c r="BC46" s="221">
        <f t="shared" si="23"/>
        <v>739.29115025005444</v>
      </c>
      <c r="BD46" s="237">
        <f t="shared" si="24"/>
        <v>1478.5823005001089</v>
      </c>
      <c r="BE46" s="188" t="s">
        <v>591</v>
      </c>
      <c r="BF46" s="188" t="str">
        <f t="shared" si="10"/>
        <v>Canterbury Region</v>
      </c>
      <c r="BG46" s="188" t="str">
        <f t="shared" si="11"/>
        <v>Combined</v>
      </c>
      <c r="BH46" s="188" t="str">
        <f t="shared" si="12"/>
        <v>2019/20</v>
      </c>
      <c r="BI46" s="188" t="str">
        <f t="shared" si="13"/>
        <v>RURAL</v>
      </c>
      <c r="BJ46" s="188" t="str">
        <f t="shared" si="14"/>
        <v>Stopping Places</v>
      </c>
      <c r="BK46" s="188">
        <f t="shared" si="15"/>
        <v>52.22</v>
      </c>
      <c r="BL46" s="188">
        <f t="shared" si="16"/>
        <v>2.8E-3</v>
      </c>
      <c r="BM46" s="188">
        <f t="shared" si="17"/>
        <v>15.159999999999998</v>
      </c>
      <c r="BN46" s="188">
        <f t="shared" si="18"/>
        <v>37.07</v>
      </c>
      <c r="BO46" s="188">
        <f t="shared" si="19"/>
        <v>103.36999999999999</v>
      </c>
      <c r="BP46" s="188">
        <f t="shared" si="20"/>
        <v>3.6300000000000003</v>
      </c>
      <c r="BQ46" s="253" t="str">
        <f>INDEX(pMenus!$D$10:$D$23,MATCH(BJ46,pMenus!$B$10:$B$23,0))</f>
        <v>Rural Connectors</v>
      </c>
      <c r="BR46" s="226">
        <f t="shared" si="25"/>
        <v>96.209785038715822</v>
      </c>
      <c r="BS46" s="238">
        <f t="shared" si="26"/>
        <v>190.44820910478848</v>
      </c>
    </row>
    <row r="47" spans="1:71">
      <c r="A47" s="202"/>
      <c r="B47" s="210" t="str">
        <f t="shared" si="1"/>
        <v>Activity Streets Local LTA Roads Canterbury Region</v>
      </c>
      <c r="C47" s="193">
        <f t="shared" si="21"/>
        <v>196.07</v>
      </c>
      <c r="D47" s="193">
        <f t="shared" si="22"/>
        <v>159.25</v>
      </c>
      <c r="E47" s="194">
        <f t="shared" si="2"/>
        <v>2225.2326713062362</v>
      </c>
      <c r="F47" s="202"/>
      <c r="AA47" s="185" t="s">
        <v>412</v>
      </c>
      <c r="AB47" s="185" t="s">
        <v>420</v>
      </c>
      <c r="AC47" s="185" t="s">
        <v>401</v>
      </c>
      <c r="AD47" s="185" t="s">
        <v>331</v>
      </c>
      <c r="AE47" s="185" t="s">
        <v>407</v>
      </c>
      <c r="AF47" s="185" t="s">
        <v>408</v>
      </c>
      <c r="AG47" s="185">
        <v>110.09</v>
      </c>
      <c r="AH47" s="185">
        <v>6.7999999999999996E-3</v>
      </c>
      <c r="AI47" s="185">
        <v>109.01</v>
      </c>
      <c r="AJ47" s="185">
        <v>1.08</v>
      </c>
      <c r="AK47" s="185">
        <v>220.53</v>
      </c>
      <c r="AL47" s="185">
        <v>198.08</v>
      </c>
      <c r="AM47" s="186">
        <v>58</v>
      </c>
      <c r="AN47" s="186" t="str">
        <f t="shared" si="3"/>
        <v>Canterbury RegionActivity Streets</v>
      </c>
      <c r="AO47" s="186">
        <f t="shared" si="4"/>
        <v>23</v>
      </c>
      <c r="AP47" s="187" t="s">
        <v>1105</v>
      </c>
      <c r="AQ47" s="187" t="str">
        <f t="shared" si="5"/>
        <v>Canterbury Region</v>
      </c>
      <c r="AR47" s="187" t="str">
        <f t="shared" si="6"/>
        <v>Combined</v>
      </c>
      <c r="AS47" s="187" t="str">
        <f t="shared" si="7"/>
        <v>2019/20</v>
      </c>
      <c r="AT47" s="187" t="str">
        <f t="shared" si="8"/>
        <v>URBAN</v>
      </c>
      <c r="AU47" s="187" t="str">
        <f t="shared" si="9"/>
        <v>Activity Streets</v>
      </c>
      <c r="AV47" s="187" cm="1">
        <f t="array" ref="AV47">IF($AO47=999,0,INDEX(AG$198:AG$313,$AO47))</f>
        <v>11.79</v>
      </c>
      <c r="AW47" s="187" cm="1">
        <f t="array" ref="AW47">IF($AO47=999,0,INDEX(AH$198:AH$313,$AO47))</f>
        <v>8.3999999999999995E-3</v>
      </c>
      <c r="AX47" s="187" cm="1">
        <f t="array" ref="AX47">IF($AO47=999,0,INDEX(AI$198:AI$313,$AO47))</f>
        <v>11.79</v>
      </c>
      <c r="AY47" s="187" cm="1">
        <f t="array" ref="AY47">IF($AO47=999,0,INDEX(AJ$198:AJ$313,$AO47))</f>
        <v>0</v>
      </c>
      <c r="AZ47" s="187" cm="1">
        <f t="array" ref="AZ47">IF($AO47=999,0,INDEX(AK$198:AK$313,$AO47))</f>
        <v>24.46</v>
      </c>
      <c r="BA47" s="187" cm="1">
        <f t="array" ref="BA47">IF($AO47=999,0,INDEX(AL$198:AL$313,$AO47))</f>
        <v>38.83</v>
      </c>
      <c r="BB47" s="252" t="str">
        <f>INDEX(pMenus!$C$10:$C$23,MATCH(AU47,pMenus!$B$10:$B$23,0))</f>
        <v>Urban Connectors</v>
      </c>
      <c r="BC47" s="221">
        <f t="shared" si="23"/>
        <v>4349.2870663873919</v>
      </c>
      <c r="BD47" s="237">
        <f t="shared" si="24"/>
        <v>9023.2028535908066</v>
      </c>
      <c r="BE47" s="188" t="s">
        <v>591</v>
      </c>
      <c r="BF47" s="188" t="str">
        <f t="shared" si="10"/>
        <v>Canterbury Region</v>
      </c>
      <c r="BG47" s="188" t="str">
        <f t="shared" si="11"/>
        <v>Combined</v>
      </c>
      <c r="BH47" s="188" t="str">
        <f t="shared" si="12"/>
        <v>2019/20</v>
      </c>
      <c r="BI47" s="188" t="str">
        <f t="shared" si="13"/>
        <v>URBAN</v>
      </c>
      <c r="BJ47" s="188" t="str">
        <f t="shared" si="14"/>
        <v>Activity Streets</v>
      </c>
      <c r="BK47" s="188">
        <f t="shared" si="15"/>
        <v>98.300000000000011</v>
      </c>
      <c r="BL47" s="188">
        <f t="shared" si="16"/>
        <v>-1.5999999999999999E-3</v>
      </c>
      <c r="BM47" s="188">
        <f t="shared" si="17"/>
        <v>97.22</v>
      </c>
      <c r="BN47" s="188">
        <f t="shared" si="18"/>
        <v>1.08</v>
      </c>
      <c r="BO47" s="188">
        <f t="shared" si="19"/>
        <v>196.07</v>
      </c>
      <c r="BP47" s="188">
        <f t="shared" si="20"/>
        <v>159.25</v>
      </c>
      <c r="BQ47" s="253" t="str">
        <f>INDEX(pMenus!$D$10:$D$23,MATCH(BJ47,pMenus!$B$10:$B$23,0))</f>
        <v>Activity Streets</v>
      </c>
      <c r="BR47" s="226">
        <f t="shared" si="25"/>
        <v>2225.2326713062362</v>
      </c>
      <c r="BS47" s="238">
        <f t="shared" si="26"/>
        <v>4438.4676486573107</v>
      </c>
    </row>
    <row r="48" spans="1:71">
      <c r="A48" s="202"/>
      <c r="B48" s="210" t="str">
        <f t="shared" ref="B48:B79" si="27">CONCATENATE(BQ48,$E$14, BE48,$E$14, BF48)</f>
        <v>City Hubs Local LTA Roads Canterbury Region</v>
      </c>
      <c r="C48" s="193">
        <f t="shared" si="21"/>
        <v>3.09</v>
      </c>
      <c r="D48" s="193">
        <f t="shared" si="22"/>
        <v>2.2799999999999998</v>
      </c>
      <c r="E48" s="194">
        <f t="shared" si="2"/>
        <v>2021.5454182737067</v>
      </c>
      <c r="F48" s="202"/>
      <c r="AA48" s="185" t="s">
        <v>412</v>
      </c>
      <c r="AB48" s="185" t="s">
        <v>420</v>
      </c>
      <c r="AC48" s="185" t="s">
        <v>401</v>
      </c>
      <c r="AD48" s="185" t="s">
        <v>331</v>
      </c>
      <c r="AE48" s="185" t="s">
        <v>407</v>
      </c>
      <c r="AF48" s="185" t="s">
        <v>416</v>
      </c>
      <c r="AG48" s="185">
        <v>1.54</v>
      </c>
      <c r="AH48" s="185">
        <v>1E-4</v>
      </c>
      <c r="AI48" s="185">
        <v>1.54</v>
      </c>
      <c r="AJ48" s="185">
        <v>0</v>
      </c>
      <c r="AK48" s="185">
        <v>3.09</v>
      </c>
      <c r="AL48" s="185">
        <v>2.2799999999999998</v>
      </c>
      <c r="AM48" s="186">
        <v>59</v>
      </c>
      <c r="AN48" s="186" t="str">
        <f t="shared" si="3"/>
        <v>Canterbury RegionCity Hubs</v>
      </c>
      <c r="AO48" s="186">
        <f t="shared" ref="AO48:AO79" si="28">IFERROR(MATCH($AN48,$AN$198:$AN$313,0),999)</f>
        <v>999</v>
      </c>
      <c r="AP48" s="187" t="s">
        <v>1105</v>
      </c>
      <c r="AQ48" s="187" t="str">
        <f t="shared" ref="AQ48:AQ79" si="29">AB48</f>
        <v>Canterbury Region</v>
      </c>
      <c r="AR48" s="187" t="str">
        <f t="shared" ref="AR48:AR79" si="30">AC48</f>
        <v>Combined</v>
      </c>
      <c r="AS48" s="187" t="str">
        <f t="shared" ref="AS48:AS79" si="31">AD48</f>
        <v>2019/20</v>
      </c>
      <c r="AT48" s="187" t="str">
        <f t="shared" ref="AT48:AT79" si="32">AE48</f>
        <v>URBAN</v>
      </c>
      <c r="AU48" s="187" t="str">
        <f t="shared" ref="AU48:AU79" si="33">AF48</f>
        <v>City Hubs</v>
      </c>
      <c r="AV48" s="187" cm="1">
        <f t="array" ref="AV48">IF($AO48=999,0,INDEX(AG$198:AG$313,$AO48))</f>
        <v>0</v>
      </c>
      <c r="AW48" s="187" cm="1">
        <f t="array" ref="AW48">IF($AO48=999,0,INDEX(AH$198:AH$313,$AO48))</f>
        <v>0</v>
      </c>
      <c r="AX48" s="187" cm="1">
        <f t="array" ref="AX48">IF($AO48=999,0,INDEX(AI$198:AI$313,$AO48))</f>
        <v>0</v>
      </c>
      <c r="AY48" s="187" cm="1">
        <f t="array" ref="AY48">IF($AO48=999,0,INDEX(AJ$198:AJ$313,$AO48))</f>
        <v>0</v>
      </c>
      <c r="AZ48" s="187" cm="1">
        <f t="array" ref="AZ48">IF($AO48=999,0,INDEX(AK$198:AK$313,$AO48))</f>
        <v>0</v>
      </c>
      <c r="BA48" s="187" cm="1">
        <f t="array" ref="BA48">IF($AO48=999,0,INDEX(AL$198:AL$313,$AO48))</f>
        <v>0</v>
      </c>
      <c r="BB48" s="252" t="str">
        <f>INDEX(pMenus!$C$10:$C$23,MATCH(AU48,pMenus!$B$10:$B$23,0))</f>
        <v>NA</v>
      </c>
      <c r="BC48" s="221">
        <f t="shared" si="23"/>
        <v>0</v>
      </c>
      <c r="BD48" s="237">
        <f t="shared" si="24"/>
        <v>0</v>
      </c>
      <c r="BE48" s="188" t="s">
        <v>591</v>
      </c>
      <c r="BF48" s="188" t="str">
        <f t="shared" ref="BF48:BF79" si="34">AB48</f>
        <v>Canterbury Region</v>
      </c>
      <c r="BG48" s="188" t="str">
        <f t="shared" ref="BG48:BG79" si="35">AC48</f>
        <v>Combined</v>
      </c>
      <c r="BH48" s="188" t="str">
        <f t="shared" ref="BH48:BH79" si="36">AD48</f>
        <v>2019/20</v>
      </c>
      <c r="BI48" s="188" t="str">
        <f t="shared" ref="BI48:BI79" si="37">AE48</f>
        <v>URBAN</v>
      </c>
      <c r="BJ48" s="188" t="str">
        <f t="shared" ref="BJ48:BJ79" si="38">AF48</f>
        <v>City Hubs</v>
      </c>
      <c r="BK48" s="188">
        <f t="shared" ref="BK48:BK79" si="39">AG48-AV48</f>
        <v>1.54</v>
      </c>
      <c r="BL48" s="188">
        <f t="shared" ref="BL48:BL79" si="40">AH48-AW48</f>
        <v>1E-4</v>
      </c>
      <c r="BM48" s="188">
        <f t="shared" ref="BM48:BM79" si="41">AI48-AX48</f>
        <v>1.54</v>
      </c>
      <c r="BN48" s="188">
        <f t="shared" ref="BN48:BN79" si="42">AJ48-AY48</f>
        <v>0</v>
      </c>
      <c r="BO48" s="188">
        <f t="shared" ref="BO48:BO79" si="43">AK48-AZ48</f>
        <v>3.09</v>
      </c>
      <c r="BP48" s="188">
        <f t="shared" ref="BP48:BP79" si="44">AL48-BA48</f>
        <v>2.2799999999999998</v>
      </c>
      <c r="BQ48" s="253" t="str">
        <f>INDEX(pMenus!$D$10:$D$23,MATCH(BJ48,pMenus!$B$10:$B$23,0))</f>
        <v>City Hubs</v>
      </c>
      <c r="BR48" s="226">
        <f t="shared" si="25"/>
        <v>2021.5454182737067</v>
      </c>
      <c r="BS48" s="238">
        <f t="shared" si="26"/>
        <v>4056.2177548478912</v>
      </c>
    </row>
    <row r="49" spans="1:71">
      <c r="A49" s="202"/>
      <c r="B49" s="210" t="str">
        <f t="shared" si="27"/>
        <v>Rural Connectors Local LTA Roads Canterbury Region</v>
      </c>
      <c r="C49" s="193">
        <f t="shared" si="21"/>
        <v>13.22</v>
      </c>
      <c r="D49" s="193">
        <f t="shared" si="22"/>
        <v>2.16</v>
      </c>
      <c r="E49" s="194">
        <f t="shared" si="2"/>
        <v>447.64056120862949</v>
      </c>
      <c r="F49" s="202"/>
      <c r="AA49" s="185" t="s">
        <v>412</v>
      </c>
      <c r="AB49" s="185" t="s">
        <v>420</v>
      </c>
      <c r="AC49" s="185" t="s">
        <v>401</v>
      </c>
      <c r="AD49" s="185" t="s">
        <v>331</v>
      </c>
      <c r="AE49" s="185" t="s">
        <v>407</v>
      </c>
      <c r="AF49" s="185" t="s">
        <v>417</v>
      </c>
      <c r="AG49" s="185">
        <v>6.87</v>
      </c>
      <c r="AH49" s="185">
        <v>4.0000000000000002E-4</v>
      </c>
      <c r="AI49" s="185">
        <v>6.87</v>
      </c>
      <c r="AJ49" s="185">
        <v>0</v>
      </c>
      <c r="AK49" s="185">
        <v>13.22</v>
      </c>
      <c r="AL49" s="185">
        <v>2.16</v>
      </c>
      <c r="AM49" s="186">
        <v>60</v>
      </c>
      <c r="AN49" s="186" t="str">
        <f t="shared" si="3"/>
        <v>Canterbury RegionCivic Spaces</v>
      </c>
      <c r="AO49" s="186">
        <f t="shared" si="28"/>
        <v>999</v>
      </c>
      <c r="AP49" s="187" t="s">
        <v>1105</v>
      </c>
      <c r="AQ49" s="187" t="str">
        <f t="shared" si="29"/>
        <v>Canterbury Region</v>
      </c>
      <c r="AR49" s="187" t="str">
        <f t="shared" si="30"/>
        <v>Combined</v>
      </c>
      <c r="AS49" s="187" t="str">
        <f t="shared" si="31"/>
        <v>2019/20</v>
      </c>
      <c r="AT49" s="187" t="str">
        <f t="shared" si="32"/>
        <v>URBAN</v>
      </c>
      <c r="AU49" s="187" t="str">
        <f t="shared" si="33"/>
        <v>Civic Spaces</v>
      </c>
      <c r="AV49" s="187" cm="1">
        <f t="array" ref="AV49">IF($AO49=999,0,INDEX(AG$198:AG$313,$AO49))</f>
        <v>0</v>
      </c>
      <c r="AW49" s="187" cm="1">
        <f t="array" ref="AW49">IF($AO49=999,0,INDEX(AH$198:AH$313,$AO49))</f>
        <v>0</v>
      </c>
      <c r="AX49" s="187" cm="1">
        <f t="array" ref="AX49">IF($AO49=999,0,INDEX(AI$198:AI$313,$AO49))</f>
        <v>0</v>
      </c>
      <c r="AY49" s="187" cm="1">
        <f t="array" ref="AY49">IF($AO49=999,0,INDEX(AJ$198:AJ$313,$AO49))</f>
        <v>0</v>
      </c>
      <c r="AZ49" s="187" cm="1">
        <f t="array" ref="AZ49">IF($AO49=999,0,INDEX(AK$198:AK$313,$AO49))</f>
        <v>0</v>
      </c>
      <c r="BA49" s="187" cm="1">
        <f t="array" ref="BA49">IF($AO49=999,0,INDEX(AL$198:AL$313,$AO49))</f>
        <v>0</v>
      </c>
      <c r="BB49" s="252" t="str">
        <f>INDEX(pMenus!$C$10:$C$23,MATCH(AU49,pMenus!$B$10:$B$23,0))</f>
        <v>NA</v>
      </c>
      <c r="BC49" s="221">
        <f t="shared" si="23"/>
        <v>0</v>
      </c>
      <c r="BD49" s="237">
        <f t="shared" si="24"/>
        <v>0</v>
      </c>
      <c r="BE49" s="188" t="s">
        <v>591</v>
      </c>
      <c r="BF49" s="188" t="str">
        <f t="shared" si="34"/>
        <v>Canterbury Region</v>
      </c>
      <c r="BG49" s="188" t="str">
        <f t="shared" si="35"/>
        <v>Combined</v>
      </c>
      <c r="BH49" s="188" t="str">
        <f t="shared" si="36"/>
        <v>2019/20</v>
      </c>
      <c r="BI49" s="188" t="str">
        <f t="shared" si="37"/>
        <v>URBAN</v>
      </c>
      <c r="BJ49" s="188" t="str">
        <f t="shared" si="38"/>
        <v>Civic Spaces</v>
      </c>
      <c r="BK49" s="188">
        <f t="shared" si="39"/>
        <v>6.87</v>
      </c>
      <c r="BL49" s="188">
        <f t="shared" si="40"/>
        <v>4.0000000000000002E-4</v>
      </c>
      <c r="BM49" s="188">
        <f t="shared" si="41"/>
        <v>6.87</v>
      </c>
      <c r="BN49" s="188">
        <f t="shared" si="42"/>
        <v>0</v>
      </c>
      <c r="BO49" s="188">
        <f t="shared" si="43"/>
        <v>13.22</v>
      </c>
      <c r="BP49" s="188">
        <f t="shared" si="44"/>
        <v>2.16</v>
      </c>
      <c r="BQ49" s="253" t="str">
        <f>INDEX(pMenus!$D$10:$D$23,MATCH(BJ49,pMenus!$B$10:$B$23,0))</f>
        <v>Rural Connectors</v>
      </c>
      <c r="BR49" s="226">
        <f t="shared" si="25"/>
        <v>447.64056120862949</v>
      </c>
      <c r="BS49" s="238">
        <f t="shared" si="26"/>
        <v>861.39857629957544</v>
      </c>
    </row>
    <row r="50" spans="1:71">
      <c r="A50" s="202"/>
      <c r="B50" s="210" t="str">
        <f t="shared" si="27"/>
        <v>Rural Connectors Local LTA Roads Canterbury Region</v>
      </c>
      <c r="C50" s="193">
        <f t="shared" si="21"/>
        <v>4022.54</v>
      </c>
      <c r="D50" s="193">
        <f t="shared" si="22"/>
        <v>505.39</v>
      </c>
      <c r="E50" s="194">
        <f t="shared" si="2"/>
        <v>344.21786656846206</v>
      </c>
      <c r="F50" s="202"/>
      <c r="AA50" s="185" t="s">
        <v>412</v>
      </c>
      <c r="AB50" s="185" t="s">
        <v>420</v>
      </c>
      <c r="AC50" s="185" t="s">
        <v>401</v>
      </c>
      <c r="AD50" s="185" t="s">
        <v>331</v>
      </c>
      <c r="AE50" s="185" t="s">
        <v>407</v>
      </c>
      <c r="AF50" s="185" t="s">
        <v>418</v>
      </c>
      <c r="AG50" s="185">
        <v>2041.52</v>
      </c>
      <c r="AH50" s="185">
        <v>0.12609999999999999</v>
      </c>
      <c r="AI50" s="185">
        <v>2020.08</v>
      </c>
      <c r="AJ50" s="185">
        <v>21.44</v>
      </c>
      <c r="AK50" s="185">
        <v>4022.54</v>
      </c>
      <c r="AL50" s="185">
        <v>505.39</v>
      </c>
      <c r="AM50" s="186">
        <v>61</v>
      </c>
      <c r="AN50" s="186" t="str">
        <f t="shared" si="3"/>
        <v>Canterbury RegionLocal Streets</v>
      </c>
      <c r="AO50" s="186">
        <f t="shared" si="28"/>
        <v>999</v>
      </c>
      <c r="AP50" s="187" t="s">
        <v>1105</v>
      </c>
      <c r="AQ50" s="187" t="str">
        <f t="shared" si="29"/>
        <v>Canterbury Region</v>
      </c>
      <c r="AR50" s="187" t="str">
        <f t="shared" si="30"/>
        <v>Combined</v>
      </c>
      <c r="AS50" s="187" t="str">
        <f t="shared" si="31"/>
        <v>2019/20</v>
      </c>
      <c r="AT50" s="187" t="str">
        <f t="shared" si="32"/>
        <v>URBAN</v>
      </c>
      <c r="AU50" s="187" t="str">
        <f t="shared" si="33"/>
        <v>Local Streets</v>
      </c>
      <c r="AV50" s="187" cm="1">
        <f t="array" ref="AV50">IF($AO50=999,0,INDEX(AG$198:AG$313,$AO50))</f>
        <v>0</v>
      </c>
      <c r="AW50" s="187" cm="1">
        <f t="array" ref="AW50">IF($AO50=999,0,INDEX(AH$198:AH$313,$AO50))</f>
        <v>0</v>
      </c>
      <c r="AX50" s="187" cm="1">
        <f t="array" ref="AX50">IF($AO50=999,0,INDEX(AI$198:AI$313,$AO50))</f>
        <v>0</v>
      </c>
      <c r="AY50" s="187" cm="1">
        <f t="array" ref="AY50">IF($AO50=999,0,INDEX(AJ$198:AJ$313,$AO50))</f>
        <v>0</v>
      </c>
      <c r="AZ50" s="187" cm="1">
        <f t="array" ref="AZ50">IF($AO50=999,0,INDEX(AK$198:AK$313,$AO50))</f>
        <v>0</v>
      </c>
      <c r="BA50" s="187" cm="1">
        <f t="array" ref="BA50">IF($AO50=999,0,INDEX(AL$198:AL$313,$AO50))</f>
        <v>0</v>
      </c>
      <c r="BB50" s="252" t="str">
        <f>INDEX(pMenus!$C$10:$C$23,MATCH(AU50,pMenus!$B$10:$B$23,0))</f>
        <v>NA</v>
      </c>
      <c r="BC50" s="221">
        <f t="shared" si="23"/>
        <v>0</v>
      </c>
      <c r="BD50" s="237">
        <f t="shared" si="24"/>
        <v>0</v>
      </c>
      <c r="BE50" s="188" t="s">
        <v>591</v>
      </c>
      <c r="BF50" s="188" t="str">
        <f t="shared" si="34"/>
        <v>Canterbury Region</v>
      </c>
      <c r="BG50" s="188" t="str">
        <f t="shared" si="35"/>
        <v>Combined</v>
      </c>
      <c r="BH50" s="188" t="str">
        <f t="shared" si="36"/>
        <v>2019/20</v>
      </c>
      <c r="BI50" s="188" t="str">
        <f t="shared" si="37"/>
        <v>URBAN</v>
      </c>
      <c r="BJ50" s="188" t="str">
        <f t="shared" si="38"/>
        <v>Local Streets</v>
      </c>
      <c r="BK50" s="188">
        <f t="shared" si="39"/>
        <v>2041.52</v>
      </c>
      <c r="BL50" s="188">
        <f t="shared" si="40"/>
        <v>0.12609999999999999</v>
      </c>
      <c r="BM50" s="188">
        <f t="shared" si="41"/>
        <v>2020.08</v>
      </c>
      <c r="BN50" s="188">
        <f t="shared" si="42"/>
        <v>21.44</v>
      </c>
      <c r="BO50" s="188">
        <f t="shared" si="43"/>
        <v>4022.54</v>
      </c>
      <c r="BP50" s="188">
        <f t="shared" si="44"/>
        <v>505.39</v>
      </c>
      <c r="BQ50" s="253" t="str">
        <f>INDEX(pMenus!$D$10:$D$23,MATCH(BJ50,pMenus!$B$10:$B$23,0))</f>
        <v>Rural Connectors</v>
      </c>
      <c r="BR50" s="226">
        <f t="shared" si="25"/>
        <v>344.21786656846206</v>
      </c>
      <c r="BS50" s="238">
        <f t="shared" si="26"/>
        <v>678.2349117257246</v>
      </c>
    </row>
    <row r="51" spans="1:71">
      <c r="A51" s="202"/>
      <c r="B51" s="210" t="str">
        <f t="shared" si="27"/>
        <v>Urban Connectors Local LTA Roads Canterbury Region</v>
      </c>
      <c r="C51" s="193">
        <f t="shared" si="21"/>
        <v>24.97</v>
      </c>
      <c r="D51" s="193">
        <f t="shared" si="22"/>
        <v>44.38</v>
      </c>
      <c r="E51" s="194">
        <f t="shared" si="2"/>
        <v>4869.4049297513184</v>
      </c>
      <c r="F51" s="202"/>
      <c r="AA51" s="185" t="s">
        <v>412</v>
      </c>
      <c r="AB51" s="185" t="s">
        <v>420</v>
      </c>
      <c r="AC51" s="185" t="s">
        <v>401</v>
      </c>
      <c r="AD51" s="185" t="s">
        <v>331</v>
      </c>
      <c r="AE51" s="185" t="s">
        <v>407</v>
      </c>
      <c r="AF51" s="185" t="s">
        <v>409</v>
      </c>
      <c r="AG51" s="185">
        <v>12.93</v>
      </c>
      <c r="AH51" s="185">
        <v>8.0000000000000004E-4</v>
      </c>
      <c r="AI51" s="185">
        <v>12.93</v>
      </c>
      <c r="AJ51" s="185">
        <v>0</v>
      </c>
      <c r="AK51" s="185">
        <v>26.34</v>
      </c>
      <c r="AL51" s="185">
        <v>45.29</v>
      </c>
      <c r="AM51" s="186">
        <v>62</v>
      </c>
      <c r="AN51" s="186" t="str">
        <f t="shared" si="3"/>
        <v>Canterbury RegionMain Streets</v>
      </c>
      <c r="AO51" s="186">
        <f t="shared" si="28"/>
        <v>24</v>
      </c>
      <c r="AP51" s="187" t="s">
        <v>1105</v>
      </c>
      <c r="AQ51" s="187" t="str">
        <f t="shared" si="29"/>
        <v>Canterbury Region</v>
      </c>
      <c r="AR51" s="187" t="str">
        <f t="shared" si="30"/>
        <v>Combined</v>
      </c>
      <c r="AS51" s="187" t="str">
        <f t="shared" si="31"/>
        <v>2019/20</v>
      </c>
      <c r="AT51" s="187" t="str">
        <f t="shared" si="32"/>
        <v>URBAN</v>
      </c>
      <c r="AU51" s="187" t="str">
        <f t="shared" si="33"/>
        <v>Main Streets</v>
      </c>
      <c r="AV51" s="187" cm="1">
        <f t="array" ref="AV51">IF($AO51=999,0,INDEX(AG$198:AG$313,$AO51))</f>
        <v>0.69</v>
      </c>
      <c r="AW51" s="187" cm="1">
        <f t="array" ref="AW51">IF($AO51=999,0,INDEX(AH$198:AH$313,$AO51))</f>
        <v>5.0000000000000001E-4</v>
      </c>
      <c r="AX51" s="187" cm="1">
        <f t="array" ref="AX51">IF($AO51=999,0,INDEX(AI$198:AI$313,$AO51))</f>
        <v>0.69</v>
      </c>
      <c r="AY51" s="187" cm="1">
        <f t="array" ref="AY51">IF($AO51=999,0,INDEX(AJ$198:AJ$313,$AO51))</f>
        <v>0</v>
      </c>
      <c r="AZ51" s="187" cm="1">
        <f t="array" ref="AZ51">IF($AO51=999,0,INDEX(AK$198:AK$313,$AO51))</f>
        <v>1.37</v>
      </c>
      <c r="BA51" s="187" cm="1">
        <f t="array" ref="BA51">IF($AO51=999,0,INDEX(AL$198:AL$313,$AO51))</f>
        <v>0.91</v>
      </c>
      <c r="BB51" s="252" t="str">
        <f>INDEX(pMenus!$C$10:$C$23,MATCH(AU51,pMenus!$B$10:$B$23,0))</f>
        <v>Urban Connectors</v>
      </c>
      <c r="BC51" s="221">
        <f t="shared" si="23"/>
        <v>1819.8180181981802</v>
      </c>
      <c r="BD51" s="237">
        <f t="shared" si="24"/>
        <v>3613.2618622195755</v>
      </c>
      <c r="BE51" s="188" t="s">
        <v>591</v>
      </c>
      <c r="BF51" s="188" t="str">
        <f t="shared" si="34"/>
        <v>Canterbury Region</v>
      </c>
      <c r="BG51" s="188" t="str">
        <f t="shared" si="35"/>
        <v>Combined</v>
      </c>
      <c r="BH51" s="188" t="str">
        <f t="shared" si="36"/>
        <v>2019/20</v>
      </c>
      <c r="BI51" s="188" t="str">
        <f t="shared" si="37"/>
        <v>URBAN</v>
      </c>
      <c r="BJ51" s="188" t="str">
        <f t="shared" si="38"/>
        <v>Main Streets</v>
      </c>
      <c r="BK51" s="188">
        <f t="shared" si="39"/>
        <v>12.24</v>
      </c>
      <c r="BL51" s="188">
        <f t="shared" si="40"/>
        <v>3.0000000000000003E-4</v>
      </c>
      <c r="BM51" s="188">
        <f t="shared" si="41"/>
        <v>12.24</v>
      </c>
      <c r="BN51" s="188">
        <f t="shared" si="42"/>
        <v>0</v>
      </c>
      <c r="BO51" s="188">
        <f t="shared" si="43"/>
        <v>24.97</v>
      </c>
      <c r="BP51" s="188">
        <f t="shared" si="44"/>
        <v>44.38</v>
      </c>
      <c r="BQ51" s="253" t="str">
        <f>INDEX(pMenus!$D$10:$D$23,MATCH(BJ51,pMenus!$B$10:$B$23,0))</f>
        <v>Urban Connectors</v>
      </c>
      <c r="BR51" s="226">
        <f t="shared" si="25"/>
        <v>4869.4049297513184</v>
      </c>
      <c r="BS51" s="238">
        <f t="shared" si="26"/>
        <v>9933.7451875727456</v>
      </c>
    </row>
    <row r="52" spans="1:71">
      <c r="A52" s="202"/>
      <c r="B52" s="210" t="str">
        <f t="shared" si="27"/>
        <v>Urban Connectors Local LTA Roads Canterbury Region</v>
      </c>
      <c r="C52" s="193">
        <f t="shared" si="21"/>
        <v>0.78000000000000114</v>
      </c>
      <c r="D52" s="193">
        <f t="shared" si="22"/>
        <v>0.37000000000000455</v>
      </c>
      <c r="E52" s="194">
        <f t="shared" si="2"/>
        <v>1299.6136283807657</v>
      </c>
      <c r="F52" s="202"/>
      <c r="AA52" s="185" t="s">
        <v>412</v>
      </c>
      <c r="AB52" s="185" t="s">
        <v>420</v>
      </c>
      <c r="AC52" s="185" t="s">
        <v>401</v>
      </c>
      <c r="AD52" s="185" t="s">
        <v>331</v>
      </c>
      <c r="AE52" s="185" t="s">
        <v>407</v>
      </c>
      <c r="AF52" s="185" t="s">
        <v>410</v>
      </c>
      <c r="AG52" s="185">
        <v>49.46</v>
      </c>
      <c r="AH52" s="185">
        <v>3.0999999999999999E-3</v>
      </c>
      <c r="AI52" s="185">
        <v>49.46</v>
      </c>
      <c r="AJ52" s="185">
        <v>0</v>
      </c>
      <c r="AK52" s="185">
        <v>92.76</v>
      </c>
      <c r="AL52" s="185">
        <v>241.6</v>
      </c>
      <c r="AM52" s="186">
        <v>63</v>
      </c>
      <c r="AN52" s="186" t="str">
        <f t="shared" si="3"/>
        <v>Canterbury RegionTransit Corridors</v>
      </c>
      <c r="AO52" s="186">
        <f t="shared" si="28"/>
        <v>25</v>
      </c>
      <c r="AP52" s="187" t="s">
        <v>1105</v>
      </c>
      <c r="AQ52" s="187" t="str">
        <f t="shared" si="29"/>
        <v>Canterbury Region</v>
      </c>
      <c r="AR52" s="187" t="str">
        <f t="shared" si="30"/>
        <v>Combined</v>
      </c>
      <c r="AS52" s="187" t="str">
        <f t="shared" si="31"/>
        <v>2019/20</v>
      </c>
      <c r="AT52" s="187" t="str">
        <f t="shared" si="32"/>
        <v>URBAN</v>
      </c>
      <c r="AU52" s="187" t="str">
        <f t="shared" si="33"/>
        <v>Transit Corridors</v>
      </c>
      <c r="AV52" s="187" cm="1">
        <f t="array" ref="AV52">IF($AO52=999,0,INDEX(AG$198:AG$313,$AO52))</f>
        <v>49.07</v>
      </c>
      <c r="AW52" s="187" cm="1">
        <f t="array" ref="AW52">IF($AO52=999,0,INDEX(AH$198:AH$313,$AO52))</f>
        <v>3.5099999999999999E-2</v>
      </c>
      <c r="AX52" s="187" cm="1">
        <f t="array" ref="AX52">IF($AO52=999,0,INDEX(AI$198:AI$313,$AO52))</f>
        <v>49.07</v>
      </c>
      <c r="AY52" s="187" cm="1">
        <f t="array" ref="AY52">IF($AO52=999,0,INDEX(AJ$198:AJ$313,$AO52))</f>
        <v>0</v>
      </c>
      <c r="AZ52" s="187" cm="1">
        <f t="array" ref="AZ52">IF($AO52=999,0,INDEX(AK$198:AK$313,$AO52))</f>
        <v>91.98</v>
      </c>
      <c r="BA52" s="187" cm="1">
        <f t="array" ref="BA52">IF($AO52=999,0,INDEX(AL$198:AL$313,$AO52))</f>
        <v>241.23</v>
      </c>
      <c r="BB52" s="252" t="str">
        <f>INDEX(pMenus!$C$10:$C$23,MATCH(AU52,pMenus!$B$10:$B$23,0))</f>
        <v>Transit Corridors</v>
      </c>
      <c r="BC52" s="221">
        <f t="shared" si="23"/>
        <v>7185.3023438686787</v>
      </c>
      <c r="BD52" s="237">
        <f t="shared" si="24"/>
        <v>13468.598116752419</v>
      </c>
      <c r="BE52" s="188" t="s">
        <v>591</v>
      </c>
      <c r="BF52" s="188" t="str">
        <f t="shared" si="34"/>
        <v>Canterbury Region</v>
      </c>
      <c r="BG52" s="188" t="str">
        <f t="shared" si="35"/>
        <v>Combined</v>
      </c>
      <c r="BH52" s="188" t="str">
        <f t="shared" si="36"/>
        <v>2019/20</v>
      </c>
      <c r="BI52" s="188" t="str">
        <f t="shared" si="37"/>
        <v>URBAN</v>
      </c>
      <c r="BJ52" s="188" t="str">
        <f t="shared" si="38"/>
        <v>Transit Corridors</v>
      </c>
      <c r="BK52" s="188">
        <f t="shared" si="39"/>
        <v>0.39000000000000057</v>
      </c>
      <c r="BL52" s="188">
        <f t="shared" si="40"/>
        <v>-3.2000000000000001E-2</v>
      </c>
      <c r="BM52" s="188">
        <f t="shared" si="41"/>
        <v>0.39000000000000057</v>
      </c>
      <c r="BN52" s="188">
        <f t="shared" si="42"/>
        <v>0</v>
      </c>
      <c r="BO52" s="188">
        <f t="shared" si="43"/>
        <v>0.78000000000000114</v>
      </c>
      <c r="BP52" s="188">
        <f t="shared" si="44"/>
        <v>0.37000000000000455</v>
      </c>
      <c r="BQ52" s="253" t="str">
        <f>INDEX(pMenus!$D$10:$D$23,MATCH(BJ52,pMenus!$B$10:$B$23,0))</f>
        <v>Urban Connectors</v>
      </c>
      <c r="BR52" s="226">
        <f t="shared" si="25"/>
        <v>1299.6136283807657</v>
      </c>
      <c r="BS52" s="238">
        <f t="shared" si="26"/>
        <v>2599.2272567615314</v>
      </c>
    </row>
    <row r="53" spans="1:71">
      <c r="A53" s="202"/>
      <c r="B53" s="210" t="str">
        <f t="shared" si="27"/>
        <v>Urban Connectors Local LTA Roads Canterbury Region</v>
      </c>
      <c r="C53" s="193">
        <f t="shared" si="21"/>
        <v>1155.07</v>
      </c>
      <c r="D53" s="193">
        <f t="shared" si="22"/>
        <v>1685.6100000000001</v>
      </c>
      <c r="E53" s="194">
        <f t="shared" si="2"/>
        <v>3998.1209701932321</v>
      </c>
      <c r="F53" s="202"/>
      <c r="AA53" s="185" t="s">
        <v>412</v>
      </c>
      <c r="AB53" s="185" t="s">
        <v>420</v>
      </c>
      <c r="AC53" s="185" t="s">
        <v>401</v>
      </c>
      <c r="AD53" s="185" t="s">
        <v>331</v>
      </c>
      <c r="AE53" s="185" t="s">
        <v>407</v>
      </c>
      <c r="AF53" s="185" t="s">
        <v>411</v>
      </c>
      <c r="AG53" s="185">
        <v>672.93</v>
      </c>
      <c r="AH53" s="185">
        <v>4.1599999999999998E-2</v>
      </c>
      <c r="AI53" s="185">
        <v>672.91</v>
      </c>
      <c r="AJ53" s="185">
        <v>0.02</v>
      </c>
      <c r="AK53" s="185">
        <v>1369.81</v>
      </c>
      <c r="AL53" s="185">
        <v>2157.0300000000002</v>
      </c>
      <c r="AM53" s="186">
        <v>64</v>
      </c>
      <c r="AN53" s="186" t="str">
        <f t="shared" si="3"/>
        <v>Canterbury RegionUrban Connectors</v>
      </c>
      <c r="AO53" s="186">
        <f t="shared" si="28"/>
        <v>26</v>
      </c>
      <c r="AP53" s="187" t="s">
        <v>1105</v>
      </c>
      <c r="AQ53" s="187" t="str">
        <f t="shared" si="29"/>
        <v>Canterbury Region</v>
      </c>
      <c r="AR53" s="187" t="str">
        <f t="shared" si="30"/>
        <v>Combined</v>
      </c>
      <c r="AS53" s="187" t="str">
        <f t="shared" si="31"/>
        <v>2019/20</v>
      </c>
      <c r="AT53" s="187" t="str">
        <f t="shared" si="32"/>
        <v>URBAN</v>
      </c>
      <c r="AU53" s="187" t="str">
        <f t="shared" si="33"/>
        <v>Urban Connectors</v>
      </c>
      <c r="AV53" s="187" cm="1">
        <f t="array" ref="AV53">IF($AO53=999,0,INDEX(AG$198:AG$313,$AO53))</f>
        <v>106.36</v>
      </c>
      <c r="AW53" s="187" cm="1">
        <f t="array" ref="AW53">IF($AO53=999,0,INDEX(AH$198:AH$313,$AO53))</f>
        <v>7.6100000000000001E-2</v>
      </c>
      <c r="AX53" s="187" cm="1">
        <f t="array" ref="AX53">IF($AO53=999,0,INDEX(AI$198:AI$313,$AO53))</f>
        <v>106.36</v>
      </c>
      <c r="AY53" s="187" cm="1">
        <f t="array" ref="AY53">IF($AO53=999,0,INDEX(AJ$198:AJ$313,$AO53))</f>
        <v>0</v>
      </c>
      <c r="AZ53" s="187" cm="1">
        <f t="array" ref="AZ53">IF($AO53=999,0,INDEX(AK$198:AK$313,$AO53))</f>
        <v>214.74</v>
      </c>
      <c r="BA53" s="187" cm="1">
        <f t="array" ref="BA53">IF($AO53=999,0,INDEX(AL$198:AL$313,$AO53))</f>
        <v>471.42</v>
      </c>
      <c r="BB53" s="252" t="str">
        <f>INDEX(pMenus!$C$10:$C$23,MATCH(AU53,pMenus!$B$10:$B$23,0))</f>
        <v>Urban Connectors</v>
      </c>
      <c r="BC53" s="221">
        <f t="shared" si="23"/>
        <v>6014.536853104295</v>
      </c>
      <c r="BD53" s="237">
        <f t="shared" si="24"/>
        <v>12143.302405374357</v>
      </c>
      <c r="BE53" s="188" t="s">
        <v>591</v>
      </c>
      <c r="BF53" s="188" t="str">
        <f t="shared" si="34"/>
        <v>Canterbury Region</v>
      </c>
      <c r="BG53" s="188" t="str">
        <f t="shared" si="35"/>
        <v>Combined</v>
      </c>
      <c r="BH53" s="188" t="str">
        <f t="shared" si="36"/>
        <v>2019/20</v>
      </c>
      <c r="BI53" s="188" t="str">
        <f t="shared" si="37"/>
        <v>URBAN</v>
      </c>
      <c r="BJ53" s="188" t="str">
        <f t="shared" si="38"/>
        <v>Urban Connectors</v>
      </c>
      <c r="BK53" s="188">
        <f t="shared" si="39"/>
        <v>566.56999999999994</v>
      </c>
      <c r="BL53" s="188">
        <f t="shared" si="40"/>
        <v>-3.4500000000000003E-2</v>
      </c>
      <c r="BM53" s="188">
        <f t="shared" si="41"/>
        <v>566.54999999999995</v>
      </c>
      <c r="BN53" s="188">
        <f t="shared" si="42"/>
        <v>0.02</v>
      </c>
      <c r="BO53" s="188">
        <f t="shared" si="43"/>
        <v>1155.07</v>
      </c>
      <c r="BP53" s="188">
        <f t="shared" si="44"/>
        <v>1685.6100000000001</v>
      </c>
      <c r="BQ53" s="253" t="str">
        <f>INDEX(pMenus!$D$10:$D$23,MATCH(BJ53,pMenus!$B$10:$B$23,0))</f>
        <v>Urban Connectors</v>
      </c>
      <c r="BR53" s="226">
        <f t="shared" si="25"/>
        <v>3998.1209701932321</v>
      </c>
      <c r="BS53" s="238">
        <f t="shared" si="26"/>
        <v>8150.9956210902392</v>
      </c>
    </row>
    <row r="54" spans="1:71">
      <c r="A54" s="202"/>
      <c r="B54" s="210" t="str">
        <f t="shared" si="27"/>
        <v>NA Local LTA Roads Chatham Islands Region</v>
      </c>
      <c r="C54" s="193">
        <f t="shared" si="21"/>
        <v>0.5</v>
      </c>
      <c r="D54" s="193">
        <f t="shared" si="22"/>
        <v>0.01</v>
      </c>
      <c r="E54" s="194">
        <f t="shared" si="2"/>
        <v>54.794520547945204</v>
      </c>
      <c r="F54" s="202"/>
      <c r="AA54" s="185" t="s">
        <v>412</v>
      </c>
      <c r="AB54" s="185" t="s">
        <v>421</v>
      </c>
      <c r="AC54" s="185" t="s">
        <v>401</v>
      </c>
      <c r="AD54" s="185" t="s">
        <v>331</v>
      </c>
      <c r="AE54" s="185"/>
      <c r="AF54" s="185" t="s">
        <v>402</v>
      </c>
      <c r="AG54" s="185">
        <v>0.3</v>
      </c>
      <c r="AH54" s="185">
        <v>1.6999999999999999E-3</v>
      </c>
      <c r="AI54" s="185">
        <v>0.18</v>
      </c>
      <c r="AJ54" s="185">
        <v>0.12</v>
      </c>
      <c r="AK54" s="185">
        <v>0.5</v>
      </c>
      <c r="AL54" s="185">
        <v>0.01</v>
      </c>
      <c r="AM54" s="186">
        <v>65</v>
      </c>
      <c r="AN54" s="186" t="str">
        <f t="shared" si="3"/>
        <v>Chatham Islands RegionUnclassified</v>
      </c>
      <c r="AO54" s="186">
        <f t="shared" si="28"/>
        <v>999</v>
      </c>
      <c r="AP54" s="187" t="s">
        <v>1105</v>
      </c>
      <c r="AQ54" s="187" t="str">
        <f t="shared" si="29"/>
        <v>Chatham Islands Region</v>
      </c>
      <c r="AR54" s="187" t="str">
        <f t="shared" si="30"/>
        <v>Combined</v>
      </c>
      <c r="AS54" s="187" t="str">
        <f t="shared" si="31"/>
        <v>2019/20</v>
      </c>
      <c r="AT54" s="187">
        <f t="shared" si="32"/>
        <v>0</v>
      </c>
      <c r="AU54" s="187" t="str">
        <f t="shared" si="33"/>
        <v>Unclassified</v>
      </c>
      <c r="AV54" s="187" cm="1">
        <f t="array" ref="AV54">IF($AO54=999,0,INDEX(AG$198:AG$313,$AO54))</f>
        <v>0</v>
      </c>
      <c r="AW54" s="187" cm="1">
        <f t="array" ref="AW54">IF($AO54=999,0,INDEX(AH$198:AH$313,$AO54))</f>
        <v>0</v>
      </c>
      <c r="AX54" s="187" cm="1">
        <f t="array" ref="AX54">IF($AO54=999,0,INDEX(AI$198:AI$313,$AO54))</f>
        <v>0</v>
      </c>
      <c r="AY54" s="187" cm="1">
        <f t="array" ref="AY54">IF($AO54=999,0,INDEX(AJ$198:AJ$313,$AO54))</f>
        <v>0</v>
      </c>
      <c r="AZ54" s="187" cm="1">
        <f t="array" ref="AZ54">IF($AO54=999,0,INDEX(AK$198:AK$313,$AO54))</f>
        <v>0</v>
      </c>
      <c r="BA54" s="187" cm="1">
        <f t="array" ref="BA54">IF($AO54=999,0,INDEX(AL$198:AL$313,$AO54))</f>
        <v>0</v>
      </c>
      <c r="BB54" s="252" t="str">
        <f>INDEX(pMenus!$C$10:$C$23,MATCH(AU54,pMenus!$B$10:$B$23,0))</f>
        <v>NA</v>
      </c>
      <c r="BC54" s="221">
        <f t="shared" si="23"/>
        <v>0</v>
      </c>
      <c r="BD54" s="237">
        <f t="shared" si="24"/>
        <v>0</v>
      </c>
      <c r="BE54" s="188" t="s">
        <v>591</v>
      </c>
      <c r="BF54" s="188" t="str">
        <f t="shared" si="34"/>
        <v>Chatham Islands Region</v>
      </c>
      <c r="BG54" s="188" t="str">
        <f t="shared" si="35"/>
        <v>Combined</v>
      </c>
      <c r="BH54" s="188" t="str">
        <f t="shared" si="36"/>
        <v>2019/20</v>
      </c>
      <c r="BI54" s="188">
        <f t="shared" si="37"/>
        <v>0</v>
      </c>
      <c r="BJ54" s="188" t="str">
        <f t="shared" si="38"/>
        <v>Unclassified</v>
      </c>
      <c r="BK54" s="188">
        <f t="shared" si="39"/>
        <v>0.3</v>
      </c>
      <c r="BL54" s="188">
        <f t="shared" si="40"/>
        <v>1.6999999999999999E-3</v>
      </c>
      <c r="BM54" s="188">
        <f t="shared" si="41"/>
        <v>0.18</v>
      </c>
      <c r="BN54" s="188">
        <f t="shared" si="42"/>
        <v>0.12</v>
      </c>
      <c r="BO54" s="188">
        <f t="shared" si="43"/>
        <v>0.5</v>
      </c>
      <c r="BP54" s="188">
        <f t="shared" si="44"/>
        <v>0.01</v>
      </c>
      <c r="BQ54" s="253" t="str">
        <f>INDEX(pMenus!$D$10:$D$23,MATCH(BJ54,pMenus!$B$10:$B$23,0))</f>
        <v>NA</v>
      </c>
      <c r="BR54" s="226">
        <f t="shared" si="25"/>
        <v>54.794520547945204</v>
      </c>
      <c r="BS54" s="238">
        <f t="shared" si="26"/>
        <v>91.324200913242009</v>
      </c>
    </row>
    <row r="55" spans="1:71">
      <c r="A55" s="202"/>
      <c r="B55" s="210" t="str">
        <f t="shared" si="27"/>
        <v>Rural Connectors Local LTA Roads Chatham Islands Region</v>
      </c>
      <c r="C55" s="193">
        <f t="shared" si="21"/>
        <v>6.71</v>
      </c>
      <c r="D55" s="193">
        <f t="shared" si="22"/>
        <v>0.18</v>
      </c>
      <c r="E55" s="194">
        <f t="shared" si="2"/>
        <v>73.494885980850498</v>
      </c>
      <c r="F55" s="202"/>
      <c r="AA55" s="185" t="s">
        <v>412</v>
      </c>
      <c r="AB55" s="185" t="s">
        <v>421</v>
      </c>
      <c r="AC55" s="185" t="s">
        <v>401</v>
      </c>
      <c r="AD55" s="185" t="s">
        <v>331</v>
      </c>
      <c r="AE55" s="185" t="s">
        <v>403</v>
      </c>
      <c r="AF55" s="185" t="s">
        <v>405</v>
      </c>
      <c r="AG55" s="185">
        <v>3.74</v>
      </c>
      <c r="AH55" s="185">
        <v>2.1000000000000001E-2</v>
      </c>
      <c r="AI55" s="185">
        <v>2.97</v>
      </c>
      <c r="AJ55" s="185">
        <v>0.77</v>
      </c>
      <c r="AK55" s="185">
        <v>6.71</v>
      </c>
      <c r="AL55" s="185">
        <v>0.18</v>
      </c>
      <c r="AM55" s="186">
        <v>66</v>
      </c>
      <c r="AN55" s="186" t="str">
        <f t="shared" si="3"/>
        <v>Chatham Islands RegionPeri-urban Roads</v>
      </c>
      <c r="AO55" s="186">
        <f t="shared" si="28"/>
        <v>999</v>
      </c>
      <c r="AP55" s="187" t="s">
        <v>1105</v>
      </c>
      <c r="AQ55" s="187" t="str">
        <f t="shared" si="29"/>
        <v>Chatham Islands Region</v>
      </c>
      <c r="AR55" s="187" t="str">
        <f t="shared" si="30"/>
        <v>Combined</v>
      </c>
      <c r="AS55" s="187" t="str">
        <f t="shared" si="31"/>
        <v>2019/20</v>
      </c>
      <c r="AT55" s="187" t="str">
        <f t="shared" si="32"/>
        <v>RURAL</v>
      </c>
      <c r="AU55" s="187" t="str">
        <f t="shared" si="33"/>
        <v>Peri-urban Roads</v>
      </c>
      <c r="AV55" s="187" cm="1">
        <f t="array" ref="AV55">IF($AO55=999,0,INDEX(AG$198:AG$313,$AO55))</f>
        <v>0</v>
      </c>
      <c r="AW55" s="187" cm="1">
        <f t="array" ref="AW55">IF($AO55=999,0,INDEX(AH$198:AH$313,$AO55))</f>
        <v>0</v>
      </c>
      <c r="AX55" s="187" cm="1">
        <f t="array" ref="AX55">IF($AO55=999,0,INDEX(AI$198:AI$313,$AO55))</f>
        <v>0</v>
      </c>
      <c r="AY55" s="187" cm="1">
        <f t="array" ref="AY55">IF($AO55=999,0,INDEX(AJ$198:AJ$313,$AO55))</f>
        <v>0</v>
      </c>
      <c r="AZ55" s="187" cm="1">
        <f t="array" ref="AZ55">IF($AO55=999,0,INDEX(AK$198:AK$313,$AO55))</f>
        <v>0</v>
      </c>
      <c r="BA55" s="187" cm="1">
        <f t="array" ref="BA55">IF($AO55=999,0,INDEX(AL$198:AL$313,$AO55))</f>
        <v>0</v>
      </c>
      <c r="BB55" s="252" t="str">
        <f>INDEX(pMenus!$C$10:$C$23,MATCH(AU55,pMenus!$B$10:$B$23,0))</f>
        <v>Interregional Connectors</v>
      </c>
      <c r="BC55" s="221">
        <f t="shared" si="23"/>
        <v>0</v>
      </c>
      <c r="BD55" s="237">
        <f t="shared" si="24"/>
        <v>0</v>
      </c>
      <c r="BE55" s="188" t="s">
        <v>591</v>
      </c>
      <c r="BF55" s="188" t="str">
        <f t="shared" si="34"/>
        <v>Chatham Islands Region</v>
      </c>
      <c r="BG55" s="188" t="str">
        <f t="shared" si="35"/>
        <v>Combined</v>
      </c>
      <c r="BH55" s="188" t="str">
        <f t="shared" si="36"/>
        <v>2019/20</v>
      </c>
      <c r="BI55" s="188" t="str">
        <f t="shared" si="37"/>
        <v>RURAL</v>
      </c>
      <c r="BJ55" s="188" t="str">
        <f t="shared" si="38"/>
        <v>Peri-urban Roads</v>
      </c>
      <c r="BK55" s="188">
        <f t="shared" si="39"/>
        <v>3.74</v>
      </c>
      <c r="BL55" s="188">
        <f t="shared" si="40"/>
        <v>2.1000000000000001E-2</v>
      </c>
      <c r="BM55" s="188">
        <f t="shared" si="41"/>
        <v>2.97</v>
      </c>
      <c r="BN55" s="188">
        <f t="shared" si="42"/>
        <v>0.77</v>
      </c>
      <c r="BO55" s="188">
        <f t="shared" si="43"/>
        <v>6.71</v>
      </c>
      <c r="BP55" s="188">
        <f t="shared" si="44"/>
        <v>0.18</v>
      </c>
      <c r="BQ55" s="253" t="str">
        <f>INDEX(pMenus!$D$10:$D$23,MATCH(BJ55,pMenus!$B$10:$B$23,0))</f>
        <v>Rural Connectors</v>
      </c>
      <c r="BR55" s="226">
        <f t="shared" si="25"/>
        <v>73.494885980850498</v>
      </c>
      <c r="BS55" s="238">
        <f t="shared" si="26"/>
        <v>131.85847190682</v>
      </c>
    </row>
    <row r="56" spans="1:71">
      <c r="A56" s="202"/>
      <c r="B56" s="210" t="str">
        <f t="shared" si="27"/>
        <v>Rural Connectors Local LTA Roads Chatham Islands Region</v>
      </c>
      <c r="C56" s="193">
        <f t="shared" si="21"/>
        <v>33.450000000000003</v>
      </c>
      <c r="D56" s="193">
        <f t="shared" si="22"/>
        <v>1.35</v>
      </c>
      <c r="E56" s="194">
        <f t="shared" si="2"/>
        <v>110.57190245101052</v>
      </c>
      <c r="F56" s="202"/>
      <c r="AA56" s="185" t="s">
        <v>412</v>
      </c>
      <c r="AB56" s="185" t="s">
        <v>421</v>
      </c>
      <c r="AC56" s="185" t="s">
        <v>401</v>
      </c>
      <c r="AD56" s="185" t="s">
        <v>331</v>
      </c>
      <c r="AE56" s="185" t="s">
        <v>403</v>
      </c>
      <c r="AF56" s="185" t="s">
        <v>406</v>
      </c>
      <c r="AG56" s="185">
        <v>16.72</v>
      </c>
      <c r="AH56" s="185">
        <v>9.3700000000000006E-2</v>
      </c>
      <c r="AI56" s="185">
        <v>2.94</v>
      </c>
      <c r="AJ56" s="185">
        <v>13.79</v>
      </c>
      <c r="AK56" s="185">
        <v>33.450000000000003</v>
      </c>
      <c r="AL56" s="185">
        <v>1.35</v>
      </c>
      <c r="AM56" s="186">
        <v>67</v>
      </c>
      <c r="AN56" s="186" t="str">
        <f t="shared" si="3"/>
        <v>Chatham Islands RegionRural Connectors</v>
      </c>
      <c r="AO56" s="186">
        <f t="shared" si="28"/>
        <v>999</v>
      </c>
      <c r="AP56" s="187" t="s">
        <v>1105</v>
      </c>
      <c r="AQ56" s="187" t="str">
        <f t="shared" si="29"/>
        <v>Chatham Islands Region</v>
      </c>
      <c r="AR56" s="187" t="str">
        <f t="shared" si="30"/>
        <v>Combined</v>
      </c>
      <c r="AS56" s="187" t="str">
        <f t="shared" si="31"/>
        <v>2019/20</v>
      </c>
      <c r="AT56" s="187" t="str">
        <f t="shared" si="32"/>
        <v>RURAL</v>
      </c>
      <c r="AU56" s="187" t="str">
        <f t="shared" si="33"/>
        <v>Rural Connectors</v>
      </c>
      <c r="AV56" s="187" cm="1">
        <f t="array" ref="AV56">IF($AO56=999,0,INDEX(AG$198:AG$313,$AO56))</f>
        <v>0</v>
      </c>
      <c r="AW56" s="187" cm="1">
        <f t="array" ref="AW56">IF($AO56=999,0,INDEX(AH$198:AH$313,$AO56))</f>
        <v>0</v>
      </c>
      <c r="AX56" s="187" cm="1">
        <f t="array" ref="AX56">IF($AO56=999,0,INDEX(AI$198:AI$313,$AO56))</f>
        <v>0</v>
      </c>
      <c r="AY56" s="187" cm="1">
        <f t="array" ref="AY56">IF($AO56=999,0,INDEX(AJ$198:AJ$313,$AO56))</f>
        <v>0</v>
      </c>
      <c r="AZ56" s="187" cm="1">
        <f t="array" ref="AZ56">IF($AO56=999,0,INDEX(AK$198:AK$313,$AO56))</f>
        <v>0</v>
      </c>
      <c r="BA56" s="187" cm="1">
        <f t="array" ref="BA56">IF($AO56=999,0,INDEX(AL$198:AL$313,$AO56))</f>
        <v>0</v>
      </c>
      <c r="BB56" s="252" t="str">
        <f>INDEX(pMenus!$C$10:$C$23,MATCH(AU56,pMenus!$B$10:$B$23,0))</f>
        <v>Rural Connectors</v>
      </c>
      <c r="BC56" s="221">
        <f t="shared" si="23"/>
        <v>0</v>
      </c>
      <c r="BD56" s="237">
        <f t="shared" si="24"/>
        <v>0</v>
      </c>
      <c r="BE56" s="188" t="s">
        <v>591</v>
      </c>
      <c r="BF56" s="188" t="str">
        <f t="shared" si="34"/>
        <v>Chatham Islands Region</v>
      </c>
      <c r="BG56" s="188" t="str">
        <f t="shared" si="35"/>
        <v>Combined</v>
      </c>
      <c r="BH56" s="188" t="str">
        <f t="shared" si="36"/>
        <v>2019/20</v>
      </c>
      <c r="BI56" s="188" t="str">
        <f t="shared" si="37"/>
        <v>RURAL</v>
      </c>
      <c r="BJ56" s="188" t="str">
        <f t="shared" si="38"/>
        <v>Rural Connectors</v>
      </c>
      <c r="BK56" s="188">
        <f t="shared" si="39"/>
        <v>16.72</v>
      </c>
      <c r="BL56" s="188">
        <f t="shared" si="40"/>
        <v>9.3700000000000006E-2</v>
      </c>
      <c r="BM56" s="188">
        <f t="shared" si="41"/>
        <v>2.94</v>
      </c>
      <c r="BN56" s="188">
        <f t="shared" si="42"/>
        <v>13.79</v>
      </c>
      <c r="BO56" s="188">
        <f t="shared" si="43"/>
        <v>33.450000000000003</v>
      </c>
      <c r="BP56" s="188">
        <f t="shared" si="44"/>
        <v>1.35</v>
      </c>
      <c r="BQ56" s="253" t="str">
        <f>INDEX(pMenus!$D$10:$D$23,MATCH(BJ56,pMenus!$B$10:$B$23,0))</f>
        <v>Rural Connectors</v>
      </c>
      <c r="BR56" s="226">
        <f t="shared" si="25"/>
        <v>110.57190245101052</v>
      </c>
      <c r="BS56" s="238">
        <f t="shared" si="26"/>
        <v>221.2099364226257</v>
      </c>
    </row>
    <row r="57" spans="1:71">
      <c r="A57" s="202"/>
      <c r="B57" s="210" t="str">
        <f t="shared" si="27"/>
        <v>Rural Connectors Local LTA Roads Chatham Islands Region</v>
      </c>
      <c r="C57" s="193">
        <f t="shared" si="21"/>
        <v>232.65</v>
      </c>
      <c r="D57" s="193">
        <f t="shared" si="22"/>
        <v>4.08</v>
      </c>
      <c r="E57" s="194">
        <f t="shared" si="2"/>
        <v>48.046774948552851</v>
      </c>
      <c r="F57" s="202"/>
      <c r="AA57" s="185" t="s">
        <v>412</v>
      </c>
      <c r="AB57" s="185" t="s">
        <v>421</v>
      </c>
      <c r="AC57" s="185" t="s">
        <v>401</v>
      </c>
      <c r="AD57" s="185" t="s">
        <v>331</v>
      </c>
      <c r="AE57" s="185" t="s">
        <v>403</v>
      </c>
      <c r="AF57" s="185" t="s">
        <v>414</v>
      </c>
      <c r="AG57" s="185">
        <v>150.91999999999999</v>
      </c>
      <c r="AH57" s="185">
        <v>0.8458</v>
      </c>
      <c r="AI57" s="185">
        <v>3.73</v>
      </c>
      <c r="AJ57" s="185">
        <v>147.18</v>
      </c>
      <c r="AK57" s="185">
        <v>232.65</v>
      </c>
      <c r="AL57" s="185">
        <v>4.08</v>
      </c>
      <c r="AM57" s="186">
        <v>68</v>
      </c>
      <c r="AN57" s="186" t="str">
        <f t="shared" si="3"/>
        <v>Chatham Islands RegionRural Roads</v>
      </c>
      <c r="AO57" s="186">
        <f t="shared" si="28"/>
        <v>999</v>
      </c>
      <c r="AP57" s="187" t="s">
        <v>1105</v>
      </c>
      <c r="AQ57" s="187" t="str">
        <f t="shared" si="29"/>
        <v>Chatham Islands Region</v>
      </c>
      <c r="AR57" s="187" t="str">
        <f t="shared" si="30"/>
        <v>Combined</v>
      </c>
      <c r="AS57" s="187" t="str">
        <f t="shared" si="31"/>
        <v>2019/20</v>
      </c>
      <c r="AT57" s="187" t="str">
        <f t="shared" si="32"/>
        <v>RURAL</v>
      </c>
      <c r="AU57" s="187" t="str">
        <f t="shared" si="33"/>
        <v>Rural Roads</v>
      </c>
      <c r="AV57" s="187" cm="1">
        <f t="array" ref="AV57">IF($AO57=999,0,INDEX(AG$198:AG$313,$AO57))</f>
        <v>0</v>
      </c>
      <c r="AW57" s="187" cm="1">
        <f t="array" ref="AW57">IF($AO57=999,0,INDEX(AH$198:AH$313,$AO57))</f>
        <v>0</v>
      </c>
      <c r="AX57" s="187" cm="1">
        <f t="array" ref="AX57">IF($AO57=999,0,INDEX(AI$198:AI$313,$AO57))</f>
        <v>0</v>
      </c>
      <c r="AY57" s="187" cm="1">
        <f t="array" ref="AY57">IF($AO57=999,0,INDEX(AJ$198:AJ$313,$AO57))</f>
        <v>0</v>
      </c>
      <c r="AZ57" s="187" cm="1">
        <f t="array" ref="AZ57">IF($AO57=999,0,INDEX(AK$198:AK$313,$AO57))</f>
        <v>0</v>
      </c>
      <c r="BA57" s="187" cm="1">
        <f t="array" ref="BA57">IF($AO57=999,0,INDEX(AL$198:AL$313,$AO57))</f>
        <v>0</v>
      </c>
      <c r="BB57" s="252" t="str">
        <f>INDEX(pMenus!$C$10:$C$23,MATCH(AU57,pMenus!$B$10:$B$23,0))</f>
        <v>NA</v>
      </c>
      <c r="BC57" s="221">
        <f t="shared" si="23"/>
        <v>0</v>
      </c>
      <c r="BD57" s="237">
        <f t="shared" si="24"/>
        <v>0</v>
      </c>
      <c r="BE57" s="188" t="s">
        <v>591</v>
      </c>
      <c r="BF57" s="188" t="str">
        <f t="shared" si="34"/>
        <v>Chatham Islands Region</v>
      </c>
      <c r="BG57" s="188" t="str">
        <f t="shared" si="35"/>
        <v>Combined</v>
      </c>
      <c r="BH57" s="188" t="str">
        <f t="shared" si="36"/>
        <v>2019/20</v>
      </c>
      <c r="BI57" s="188" t="str">
        <f t="shared" si="37"/>
        <v>RURAL</v>
      </c>
      <c r="BJ57" s="188" t="str">
        <f t="shared" si="38"/>
        <v>Rural Roads</v>
      </c>
      <c r="BK57" s="188">
        <f t="shared" si="39"/>
        <v>150.91999999999999</v>
      </c>
      <c r="BL57" s="188">
        <f t="shared" si="40"/>
        <v>0.8458</v>
      </c>
      <c r="BM57" s="188">
        <f t="shared" si="41"/>
        <v>3.73</v>
      </c>
      <c r="BN57" s="188">
        <f t="shared" si="42"/>
        <v>147.18</v>
      </c>
      <c r="BO57" s="188">
        <f t="shared" si="43"/>
        <v>232.65</v>
      </c>
      <c r="BP57" s="188">
        <f t="shared" si="44"/>
        <v>4.08</v>
      </c>
      <c r="BQ57" s="253" t="str">
        <f>INDEX(pMenus!$D$10:$D$23,MATCH(BJ57,pMenus!$B$10:$B$23,0))</f>
        <v>Rural Connectors</v>
      </c>
      <c r="BR57" s="226">
        <f t="shared" si="25"/>
        <v>48.046774948552851</v>
      </c>
      <c r="BS57" s="238">
        <f t="shared" si="26"/>
        <v>74.066274793140877</v>
      </c>
    </row>
    <row r="58" spans="1:71">
      <c r="A58" s="202"/>
      <c r="B58" s="210" t="str">
        <f t="shared" si="27"/>
        <v>Rural Connectors Local LTA Roads Chatham Islands Region</v>
      </c>
      <c r="C58" s="193">
        <f t="shared" si="21"/>
        <v>1.1200000000000001</v>
      </c>
      <c r="D58" s="193">
        <f t="shared" si="22"/>
        <v>0.02</v>
      </c>
      <c r="E58" s="194">
        <f t="shared" si="2"/>
        <v>48.923679060665357</v>
      </c>
      <c r="F58" s="202"/>
      <c r="AA58" s="185" t="s">
        <v>412</v>
      </c>
      <c r="AB58" s="185" t="s">
        <v>421</v>
      </c>
      <c r="AC58" s="185" t="s">
        <v>401</v>
      </c>
      <c r="AD58" s="185" t="s">
        <v>331</v>
      </c>
      <c r="AE58" s="185" t="s">
        <v>403</v>
      </c>
      <c r="AF58" s="185" t="s">
        <v>415</v>
      </c>
      <c r="AG58" s="185">
        <v>0.83</v>
      </c>
      <c r="AH58" s="185">
        <v>4.5999999999999999E-3</v>
      </c>
      <c r="AI58" s="185">
        <v>0</v>
      </c>
      <c r="AJ58" s="185">
        <v>0.83</v>
      </c>
      <c r="AK58" s="185">
        <v>1.1200000000000001</v>
      </c>
      <c r="AL58" s="185">
        <v>0.02</v>
      </c>
      <c r="AM58" s="186">
        <v>69</v>
      </c>
      <c r="AN58" s="186" t="str">
        <f t="shared" si="3"/>
        <v>Chatham Islands RegionStopping Places</v>
      </c>
      <c r="AO58" s="186">
        <f t="shared" si="28"/>
        <v>999</v>
      </c>
      <c r="AP58" s="187" t="s">
        <v>1105</v>
      </c>
      <c r="AQ58" s="187" t="str">
        <f t="shared" si="29"/>
        <v>Chatham Islands Region</v>
      </c>
      <c r="AR58" s="187" t="str">
        <f t="shared" si="30"/>
        <v>Combined</v>
      </c>
      <c r="AS58" s="187" t="str">
        <f t="shared" si="31"/>
        <v>2019/20</v>
      </c>
      <c r="AT58" s="187" t="str">
        <f t="shared" si="32"/>
        <v>RURAL</v>
      </c>
      <c r="AU58" s="187" t="str">
        <f t="shared" si="33"/>
        <v>Stopping Places</v>
      </c>
      <c r="AV58" s="187" cm="1">
        <f t="array" ref="AV58">IF($AO58=999,0,INDEX(AG$198:AG$313,$AO58))</f>
        <v>0</v>
      </c>
      <c r="AW58" s="187" cm="1">
        <f t="array" ref="AW58">IF($AO58=999,0,INDEX(AH$198:AH$313,$AO58))</f>
        <v>0</v>
      </c>
      <c r="AX58" s="187" cm="1">
        <f t="array" ref="AX58">IF($AO58=999,0,INDEX(AI$198:AI$313,$AO58))</f>
        <v>0</v>
      </c>
      <c r="AY58" s="187" cm="1">
        <f t="array" ref="AY58">IF($AO58=999,0,INDEX(AJ$198:AJ$313,$AO58))</f>
        <v>0</v>
      </c>
      <c r="AZ58" s="187" cm="1">
        <f t="array" ref="AZ58">IF($AO58=999,0,INDEX(AK$198:AK$313,$AO58))</f>
        <v>0</v>
      </c>
      <c r="BA58" s="187" cm="1">
        <f t="array" ref="BA58">IF($AO58=999,0,INDEX(AL$198:AL$313,$AO58))</f>
        <v>0</v>
      </c>
      <c r="BB58" s="252" t="str">
        <f>INDEX(pMenus!$C$10:$C$23,MATCH(AU58,pMenus!$B$10:$B$23,0))</f>
        <v>Interregional Connectors</v>
      </c>
      <c r="BC58" s="221">
        <f t="shared" si="23"/>
        <v>0</v>
      </c>
      <c r="BD58" s="237">
        <f t="shared" si="24"/>
        <v>0</v>
      </c>
      <c r="BE58" s="188" t="s">
        <v>591</v>
      </c>
      <c r="BF58" s="188" t="str">
        <f t="shared" si="34"/>
        <v>Chatham Islands Region</v>
      </c>
      <c r="BG58" s="188" t="str">
        <f t="shared" si="35"/>
        <v>Combined</v>
      </c>
      <c r="BH58" s="188" t="str">
        <f t="shared" si="36"/>
        <v>2019/20</v>
      </c>
      <c r="BI58" s="188" t="str">
        <f t="shared" si="37"/>
        <v>RURAL</v>
      </c>
      <c r="BJ58" s="188" t="str">
        <f t="shared" si="38"/>
        <v>Stopping Places</v>
      </c>
      <c r="BK58" s="188">
        <f t="shared" si="39"/>
        <v>0.83</v>
      </c>
      <c r="BL58" s="188">
        <f t="shared" si="40"/>
        <v>4.5999999999999999E-3</v>
      </c>
      <c r="BM58" s="188">
        <f t="shared" si="41"/>
        <v>0</v>
      </c>
      <c r="BN58" s="188">
        <f t="shared" si="42"/>
        <v>0.83</v>
      </c>
      <c r="BO58" s="188">
        <f t="shared" si="43"/>
        <v>1.1200000000000001</v>
      </c>
      <c r="BP58" s="188">
        <f t="shared" si="44"/>
        <v>0.02</v>
      </c>
      <c r="BQ58" s="253" t="str">
        <f>INDEX(pMenus!$D$10:$D$23,MATCH(BJ58,pMenus!$B$10:$B$23,0))</f>
        <v>Rural Connectors</v>
      </c>
      <c r="BR58" s="226">
        <f t="shared" si="25"/>
        <v>48.923679060665357</v>
      </c>
      <c r="BS58" s="238">
        <f t="shared" si="26"/>
        <v>66.017494636078567</v>
      </c>
    </row>
    <row r="59" spans="1:71">
      <c r="A59" s="202"/>
      <c r="B59" s="210" t="str">
        <f t="shared" si="27"/>
        <v>Activity Streets Local LTA Roads Chatham Islands Region</v>
      </c>
      <c r="C59" s="193">
        <f t="shared" si="21"/>
        <v>2.4900000000000002</v>
      </c>
      <c r="D59" s="193">
        <f t="shared" si="22"/>
        <v>0.13</v>
      </c>
      <c r="E59" s="194">
        <f t="shared" si="2"/>
        <v>143.03790504483689</v>
      </c>
      <c r="F59" s="202"/>
      <c r="AA59" s="185" t="s">
        <v>412</v>
      </c>
      <c r="AB59" s="185" t="s">
        <v>421</v>
      </c>
      <c r="AC59" s="185" t="s">
        <v>401</v>
      </c>
      <c r="AD59" s="185" t="s">
        <v>331</v>
      </c>
      <c r="AE59" s="185" t="s">
        <v>407</v>
      </c>
      <c r="AF59" s="185" t="s">
        <v>408</v>
      </c>
      <c r="AG59" s="185">
        <v>1.25</v>
      </c>
      <c r="AH59" s="185">
        <v>7.0000000000000001E-3</v>
      </c>
      <c r="AI59" s="185">
        <v>1.25</v>
      </c>
      <c r="AJ59" s="185">
        <v>0</v>
      </c>
      <c r="AK59" s="185">
        <v>2.4900000000000002</v>
      </c>
      <c r="AL59" s="185">
        <v>0.13</v>
      </c>
      <c r="AM59" s="186">
        <v>70</v>
      </c>
      <c r="AN59" s="186" t="str">
        <f t="shared" si="3"/>
        <v>Chatham Islands RegionActivity Streets</v>
      </c>
      <c r="AO59" s="186">
        <f t="shared" si="28"/>
        <v>999</v>
      </c>
      <c r="AP59" s="187" t="s">
        <v>1105</v>
      </c>
      <c r="AQ59" s="187" t="str">
        <f t="shared" si="29"/>
        <v>Chatham Islands Region</v>
      </c>
      <c r="AR59" s="187" t="str">
        <f t="shared" si="30"/>
        <v>Combined</v>
      </c>
      <c r="AS59" s="187" t="str">
        <f t="shared" si="31"/>
        <v>2019/20</v>
      </c>
      <c r="AT59" s="187" t="str">
        <f t="shared" si="32"/>
        <v>URBAN</v>
      </c>
      <c r="AU59" s="187" t="str">
        <f t="shared" si="33"/>
        <v>Activity Streets</v>
      </c>
      <c r="AV59" s="187" cm="1">
        <f t="array" ref="AV59">IF($AO59=999,0,INDEX(AG$198:AG$313,$AO59))</f>
        <v>0</v>
      </c>
      <c r="AW59" s="187" cm="1">
        <f t="array" ref="AW59">IF($AO59=999,0,INDEX(AH$198:AH$313,$AO59))</f>
        <v>0</v>
      </c>
      <c r="AX59" s="187" cm="1">
        <f t="array" ref="AX59">IF($AO59=999,0,INDEX(AI$198:AI$313,$AO59))</f>
        <v>0</v>
      </c>
      <c r="AY59" s="187" cm="1">
        <f t="array" ref="AY59">IF($AO59=999,0,INDEX(AJ$198:AJ$313,$AO59))</f>
        <v>0</v>
      </c>
      <c r="AZ59" s="187" cm="1">
        <f t="array" ref="AZ59">IF($AO59=999,0,INDEX(AK$198:AK$313,$AO59))</f>
        <v>0</v>
      </c>
      <c r="BA59" s="187" cm="1">
        <f t="array" ref="BA59">IF($AO59=999,0,INDEX(AL$198:AL$313,$AO59))</f>
        <v>0</v>
      </c>
      <c r="BB59" s="252" t="str">
        <f>INDEX(pMenus!$C$10:$C$23,MATCH(AU59,pMenus!$B$10:$B$23,0))</f>
        <v>Urban Connectors</v>
      </c>
      <c r="BC59" s="221">
        <f t="shared" si="23"/>
        <v>0</v>
      </c>
      <c r="BD59" s="237">
        <f t="shared" si="24"/>
        <v>0</v>
      </c>
      <c r="BE59" s="188" t="s">
        <v>591</v>
      </c>
      <c r="BF59" s="188" t="str">
        <f t="shared" si="34"/>
        <v>Chatham Islands Region</v>
      </c>
      <c r="BG59" s="188" t="str">
        <f t="shared" si="35"/>
        <v>Combined</v>
      </c>
      <c r="BH59" s="188" t="str">
        <f t="shared" si="36"/>
        <v>2019/20</v>
      </c>
      <c r="BI59" s="188" t="str">
        <f t="shared" si="37"/>
        <v>URBAN</v>
      </c>
      <c r="BJ59" s="188" t="str">
        <f t="shared" si="38"/>
        <v>Activity Streets</v>
      </c>
      <c r="BK59" s="188">
        <f t="shared" si="39"/>
        <v>1.25</v>
      </c>
      <c r="BL59" s="188">
        <f t="shared" si="40"/>
        <v>7.0000000000000001E-3</v>
      </c>
      <c r="BM59" s="188">
        <f t="shared" si="41"/>
        <v>1.25</v>
      </c>
      <c r="BN59" s="188">
        <f t="shared" si="42"/>
        <v>0</v>
      </c>
      <c r="BO59" s="188">
        <f t="shared" si="43"/>
        <v>2.4900000000000002</v>
      </c>
      <c r="BP59" s="188">
        <f t="shared" si="44"/>
        <v>0.13</v>
      </c>
      <c r="BQ59" s="253" t="str">
        <f>INDEX(pMenus!$D$10:$D$23,MATCH(BJ59,pMenus!$B$10:$B$23,0))</f>
        <v>Activity Streets</v>
      </c>
      <c r="BR59" s="226">
        <f t="shared" si="25"/>
        <v>143.03790504483689</v>
      </c>
      <c r="BS59" s="238">
        <f t="shared" si="26"/>
        <v>284.9315068493151</v>
      </c>
    </row>
    <row r="60" spans="1:71">
      <c r="A60" s="202"/>
      <c r="B60" s="210" t="str">
        <f t="shared" si="27"/>
        <v>Rural Connectors Local LTA Roads Chatham Islands Region</v>
      </c>
      <c r="C60" s="193">
        <f t="shared" si="21"/>
        <v>4.6399999999999997</v>
      </c>
      <c r="D60" s="193">
        <f t="shared" si="22"/>
        <v>0.15</v>
      </c>
      <c r="E60" s="194">
        <f t="shared" si="2"/>
        <v>88.568729333963162</v>
      </c>
      <c r="F60" s="202"/>
      <c r="AA60" s="185" t="s">
        <v>412</v>
      </c>
      <c r="AB60" s="185" t="s">
        <v>421</v>
      </c>
      <c r="AC60" s="185" t="s">
        <v>401</v>
      </c>
      <c r="AD60" s="185" t="s">
        <v>331</v>
      </c>
      <c r="AE60" s="185" t="s">
        <v>407</v>
      </c>
      <c r="AF60" s="185" t="s">
        <v>418</v>
      </c>
      <c r="AG60" s="185">
        <v>2.72</v>
      </c>
      <c r="AH60" s="185">
        <v>1.5299999999999999E-2</v>
      </c>
      <c r="AI60" s="185">
        <v>1.78</v>
      </c>
      <c r="AJ60" s="185">
        <v>0.94</v>
      </c>
      <c r="AK60" s="185">
        <v>4.6399999999999997</v>
      </c>
      <c r="AL60" s="185">
        <v>0.15</v>
      </c>
      <c r="AM60" s="186">
        <v>71</v>
      </c>
      <c r="AN60" s="186" t="str">
        <f t="shared" si="3"/>
        <v>Chatham Islands RegionLocal Streets</v>
      </c>
      <c r="AO60" s="186">
        <f t="shared" si="28"/>
        <v>999</v>
      </c>
      <c r="AP60" s="187" t="s">
        <v>1105</v>
      </c>
      <c r="AQ60" s="187" t="str">
        <f t="shared" si="29"/>
        <v>Chatham Islands Region</v>
      </c>
      <c r="AR60" s="187" t="str">
        <f t="shared" si="30"/>
        <v>Combined</v>
      </c>
      <c r="AS60" s="187" t="str">
        <f t="shared" si="31"/>
        <v>2019/20</v>
      </c>
      <c r="AT60" s="187" t="str">
        <f t="shared" si="32"/>
        <v>URBAN</v>
      </c>
      <c r="AU60" s="187" t="str">
        <f t="shared" si="33"/>
        <v>Local Streets</v>
      </c>
      <c r="AV60" s="187" cm="1">
        <f t="array" ref="AV60">IF($AO60=999,0,INDEX(AG$198:AG$313,$AO60))</f>
        <v>0</v>
      </c>
      <c r="AW60" s="187" cm="1">
        <f t="array" ref="AW60">IF($AO60=999,0,INDEX(AH$198:AH$313,$AO60))</f>
        <v>0</v>
      </c>
      <c r="AX60" s="187" cm="1">
        <f t="array" ref="AX60">IF($AO60=999,0,INDEX(AI$198:AI$313,$AO60))</f>
        <v>0</v>
      </c>
      <c r="AY60" s="187" cm="1">
        <f t="array" ref="AY60">IF($AO60=999,0,INDEX(AJ$198:AJ$313,$AO60))</f>
        <v>0</v>
      </c>
      <c r="AZ60" s="187" cm="1">
        <f t="array" ref="AZ60">IF($AO60=999,0,INDEX(AK$198:AK$313,$AO60))</f>
        <v>0</v>
      </c>
      <c r="BA60" s="187" cm="1">
        <f t="array" ref="BA60">IF($AO60=999,0,INDEX(AL$198:AL$313,$AO60))</f>
        <v>0</v>
      </c>
      <c r="BB60" s="252" t="str">
        <f>INDEX(pMenus!$C$10:$C$23,MATCH(AU60,pMenus!$B$10:$B$23,0))</f>
        <v>NA</v>
      </c>
      <c r="BC60" s="221">
        <f t="shared" si="23"/>
        <v>0</v>
      </c>
      <c r="BD60" s="237">
        <f t="shared" si="24"/>
        <v>0</v>
      </c>
      <c r="BE60" s="188" t="s">
        <v>591</v>
      </c>
      <c r="BF60" s="188" t="str">
        <f t="shared" si="34"/>
        <v>Chatham Islands Region</v>
      </c>
      <c r="BG60" s="188" t="str">
        <f t="shared" si="35"/>
        <v>Combined</v>
      </c>
      <c r="BH60" s="188" t="str">
        <f t="shared" si="36"/>
        <v>2019/20</v>
      </c>
      <c r="BI60" s="188" t="str">
        <f t="shared" si="37"/>
        <v>URBAN</v>
      </c>
      <c r="BJ60" s="188" t="str">
        <f t="shared" si="38"/>
        <v>Local Streets</v>
      </c>
      <c r="BK60" s="188">
        <f t="shared" si="39"/>
        <v>2.72</v>
      </c>
      <c r="BL60" s="188">
        <f t="shared" si="40"/>
        <v>1.5299999999999999E-2</v>
      </c>
      <c r="BM60" s="188">
        <f t="shared" si="41"/>
        <v>1.78</v>
      </c>
      <c r="BN60" s="188">
        <f t="shared" si="42"/>
        <v>0.94</v>
      </c>
      <c r="BO60" s="188">
        <f t="shared" si="43"/>
        <v>4.6399999999999997</v>
      </c>
      <c r="BP60" s="188">
        <f t="shared" si="44"/>
        <v>0.15</v>
      </c>
      <c r="BQ60" s="253" t="str">
        <f>INDEX(pMenus!$D$10:$D$23,MATCH(BJ60,pMenus!$B$10:$B$23,0))</f>
        <v>Rural Connectors</v>
      </c>
      <c r="BR60" s="226">
        <f t="shared" si="25"/>
        <v>88.568729333963162</v>
      </c>
      <c r="BS60" s="238">
        <f t="shared" si="26"/>
        <v>151.08783239323125</v>
      </c>
    </row>
    <row r="61" spans="1:71">
      <c r="A61" s="202"/>
      <c r="B61" s="210" t="str">
        <f t="shared" si="27"/>
        <v>Urban Connectors Local LTA Roads Chatham Islands Region</v>
      </c>
      <c r="C61" s="193">
        <f t="shared" si="21"/>
        <v>0.17</v>
      </c>
      <c r="D61" s="193">
        <f t="shared" si="22"/>
        <v>0.03</v>
      </c>
      <c r="E61" s="194">
        <f t="shared" si="2"/>
        <v>483.48106365834002</v>
      </c>
      <c r="F61" s="202"/>
      <c r="AA61" s="185" t="s">
        <v>412</v>
      </c>
      <c r="AB61" s="185" t="s">
        <v>421</v>
      </c>
      <c r="AC61" s="185" t="s">
        <v>401</v>
      </c>
      <c r="AD61" s="185" t="s">
        <v>331</v>
      </c>
      <c r="AE61" s="185" t="s">
        <v>407</v>
      </c>
      <c r="AF61" s="185" t="s">
        <v>409</v>
      </c>
      <c r="AG61" s="185">
        <v>0.09</v>
      </c>
      <c r="AH61" s="185">
        <v>5.0000000000000001E-4</v>
      </c>
      <c r="AI61" s="185">
        <v>0.09</v>
      </c>
      <c r="AJ61" s="185">
        <v>0</v>
      </c>
      <c r="AK61" s="185">
        <v>0.17</v>
      </c>
      <c r="AL61" s="185">
        <v>0.03</v>
      </c>
      <c r="AM61" s="186">
        <v>72</v>
      </c>
      <c r="AN61" s="186" t="str">
        <f t="shared" si="3"/>
        <v>Chatham Islands RegionMain Streets</v>
      </c>
      <c r="AO61" s="186">
        <f t="shared" si="28"/>
        <v>999</v>
      </c>
      <c r="AP61" s="187" t="s">
        <v>1105</v>
      </c>
      <c r="AQ61" s="187" t="str">
        <f t="shared" si="29"/>
        <v>Chatham Islands Region</v>
      </c>
      <c r="AR61" s="187" t="str">
        <f t="shared" si="30"/>
        <v>Combined</v>
      </c>
      <c r="AS61" s="187" t="str">
        <f t="shared" si="31"/>
        <v>2019/20</v>
      </c>
      <c r="AT61" s="187" t="str">
        <f t="shared" si="32"/>
        <v>URBAN</v>
      </c>
      <c r="AU61" s="187" t="str">
        <f t="shared" si="33"/>
        <v>Main Streets</v>
      </c>
      <c r="AV61" s="187" cm="1">
        <f t="array" ref="AV61">IF($AO61=999,0,INDEX(AG$198:AG$313,$AO61))</f>
        <v>0</v>
      </c>
      <c r="AW61" s="187" cm="1">
        <f t="array" ref="AW61">IF($AO61=999,0,INDEX(AH$198:AH$313,$AO61))</f>
        <v>0</v>
      </c>
      <c r="AX61" s="187" cm="1">
        <f t="array" ref="AX61">IF($AO61=999,0,INDEX(AI$198:AI$313,$AO61))</f>
        <v>0</v>
      </c>
      <c r="AY61" s="187" cm="1">
        <f t="array" ref="AY61">IF($AO61=999,0,INDEX(AJ$198:AJ$313,$AO61))</f>
        <v>0</v>
      </c>
      <c r="AZ61" s="187" cm="1">
        <f t="array" ref="AZ61">IF($AO61=999,0,INDEX(AK$198:AK$313,$AO61))</f>
        <v>0</v>
      </c>
      <c r="BA61" s="187" cm="1">
        <f t="array" ref="BA61">IF($AO61=999,0,INDEX(AL$198:AL$313,$AO61))</f>
        <v>0</v>
      </c>
      <c r="BB61" s="252" t="str">
        <f>INDEX(pMenus!$C$10:$C$23,MATCH(AU61,pMenus!$B$10:$B$23,0))</f>
        <v>Urban Connectors</v>
      </c>
      <c r="BC61" s="221">
        <f t="shared" si="23"/>
        <v>0</v>
      </c>
      <c r="BD61" s="237">
        <f t="shared" si="24"/>
        <v>0</v>
      </c>
      <c r="BE61" s="188" t="s">
        <v>591</v>
      </c>
      <c r="BF61" s="188" t="str">
        <f t="shared" si="34"/>
        <v>Chatham Islands Region</v>
      </c>
      <c r="BG61" s="188" t="str">
        <f t="shared" si="35"/>
        <v>Combined</v>
      </c>
      <c r="BH61" s="188" t="str">
        <f t="shared" si="36"/>
        <v>2019/20</v>
      </c>
      <c r="BI61" s="188" t="str">
        <f t="shared" si="37"/>
        <v>URBAN</v>
      </c>
      <c r="BJ61" s="188" t="str">
        <f t="shared" si="38"/>
        <v>Main Streets</v>
      </c>
      <c r="BK61" s="188">
        <f t="shared" si="39"/>
        <v>0.09</v>
      </c>
      <c r="BL61" s="188">
        <f t="shared" si="40"/>
        <v>5.0000000000000001E-4</v>
      </c>
      <c r="BM61" s="188">
        <f t="shared" si="41"/>
        <v>0.09</v>
      </c>
      <c r="BN61" s="188">
        <f t="shared" si="42"/>
        <v>0</v>
      </c>
      <c r="BO61" s="188">
        <f t="shared" si="43"/>
        <v>0.17</v>
      </c>
      <c r="BP61" s="188">
        <f t="shared" si="44"/>
        <v>0.03</v>
      </c>
      <c r="BQ61" s="253" t="str">
        <f>INDEX(pMenus!$D$10:$D$23,MATCH(BJ61,pMenus!$B$10:$B$23,0))</f>
        <v>Urban Connectors</v>
      </c>
      <c r="BR61" s="226">
        <f t="shared" si="25"/>
        <v>483.48106365834002</v>
      </c>
      <c r="BS61" s="238">
        <f t="shared" si="26"/>
        <v>913.24200913242009</v>
      </c>
    </row>
    <row r="62" spans="1:71">
      <c r="A62" s="202"/>
      <c r="B62" s="210" t="str">
        <f t="shared" si="27"/>
        <v>Urban Connectors Local LTA Roads Chatham Islands Region</v>
      </c>
      <c r="C62" s="193">
        <f t="shared" si="21"/>
        <v>3.71</v>
      </c>
      <c r="D62" s="193">
        <f t="shared" si="22"/>
        <v>0.41</v>
      </c>
      <c r="E62" s="194">
        <f t="shared" si="2"/>
        <v>302.77295720562711</v>
      </c>
      <c r="F62" s="202"/>
      <c r="AA62" s="185" t="s">
        <v>412</v>
      </c>
      <c r="AB62" s="185" t="s">
        <v>421</v>
      </c>
      <c r="AC62" s="185" t="s">
        <v>401</v>
      </c>
      <c r="AD62" s="185" t="s">
        <v>331</v>
      </c>
      <c r="AE62" s="185" t="s">
        <v>407</v>
      </c>
      <c r="AF62" s="185" t="s">
        <v>411</v>
      </c>
      <c r="AG62" s="185">
        <v>1.86</v>
      </c>
      <c r="AH62" s="185">
        <v>1.04E-2</v>
      </c>
      <c r="AI62" s="185">
        <v>1.86</v>
      </c>
      <c r="AJ62" s="185">
        <v>0</v>
      </c>
      <c r="AK62" s="185">
        <v>3.71</v>
      </c>
      <c r="AL62" s="185">
        <v>0.41</v>
      </c>
      <c r="AM62" s="186">
        <v>73</v>
      </c>
      <c r="AN62" s="186" t="str">
        <f t="shared" si="3"/>
        <v>Chatham Islands RegionUrban Connectors</v>
      </c>
      <c r="AO62" s="186">
        <f t="shared" si="28"/>
        <v>999</v>
      </c>
      <c r="AP62" s="187" t="s">
        <v>1105</v>
      </c>
      <c r="AQ62" s="187" t="str">
        <f t="shared" si="29"/>
        <v>Chatham Islands Region</v>
      </c>
      <c r="AR62" s="187" t="str">
        <f t="shared" si="30"/>
        <v>Combined</v>
      </c>
      <c r="AS62" s="187" t="str">
        <f t="shared" si="31"/>
        <v>2019/20</v>
      </c>
      <c r="AT62" s="187" t="str">
        <f t="shared" si="32"/>
        <v>URBAN</v>
      </c>
      <c r="AU62" s="187" t="str">
        <f t="shared" si="33"/>
        <v>Urban Connectors</v>
      </c>
      <c r="AV62" s="187" cm="1">
        <f t="array" ref="AV62">IF($AO62=999,0,INDEX(AG$198:AG$313,$AO62))</f>
        <v>0</v>
      </c>
      <c r="AW62" s="187" cm="1">
        <f t="array" ref="AW62">IF($AO62=999,0,INDEX(AH$198:AH$313,$AO62))</f>
        <v>0</v>
      </c>
      <c r="AX62" s="187" cm="1">
        <f t="array" ref="AX62">IF($AO62=999,0,INDEX(AI$198:AI$313,$AO62))</f>
        <v>0</v>
      </c>
      <c r="AY62" s="187" cm="1">
        <f t="array" ref="AY62">IF($AO62=999,0,INDEX(AJ$198:AJ$313,$AO62))</f>
        <v>0</v>
      </c>
      <c r="AZ62" s="187" cm="1">
        <f t="array" ref="AZ62">IF($AO62=999,0,INDEX(AK$198:AK$313,$AO62))</f>
        <v>0</v>
      </c>
      <c r="BA62" s="187" cm="1">
        <f t="array" ref="BA62">IF($AO62=999,0,INDEX(AL$198:AL$313,$AO62))</f>
        <v>0</v>
      </c>
      <c r="BB62" s="252" t="str">
        <f>INDEX(pMenus!$C$10:$C$23,MATCH(AU62,pMenus!$B$10:$B$23,0))</f>
        <v>Urban Connectors</v>
      </c>
      <c r="BC62" s="221">
        <f t="shared" si="23"/>
        <v>0</v>
      </c>
      <c r="BD62" s="237">
        <f t="shared" si="24"/>
        <v>0</v>
      </c>
      <c r="BE62" s="188" t="s">
        <v>591</v>
      </c>
      <c r="BF62" s="188" t="str">
        <f t="shared" si="34"/>
        <v>Chatham Islands Region</v>
      </c>
      <c r="BG62" s="188" t="str">
        <f t="shared" si="35"/>
        <v>Combined</v>
      </c>
      <c r="BH62" s="188" t="str">
        <f t="shared" si="36"/>
        <v>2019/20</v>
      </c>
      <c r="BI62" s="188" t="str">
        <f t="shared" si="37"/>
        <v>URBAN</v>
      </c>
      <c r="BJ62" s="188" t="str">
        <f t="shared" si="38"/>
        <v>Urban Connectors</v>
      </c>
      <c r="BK62" s="188">
        <f t="shared" si="39"/>
        <v>1.86</v>
      </c>
      <c r="BL62" s="188">
        <f t="shared" si="40"/>
        <v>1.04E-2</v>
      </c>
      <c r="BM62" s="188">
        <f t="shared" si="41"/>
        <v>1.86</v>
      </c>
      <c r="BN62" s="188">
        <f t="shared" si="42"/>
        <v>0</v>
      </c>
      <c r="BO62" s="188">
        <f t="shared" si="43"/>
        <v>3.71</v>
      </c>
      <c r="BP62" s="188">
        <f t="shared" si="44"/>
        <v>0.41</v>
      </c>
      <c r="BQ62" s="253" t="str">
        <f>INDEX(pMenus!$D$10:$D$23,MATCH(BJ62,pMenus!$B$10:$B$23,0))</f>
        <v>Urban Connectors</v>
      </c>
      <c r="BR62" s="226">
        <f t="shared" si="25"/>
        <v>302.77295720562711</v>
      </c>
      <c r="BS62" s="238">
        <f t="shared" si="26"/>
        <v>603.9181028133745</v>
      </c>
    </row>
    <row r="63" spans="1:71">
      <c r="A63" s="202"/>
      <c r="B63" s="210" t="str">
        <f t="shared" si="27"/>
        <v>NA Local LTA Roads Gisborne Region</v>
      </c>
      <c r="C63" s="193">
        <f t="shared" si="21"/>
        <v>794.43</v>
      </c>
      <c r="D63" s="193">
        <f t="shared" si="22"/>
        <v>64.89</v>
      </c>
      <c r="E63" s="194">
        <f t="shared" si="2"/>
        <v>223.78412436313863</v>
      </c>
      <c r="F63" s="202"/>
      <c r="AA63" s="185" t="s">
        <v>412</v>
      </c>
      <c r="AB63" s="185" t="s">
        <v>422</v>
      </c>
      <c r="AC63" s="185" t="s">
        <v>401</v>
      </c>
      <c r="AD63" s="185" t="s">
        <v>331</v>
      </c>
      <c r="AE63" s="185"/>
      <c r="AF63" s="185" t="s">
        <v>402</v>
      </c>
      <c r="AG63" s="185">
        <v>478.25</v>
      </c>
      <c r="AH63" s="185">
        <v>0.216</v>
      </c>
      <c r="AI63" s="185">
        <v>264.77999999999997</v>
      </c>
      <c r="AJ63" s="185">
        <v>213.47</v>
      </c>
      <c r="AK63" s="185">
        <v>794.77</v>
      </c>
      <c r="AL63" s="185">
        <v>65.14</v>
      </c>
      <c r="AM63" s="186">
        <v>80</v>
      </c>
      <c r="AN63" s="186" t="str">
        <f t="shared" si="3"/>
        <v>Gisborne RegionUnclassified</v>
      </c>
      <c r="AO63" s="186">
        <f t="shared" si="28"/>
        <v>27</v>
      </c>
      <c r="AP63" s="187" t="s">
        <v>1105</v>
      </c>
      <c r="AQ63" s="187" t="str">
        <f t="shared" si="29"/>
        <v>Gisborne Region</v>
      </c>
      <c r="AR63" s="187" t="str">
        <f t="shared" si="30"/>
        <v>Combined</v>
      </c>
      <c r="AS63" s="187" t="str">
        <f t="shared" si="31"/>
        <v>2019/20</v>
      </c>
      <c r="AT63" s="187">
        <f t="shared" si="32"/>
        <v>0</v>
      </c>
      <c r="AU63" s="187" t="str">
        <f t="shared" si="33"/>
        <v>Unclassified</v>
      </c>
      <c r="AV63" s="187" cm="1">
        <f t="array" ref="AV63">IF($AO63=999,0,INDEX(AG$198:AG$313,$AO63))</f>
        <v>0.17</v>
      </c>
      <c r="AW63" s="187" cm="1">
        <f t="array" ref="AW63">IF($AO63=999,0,INDEX(AH$198:AH$313,$AO63))</f>
        <v>5.0000000000000001E-4</v>
      </c>
      <c r="AX63" s="187" cm="1">
        <f t="array" ref="AX63">IF($AO63=999,0,INDEX(AI$198:AI$313,$AO63))</f>
        <v>0.17</v>
      </c>
      <c r="AY63" s="187" cm="1">
        <f t="array" ref="AY63">IF($AO63=999,0,INDEX(AJ$198:AJ$313,$AO63))</f>
        <v>0</v>
      </c>
      <c r="AZ63" s="187" cm="1">
        <f t="array" ref="AZ63">IF($AO63=999,0,INDEX(AK$198:AK$313,$AO63))</f>
        <v>0.34</v>
      </c>
      <c r="BA63" s="187" cm="1">
        <f t="array" ref="BA63">IF($AO63=999,0,INDEX(AL$198:AL$313,$AO63))</f>
        <v>0.25</v>
      </c>
      <c r="BB63" s="252" t="str">
        <f>INDEX(pMenus!$C$10:$C$23,MATCH(AU63,pMenus!$B$10:$B$23,0))</f>
        <v>NA</v>
      </c>
      <c r="BC63" s="221">
        <f t="shared" si="23"/>
        <v>2014.5044319097501</v>
      </c>
      <c r="BD63" s="237">
        <f t="shared" si="24"/>
        <v>4029.0088638195002</v>
      </c>
      <c r="BE63" s="188" t="s">
        <v>591</v>
      </c>
      <c r="BF63" s="188" t="str">
        <f t="shared" si="34"/>
        <v>Gisborne Region</v>
      </c>
      <c r="BG63" s="188" t="str">
        <f t="shared" si="35"/>
        <v>Combined</v>
      </c>
      <c r="BH63" s="188" t="str">
        <f t="shared" si="36"/>
        <v>2019/20</v>
      </c>
      <c r="BI63" s="188">
        <f t="shared" si="37"/>
        <v>0</v>
      </c>
      <c r="BJ63" s="188" t="str">
        <f t="shared" si="38"/>
        <v>Unclassified</v>
      </c>
      <c r="BK63" s="188">
        <f t="shared" si="39"/>
        <v>478.08</v>
      </c>
      <c r="BL63" s="188">
        <f t="shared" si="40"/>
        <v>0.2155</v>
      </c>
      <c r="BM63" s="188">
        <f t="shared" si="41"/>
        <v>264.60999999999996</v>
      </c>
      <c r="BN63" s="188">
        <f t="shared" si="42"/>
        <v>213.47</v>
      </c>
      <c r="BO63" s="188">
        <f t="shared" si="43"/>
        <v>794.43</v>
      </c>
      <c r="BP63" s="188">
        <f t="shared" si="44"/>
        <v>64.89</v>
      </c>
      <c r="BQ63" s="253" t="str">
        <f>INDEX(pMenus!$D$10:$D$23,MATCH(BJ63,pMenus!$B$10:$B$23,0))</f>
        <v>NA</v>
      </c>
      <c r="BR63" s="226">
        <f t="shared" si="25"/>
        <v>223.78412436313863</v>
      </c>
      <c r="BS63" s="238">
        <f t="shared" si="26"/>
        <v>371.86416900478628</v>
      </c>
    </row>
    <row r="64" spans="1:71">
      <c r="A64" s="202"/>
      <c r="B64" s="210" t="str">
        <f t="shared" si="27"/>
        <v>Interregional Connectors Local LTA Roads Gisborne Region</v>
      </c>
      <c r="C64" s="193">
        <f t="shared" si="21"/>
        <v>0</v>
      </c>
      <c r="D64" s="193">
        <f t="shared" si="22"/>
        <v>0</v>
      </c>
      <c r="E64" s="194">
        <f t="shared" si="2"/>
        <v>0</v>
      </c>
      <c r="F64" s="202"/>
      <c r="AA64" s="185" t="s">
        <v>412</v>
      </c>
      <c r="AB64" s="185" t="s">
        <v>422</v>
      </c>
      <c r="AC64" s="185" t="s">
        <v>401</v>
      </c>
      <c r="AD64" s="185" t="s">
        <v>331</v>
      </c>
      <c r="AE64" s="185" t="s">
        <v>403</v>
      </c>
      <c r="AF64" s="185" t="s">
        <v>404</v>
      </c>
      <c r="AG64" s="185">
        <v>44.97</v>
      </c>
      <c r="AH64" s="185">
        <v>2.0299999999999999E-2</v>
      </c>
      <c r="AI64" s="185">
        <v>44.97</v>
      </c>
      <c r="AJ64" s="185">
        <v>0</v>
      </c>
      <c r="AK64" s="185">
        <v>90.44</v>
      </c>
      <c r="AL64" s="185">
        <v>47.45</v>
      </c>
      <c r="AM64" s="186">
        <v>81</v>
      </c>
      <c r="AN64" s="186" t="str">
        <f t="shared" si="3"/>
        <v>Gisborne RegionInterregional Connectors</v>
      </c>
      <c r="AO64" s="186">
        <f t="shared" si="28"/>
        <v>28</v>
      </c>
      <c r="AP64" s="187" t="s">
        <v>1105</v>
      </c>
      <c r="AQ64" s="187" t="str">
        <f t="shared" si="29"/>
        <v>Gisborne Region</v>
      </c>
      <c r="AR64" s="187" t="str">
        <f t="shared" si="30"/>
        <v>Combined</v>
      </c>
      <c r="AS64" s="187" t="str">
        <f t="shared" si="31"/>
        <v>2019/20</v>
      </c>
      <c r="AT64" s="187" t="str">
        <f t="shared" si="32"/>
        <v>RURAL</v>
      </c>
      <c r="AU64" s="187" t="str">
        <f t="shared" si="33"/>
        <v>Interregional Connectors</v>
      </c>
      <c r="AV64" s="187" cm="1">
        <f t="array" ref="AV64">IF($AO64=999,0,INDEX(AG$198:AG$313,$AO64))</f>
        <v>44.97</v>
      </c>
      <c r="AW64" s="187" cm="1">
        <f t="array" ref="AW64">IF($AO64=999,0,INDEX(AH$198:AH$313,$AO64))</f>
        <v>0.1358</v>
      </c>
      <c r="AX64" s="187" cm="1">
        <f t="array" ref="AX64">IF($AO64=999,0,INDEX(AI$198:AI$313,$AO64))</f>
        <v>44.97</v>
      </c>
      <c r="AY64" s="187" cm="1">
        <f t="array" ref="AY64">IF($AO64=999,0,INDEX(AJ$198:AJ$313,$AO64))</f>
        <v>0</v>
      </c>
      <c r="AZ64" s="187" cm="1">
        <f t="array" ref="AZ64">IF($AO64=999,0,INDEX(AK$198:AK$313,$AO64))</f>
        <v>90.44</v>
      </c>
      <c r="BA64" s="187" cm="1">
        <f t="array" ref="BA64">IF($AO64=999,0,INDEX(AL$198:AL$313,$AO64))</f>
        <v>47.45</v>
      </c>
      <c r="BB64" s="252" t="str">
        <f>INDEX(pMenus!$C$10:$C$23,MATCH(AU64,pMenus!$B$10:$B$23,0))</f>
        <v>Interregional Connectors</v>
      </c>
      <c r="BC64" s="221">
        <f t="shared" si="23"/>
        <v>1437.4170720919947</v>
      </c>
      <c r="BD64" s="237">
        <f t="shared" si="24"/>
        <v>2890.8160996219704</v>
      </c>
      <c r="BE64" s="188" t="s">
        <v>591</v>
      </c>
      <c r="BF64" s="188" t="str">
        <f t="shared" si="34"/>
        <v>Gisborne Region</v>
      </c>
      <c r="BG64" s="188" t="str">
        <f t="shared" si="35"/>
        <v>Combined</v>
      </c>
      <c r="BH64" s="188" t="str">
        <f t="shared" si="36"/>
        <v>2019/20</v>
      </c>
      <c r="BI64" s="188" t="str">
        <f t="shared" si="37"/>
        <v>RURAL</v>
      </c>
      <c r="BJ64" s="188" t="str">
        <f t="shared" si="38"/>
        <v>Interregional Connectors</v>
      </c>
      <c r="BK64" s="188">
        <f t="shared" si="39"/>
        <v>0</v>
      </c>
      <c r="BL64" s="188">
        <f t="shared" si="40"/>
        <v>-0.11550000000000001</v>
      </c>
      <c r="BM64" s="188">
        <f t="shared" si="41"/>
        <v>0</v>
      </c>
      <c r="BN64" s="188">
        <f t="shared" si="42"/>
        <v>0</v>
      </c>
      <c r="BO64" s="188">
        <f t="shared" si="43"/>
        <v>0</v>
      </c>
      <c r="BP64" s="188">
        <f t="shared" si="44"/>
        <v>0</v>
      </c>
      <c r="BQ64" s="253" t="str">
        <f>INDEX(pMenus!$D$10:$D$23,MATCH(BJ64,pMenus!$B$10:$B$23,0))</f>
        <v>Interregional Connectors</v>
      </c>
      <c r="BR64" s="226">
        <f t="shared" si="25"/>
        <v>0</v>
      </c>
      <c r="BS64" s="238">
        <f t="shared" si="26"/>
        <v>0</v>
      </c>
    </row>
    <row r="65" spans="1:71">
      <c r="A65" s="202"/>
      <c r="B65" s="210" t="str">
        <f t="shared" si="27"/>
        <v>Rural Connectors Local LTA Roads Gisborne Region</v>
      </c>
      <c r="C65" s="193">
        <f t="shared" si="21"/>
        <v>63.129999999999995</v>
      </c>
      <c r="D65" s="193">
        <f t="shared" si="22"/>
        <v>4.8599999999999994</v>
      </c>
      <c r="E65" s="194">
        <f t="shared" si="2"/>
        <v>210.9150719650037</v>
      </c>
      <c r="F65" s="202"/>
      <c r="AA65" s="185" t="s">
        <v>412</v>
      </c>
      <c r="AB65" s="185" t="s">
        <v>422</v>
      </c>
      <c r="AC65" s="185" t="s">
        <v>401</v>
      </c>
      <c r="AD65" s="185" t="s">
        <v>331</v>
      </c>
      <c r="AE65" s="185" t="s">
        <v>403</v>
      </c>
      <c r="AF65" s="185" t="s">
        <v>405</v>
      </c>
      <c r="AG65" s="185">
        <v>39.04</v>
      </c>
      <c r="AH65" s="185">
        <v>1.7600000000000001E-2</v>
      </c>
      <c r="AI65" s="185">
        <v>36.520000000000003</v>
      </c>
      <c r="AJ65" s="185">
        <v>2.5299999999999998</v>
      </c>
      <c r="AK65" s="185">
        <v>69.66</v>
      </c>
      <c r="AL65" s="185">
        <v>6.76</v>
      </c>
      <c r="AM65" s="186">
        <v>82</v>
      </c>
      <c r="AN65" s="186" t="str">
        <f t="shared" si="3"/>
        <v>Gisborne RegionPeri-urban Roads</v>
      </c>
      <c r="AO65" s="186">
        <f t="shared" si="28"/>
        <v>29</v>
      </c>
      <c r="AP65" s="187" t="s">
        <v>1105</v>
      </c>
      <c r="AQ65" s="187" t="str">
        <f t="shared" si="29"/>
        <v>Gisborne Region</v>
      </c>
      <c r="AR65" s="187" t="str">
        <f t="shared" si="30"/>
        <v>Combined</v>
      </c>
      <c r="AS65" s="187" t="str">
        <f t="shared" si="31"/>
        <v>2019/20</v>
      </c>
      <c r="AT65" s="187" t="str">
        <f t="shared" si="32"/>
        <v>RURAL</v>
      </c>
      <c r="AU65" s="187" t="str">
        <f t="shared" si="33"/>
        <v>Peri-urban Roads</v>
      </c>
      <c r="AV65" s="187" cm="1">
        <f t="array" ref="AV65">IF($AO65=999,0,INDEX(AG$198:AG$313,$AO65))</f>
        <v>3.26</v>
      </c>
      <c r="AW65" s="187" cm="1">
        <f t="array" ref="AW65">IF($AO65=999,0,INDEX(AH$198:AH$313,$AO65))</f>
        <v>9.9000000000000008E-3</v>
      </c>
      <c r="AX65" s="187" cm="1">
        <f t="array" ref="AX65">IF($AO65=999,0,INDEX(AI$198:AI$313,$AO65))</f>
        <v>3.26</v>
      </c>
      <c r="AY65" s="187" cm="1">
        <f t="array" ref="AY65">IF($AO65=999,0,INDEX(AJ$198:AJ$313,$AO65))</f>
        <v>0</v>
      </c>
      <c r="AZ65" s="187" cm="1">
        <f t="array" ref="AZ65">IF($AO65=999,0,INDEX(AK$198:AK$313,$AO65))</f>
        <v>6.53</v>
      </c>
      <c r="BA65" s="187" cm="1">
        <f t="array" ref="BA65">IF($AO65=999,0,INDEX(AL$198:AL$313,$AO65))</f>
        <v>1.9</v>
      </c>
      <c r="BB65" s="252" t="str">
        <f>INDEX(pMenus!$C$10:$C$23,MATCH(AU65,pMenus!$B$10:$B$23,0))</f>
        <v>Interregional Connectors</v>
      </c>
      <c r="BC65" s="221">
        <f t="shared" si="23"/>
        <v>797.16377519981529</v>
      </c>
      <c r="BD65" s="237">
        <f t="shared" si="24"/>
        <v>1596.772838053618</v>
      </c>
      <c r="BE65" s="188" t="s">
        <v>591</v>
      </c>
      <c r="BF65" s="188" t="str">
        <f t="shared" si="34"/>
        <v>Gisborne Region</v>
      </c>
      <c r="BG65" s="188" t="str">
        <f t="shared" si="35"/>
        <v>Combined</v>
      </c>
      <c r="BH65" s="188" t="str">
        <f t="shared" si="36"/>
        <v>2019/20</v>
      </c>
      <c r="BI65" s="188" t="str">
        <f t="shared" si="37"/>
        <v>RURAL</v>
      </c>
      <c r="BJ65" s="188" t="str">
        <f t="shared" si="38"/>
        <v>Peri-urban Roads</v>
      </c>
      <c r="BK65" s="188">
        <f t="shared" si="39"/>
        <v>35.78</v>
      </c>
      <c r="BL65" s="188">
        <f t="shared" si="40"/>
        <v>7.7000000000000002E-3</v>
      </c>
      <c r="BM65" s="188">
        <f t="shared" si="41"/>
        <v>33.260000000000005</v>
      </c>
      <c r="BN65" s="188">
        <f t="shared" si="42"/>
        <v>2.5299999999999998</v>
      </c>
      <c r="BO65" s="188">
        <f t="shared" si="43"/>
        <v>63.129999999999995</v>
      </c>
      <c r="BP65" s="188">
        <f t="shared" si="44"/>
        <v>4.8599999999999994</v>
      </c>
      <c r="BQ65" s="253" t="str">
        <f>INDEX(pMenus!$D$10:$D$23,MATCH(BJ65,pMenus!$B$10:$B$23,0))</f>
        <v>Rural Connectors</v>
      </c>
      <c r="BR65" s="226">
        <f t="shared" si="25"/>
        <v>210.9150719650037</v>
      </c>
      <c r="BS65" s="238">
        <f t="shared" si="26"/>
        <v>372.13718538710685</v>
      </c>
    </row>
    <row r="66" spans="1:71">
      <c r="A66" s="202"/>
      <c r="B66" s="210" t="str">
        <f t="shared" si="27"/>
        <v>Rural Connectors Local LTA Roads Gisborne Region</v>
      </c>
      <c r="C66" s="193">
        <f t="shared" si="21"/>
        <v>296.89999999999998</v>
      </c>
      <c r="D66" s="193">
        <f t="shared" si="22"/>
        <v>30.400000000000006</v>
      </c>
      <c r="E66" s="194">
        <f t="shared" si="2"/>
        <v>280.52432210467072</v>
      </c>
      <c r="F66" s="202"/>
      <c r="AA66" s="185" t="s">
        <v>412</v>
      </c>
      <c r="AB66" s="185" t="s">
        <v>422</v>
      </c>
      <c r="AC66" s="185" t="s">
        <v>401</v>
      </c>
      <c r="AD66" s="185" t="s">
        <v>331</v>
      </c>
      <c r="AE66" s="185" t="s">
        <v>403</v>
      </c>
      <c r="AF66" s="185" t="s">
        <v>406</v>
      </c>
      <c r="AG66" s="185">
        <v>423.9</v>
      </c>
      <c r="AH66" s="185">
        <v>0.1915</v>
      </c>
      <c r="AI66" s="185">
        <v>412.75</v>
      </c>
      <c r="AJ66" s="185">
        <v>11.16</v>
      </c>
      <c r="AK66" s="185">
        <v>835.48</v>
      </c>
      <c r="AL66" s="185">
        <v>161.21</v>
      </c>
      <c r="AM66" s="186">
        <v>83</v>
      </c>
      <c r="AN66" s="186" t="str">
        <f t="shared" si="3"/>
        <v>Gisborne RegionRural Connectors</v>
      </c>
      <c r="AO66" s="186">
        <f t="shared" si="28"/>
        <v>30</v>
      </c>
      <c r="AP66" s="187" t="s">
        <v>1105</v>
      </c>
      <c r="AQ66" s="187" t="str">
        <f t="shared" si="29"/>
        <v>Gisborne Region</v>
      </c>
      <c r="AR66" s="187" t="str">
        <f t="shared" si="30"/>
        <v>Combined</v>
      </c>
      <c r="AS66" s="187" t="str">
        <f t="shared" si="31"/>
        <v>2019/20</v>
      </c>
      <c r="AT66" s="187" t="str">
        <f t="shared" si="32"/>
        <v>RURAL</v>
      </c>
      <c r="AU66" s="187" t="str">
        <f t="shared" si="33"/>
        <v>Rural Connectors</v>
      </c>
      <c r="AV66" s="187" cm="1">
        <f t="array" ref="AV66">IF($AO66=999,0,INDEX(AG$198:AG$313,$AO66))</f>
        <v>269.18</v>
      </c>
      <c r="AW66" s="187" cm="1">
        <f t="array" ref="AW66">IF($AO66=999,0,INDEX(AH$198:AH$313,$AO66))</f>
        <v>0.81310000000000004</v>
      </c>
      <c r="AX66" s="187" cm="1">
        <f t="array" ref="AX66">IF($AO66=999,0,INDEX(AI$198:AI$313,$AO66))</f>
        <v>269.18</v>
      </c>
      <c r="AY66" s="187" cm="1">
        <f t="array" ref="AY66">IF($AO66=999,0,INDEX(AJ$198:AJ$313,$AO66))</f>
        <v>0</v>
      </c>
      <c r="AZ66" s="187" cm="1">
        <f t="array" ref="AZ66">IF($AO66=999,0,INDEX(AK$198:AK$313,$AO66))</f>
        <v>538.58000000000004</v>
      </c>
      <c r="BA66" s="187" cm="1">
        <f t="array" ref="BA66">IF($AO66=999,0,INDEX(AL$198:AL$313,$AO66))</f>
        <v>130.81</v>
      </c>
      <c r="BB66" s="252" t="str">
        <f>INDEX(pMenus!$C$10:$C$23,MATCH(AU66,pMenus!$B$10:$B$23,0))</f>
        <v>Rural Connectors</v>
      </c>
      <c r="BC66" s="221">
        <f t="shared" si="23"/>
        <v>665.42307854698583</v>
      </c>
      <c r="BD66" s="237">
        <f t="shared" si="24"/>
        <v>1331.3900053638295</v>
      </c>
      <c r="BE66" s="188" t="s">
        <v>591</v>
      </c>
      <c r="BF66" s="188" t="str">
        <f t="shared" si="34"/>
        <v>Gisborne Region</v>
      </c>
      <c r="BG66" s="188" t="str">
        <f t="shared" si="35"/>
        <v>Combined</v>
      </c>
      <c r="BH66" s="188" t="str">
        <f t="shared" si="36"/>
        <v>2019/20</v>
      </c>
      <c r="BI66" s="188" t="str">
        <f t="shared" si="37"/>
        <v>RURAL</v>
      </c>
      <c r="BJ66" s="188" t="str">
        <f t="shared" si="38"/>
        <v>Rural Connectors</v>
      </c>
      <c r="BK66" s="188">
        <f t="shared" si="39"/>
        <v>154.71999999999997</v>
      </c>
      <c r="BL66" s="188">
        <f t="shared" si="40"/>
        <v>-0.62160000000000004</v>
      </c>
      <c r="BM66" s="188">
        <f t="shared" si="41"/>
        <v>143.57</v>
      </c>
      <c r="BN66" s="188">
        <f t="shared" si="42"/>
        <v>11.16</v>
      </c>
      <c r="BO66" s="188">
        <f t="shared" si="43"/>
        <v>296.89999999999998</v>
      </c>
      <c r="BP66" s="188">
        <f t="shared" si="44"/>
        <v>30.400000000000006</v>
      </c>
      <c r="BQ66" s="253" t="str">
        <f>INDEX(pMenus!$D$10:$D$23,MATCH(BJ66,pMenus!$B$10:$B$23,0))</f>
        <v>Rural Connectors</v>
      </c>
      <c r="BR66" s="226">
        <f t="shared" si="25"/>
        <v>280.52432210467072</v>
      </c>
      <c r="BS66" s="238">
        <f t="shared" si="26"/>
        <v>538.31224943689722</v>
      </c>
    </row>
    <row r="67" spans="1:71">
      <c r="A67" s="202"/>
      <c r="B67" s="210" t="str">
        <f t="shared" si="27"/>
        <v>Rural Connectors Local LTA Roads Gisborne Region</v>
      </c>
      <c r="C67" s="193">
        <f t="shared" si="21"/>
        <v>1429.29</v>
      </c>
      <c r="D67" s="193">
        <f t="shared" si="22"/>
        <v>20.94</v>
      </c>
      <c r="E67" s="194">
        <f t="shared" si="2"/>
        <v>40.1387143362779</v>
      </c>
      <c r="F67" s="202"/>
      <c r="AA67" s="185" t="s">
        <v>412</v>
      </c>
      <c r="AB67" s="185" t="s">
        <v>422</v>
      </c>
      <c r="AC67" s="185" t="s">
        <v>401</v>
      </c>
      <c r="AD67" s="185" t="s">
        <v>331</v>
      </c>
      <c r="AE67" s="185" t="s">
        <v>403</v>
      </c>
      <c r="AF67" s="185" t="s">
        <v>414</v>
      </c>
      <c r="AG67" s="185">
        <v>1029.77</v>
      </c>
      <c r="AH67" s="185">
        <v>0.46510000000000001</v>
      </c>
      <c r="AI67" s="185">
        <v>250.2</v>
      </c>
      <c r="AJ67" s="185">
        <v>779.58</v>
      </c>
      <c r="AK67" s="185">
        <v>1429.29</v>
      </c>
      <c r="AL67" s="185">
        <v>20.94</v>
      </c>
      <c r="AM67" s="186">
        <v>84</v>
      </c>
      <c r="AN67" s="186" t="str">
        <f t="shared" si="3"/>
        <v>Gisborne RegionRural Roads</v>
      </c>
      <c r="AO67" s="186">
        <f t="shared" si="28"/>
        <v>999</v>
      </c>
      <c r="AP67" s="187" t="s">
        <v>1105</v>
      </c>
      <c r="AQ67" s="187" t="str">
        <f t="shared" si="29"/>
        <v>Gisborne Region</v>
      </c>
      <c r="AR67" s="187" t="str">
        <f t="shared" si="30"/>
        <v>Combined</v>
      </c>
      <c r="AS67" s="187" t="str">
        <f t="shared" si="31"/>
        <v>2019/20</v>
      </c>
      <c r="AT67" s="187" t="str">
        <f t="shared" si="32"/>
        <v>RURAL</v>
      </c>
      <c r="AU67" s="187" t="str">
        <f t="shared" si="33"/>
        <v>Rural Roads</v>
      </c>
      <c r="AV67" s="187" cm="1">
        <f t="array" ref="AV67">IF($AO67=999,0,INDEX(AG$198:AG$313,$AO67))</f>
        <v>0</v>
      </c>
      <c r="AW67" s="187" cm="1">
        <f t="array" ref="AW67">IF($AO67=999,0,INDEX(AH$198:AH$313,$AO67))</f>
        <v>0</v>
      </c>
      <c r="AX67" s="187" cm="1">
        <f t="array" ref="AX67">IF($AO67=999,0,INDEX(AI$198:AI$313,$AO67))</f>
        <v>0</v>
      </c>
      <c r="AY67" s="187" cm="1">
        <f t="array" ref="AY67">IF($AO67=999,0,INDEX(AJ$198:AJ$313,$AO67))</f>
        <v>0</v>
      </c>
      <c r="AZ67" s="187" cm="1">
        <f t="array" ref="AZ67">IF($AO67=999,0,INDEX(AK$198:AK$313,$AO67))</f>
        <v>0</v>
      </c>
      <c r="BA67" s="187" cm="1">
        <f t="array" ref="BA67">IF($AO67=999,0,INDEX(AL$198:AL$313,$AO67))</f>
        <v>0</v>
      </c>
      <c r="BB67" s="252" t="str">
        <f>INDEX(pMenus!$C$10:$C$23,MATCH(AU67,pMenus!$B$10:$B$23,0))</f>
        <v>NA</v>
      </c>
      <c r="BC67" s="221">
        <f t="shared" si="23"/>
        <v>0</v>
      </c>
      <c r="BD67" s="237">
        <f t="shared" si="24"/>
        <v>0</v>
      </c>
      <c r="BE67" s="188" t="s">
        <v>591</v>
      </c>
      <c r="BF67" s="188" t="str">
        <f t="shared" si="34"/>
        <v>Gisborne Region</v>
      </c>
      <c r="BG67" s="188" t="str">
        <f t="shared" si="35"/>
        <v>Combined</v>
      </c>
      <c r="BH67" s="188" t="str">
        <f t="shared" si="36"/>
        <v>2019/20</v>
      </c>
      <c r="BI67" s="188" t="str">
        <f t="shared" si="37"/>
        <v>RURAL</v>
      </c>
      <c r="BJ67" s="188" t="str">
        <f t="shared" si="38"/>
        <v>Rural Roads</v>
      </c>
      <c r="BK67" s="188">
        <f t="shared" si="39"/>
        <v>1029.77</v>
      </c>
      <c r="BL67" s="188">
        <f t="shared" si="40"/>
        <v>0.46510000000000001</v>
      </c>
      <c r="BM67" s="188">
        <f t="shared" si="41"/>
        <v>250.2</v>
      </c>
      <c r="BN67" s="188">
        <f t="shared" si="42"/>
        <v>779.58</v>
      </c>
      <c r="BO67" s="188">
        <f t="shared" si="43"/>
        <v>1429.29</v>
      </c>
      <c r="BP67" s="188">
        <f t="shared" si="44"/>
        <v>20.94</v>
      </c>
      <c r="BQ67" s="253" t="str">
        <f>INDEX(pMenus!$D$10:$D$23,MATCH(BJ67,pMenus!$B$10:$B$23,0))</f>
        <v>Rural Connectors</v>
      </c>
      <c r="BR67" s="226">
        <f t="shared" si="25"/>
        <v>40.1387143362779</v>
      </c>
      <c r="BS67" s="238">
        <f t="shared" si="26"/>
        <v>55.711336525339284</v>
      </c>
    </row>
    <row r="68" spans="1:71">
      <c r="A68" s="202"/>
      <c r="B68" s="210" t="str">
        <f t="shared" si="27"/>
        <v>Rural Connectors Local LTA Roads Gisborne Region</v>
      </c>
      <c r="C68" s="193">
        <f t="shared" si="21"/>
        <v>31.52</v>
      </c>
      <c r="D68" s="193">
        <f t="shared" si="22"/>
        <v>1.97</v>
      </c>
      <c r="E68" s="194">
        <f t="shared" si="2"/>
        <v>171.23287671232876</v>
      </c>
      <c r="F68" s="202"/>
      <c r="AA68" s="185" t="s">
        <v>412</v>
      </c>
      <c r="AB68" s="185" t="s">
        <v>422</v>
      </c>
      <c r="AC68" s="185" t="s">
        <v>401</v>
      </c>
      <c r="AD68" s="185" t="s">
        <v>331</v>
      </c>
      <c r="AE68" s="185" t="s">
        <v>403</v>
      </c>
      <c r="AF68" s="185" t="s">
        <v>415</v>
      </c>
      <c r="AG68" s="185">
        <v>18.38</v>
      </c>
      <c r="AH68" s="185">
        <v>8.3000000000000001E-3</v>
      </c>
      <c r="AI68" s="185">
        <v>12.32</v>
      </c>
      <c r="AJ68" s="185">
        <v>6.06</v>
      </c>
      <c r="AK68" s="185">
        <v>31.52</v>
      </c>
      <c r="AL68" s="185">
        <v>1.97</v>
      </c>
      <c r="AM68" s="186">
        <v>85</v>
      </c>
      <c r="AN68" s="186" t="str">
        <f t="shared" si="3"/>
        <v>Gisborne RegionStopping Places</v>
      </c>
      <c r="AO68" s="186">
        <f t="shared" si="28"/>
        <v>999</v>
      </c>
      <c r="AP68" s="187" t="s">
        <v>1105</v>
      </c>
      <c r="AQ68" s="187" t="str">
        <f t="shared" si="29"/>
        <v>Gisborne Region</v>
      </c>
      <c r="AR68" s="187" t="str">
        <f t="shared" si="30"/>
        <v>Combined</v>
      </c>
      <c r="AS68" s="187" t="str">
        <f t="shared" si="31"/>
        <v>2019/20</v>
      </c>
      <c r="AT68" s="187" t="str">
        <f t="shared" si="32"/>
        <v>RURAL</v>
      </c>
      <c r="AU68" s="187" t="str">
        <f t="shared" si="33"/>
        <v>Stopping Places</v>
      </c>
      <c r="AV68" s="187" cm="1">
        <f t="array" ref="AV68">IF($AO68=999,0,INDEX(AG$198:AG$313,$AO68))</f>
        <v>0</v>
      </c>
      <c r="AW68" s="187" cm="1">
        <f t="array" ref="AW68">IF($AO68=999,0,INDEX(AH$198:AH$313,$AO68))</f>
        <v>0</v>
      </c>
      <c r="AX68" s="187" cm="1">
        <f t="array" ref="AX68">IF($AO68=999,0,INDEX(AI$198:AI$313,$AO68))</f>
        <v>0</v>
      </c>
      <c r="AY68" s="187" cm="1">
        <f t="array" ref="AY68">IF($AO68=999,0,INDEX(AJ$198:AJ$313,$AO68))</f>
        <v>0</v>
      </c>
      <c r="AZ68" s="187" cm="1">
        <f t="array" ref="AZ68">IF($AO68=999,0,INDEX(AK$198:AK$313,$AO68))</f>
        <v>0</v>
      </c>
      <c r="BA68" s="187" cm="1">
        <f t="array" ref="BA68">IF($AO68=999,0,INDEX(AL$198:AL$313,$AO68))</f>
        <v>0</v>
      </c>
      <c r="BB68" s="252" t="str">
        <f>INDEX(pMenus!$C$10:$C$23,MATCH(AU68,pMenus!$B$10:$B$23,0))</f>
        <v>Interregional Connectors</v>
      </c>
      <c r="BC68" s="221">
        <f t="shared" si="23"/>
        <v>0</v>
      </c>
      <c r="BD68" s="237">
        <f t="shared" si="24"/>
        <v>0</v>
      </c>
      <c r="BE68" s="188" t="s">
        <v>591</v>
      </c>
      <c r="BF68" s="188" t="str">
        <f t="shared" si="34"/>
        <v>Gisborne Region</v>
      </c>
      <c r="BG68" s="188" t="str">
        <f t="shared" si="35"/>
        <v>Combined</v>
      </c>
      <c r="BH68" s="188" t="str">
        <f t="shared" si="36"/>
        <v>2019/20</v>
      </c>
      <c r="BI68" s="188" t="str">
        <f t="shared" si="37"/>
        <v>RURAL</v>
      </c>
      <c r="BJ68" s="188" t="str">
        <f t="shared" si="38"/>
        <v>Stopping Places</v>
      </c>
      <c r="BK68" s="188">
        <f t="shared" si="39"/>
        <v>18.38</v>
      </c>
      <c r="BL68" s="188">
        <f t="shared" si="40"/>
        <v>8.3000000000000001E-3</v>
      </c>
      <c r="BM68" s="188">
        <f t="shared" si="41"/>
        <v>12.32</v>
      </c>
      <c r="BN68" s="188">
        <f t="shared" si="42"/>
        <v>6.06</v>
      </c>
      <c r="BO68" s="188">
        <f t="shared" si="43"/>
        <v>31.52</v>
      </c>
      <c r="BP68" s="188">
        <f t="shared" si="44"/>
        <v>1.97</v>
      </c>
      <c r="BQ68" s="253" t="str">
        <f>INDEX(pMenus!$D$10:$D$23,MATCH(BJ68,pMenus!$B$10:$B$23,0))</f>
        <v>Rural Connectors</v>
      </c>
      <c r="BR68" s="226">
        <f t="shared" si="25"/>
        <v>171.23287671232876</v>
      </c>
      <c r="BS68" s="238">
        <f t="shared" si="26"/>
        <v>293.64854591798712</v>
      </c>
    </row>
    <row r="69" spans="1:71">
      <c r="A69" s="202"/>
      <c r="B69" s="210" t="str">
        <f t="shared" si="27"/>
        <v>Activity Streets Local LTA Roads Gisborne Region</v>
      </c>
      <c r="C69" s="193">
        <f t="shared" si="21"/>
        <v>46.370000000000005</v>
      </c>
      <c r="D69" s="193">
        <f t="shared" si="22"/>
        <v>22.04</v>
      </c>
      <c r="E69" s="194">
        <f t="shared" si="2"/>
        <v>1302.2118103048438</v>
      </c>
      <c r="F69" s="202"/>
      <c r="AA69" s="185" t="s">
        <v>412</v>
      </c>
      <c r="AB69" s="185" t="s">
        <v>422</v>
      </c>
      <c r="AC69" s="185" t="s">
        <v>401</v>
      </c>
      <c r="AD69" s="185" t="s">
        <v>331</v>
      </c>
      <c r="AE69" s="185" t="s">
        <v>407</v>
      </c>
      <c r="AF69" s="185" t="s">
        <v>408</v>
      </c>
      <c r="AG69" s="185">
        <v>24.99</v>
      </c>
      <c r="AH69" s="185">
        <v>1.1299999999999999E-2</v>
      </c>
      <c r="AI69" s="185">
        <v>24.89</v>
      </c>
      <c r="AJ69" s="185">
        <v>0.09</v>
      </c>
      <c r="AK69" s="185">
        <v>49.74</v>
      </c>
      <c r="AL69" s="185">
        <v>27.37</v>
      </c>
      <c r="AM69" s="186">
        <v>86</v>
      </c>
      <c r="AN69" s="186" t="str">
        <f t="shared" si="3"/>
        <v>Gisborne RegionActivity Streets</v>
      </c>
      <c r="AO69" s="186">
        <f t="shared" si="28"/>
        <v>31</v>
      </c>
      <c r="AP69" s="187" t="s">
        <v>1105</v>
      </c>
      <c r="AQ69" s="187" t="str">
        <f t="shared" si="29"/>
        <v>Gisborne Region</v>
      </c>
      <c r="AR69" s="187" t="str">
        <f t="shared" si="30"/>
        <v>Combined</v>
      </c>
      <c r="AS69" s="187" t="str">
        <f t="shared" si="31"/>
        <v>2019/20</v>
      </c>
      <c r="AT69" s="187" t="str">
        <f t="shared" si="32"/>
        <v>URBAN</v>
      </c>
      <c r="AU69" s="187" t="str">
        <f t="shared" si="33"/>
        <v>Activity Streets</v>
      </c>
      <c r="AV69" s="187" cm="1">
        <f t="array" ref="AV69">IF($AO69=999,0,INDEX(AG$198:AG$313,$AO69))</f>
        <v>1.69</v>
      </c>
      <c r="AW69" s="187" cm="1">
        <f t="array" ref="AW69">IF($AO69=999,0,INDEX(AH$198:AH$313,$AO69))</f>
        <v>5.1000000000000004E-3</v>
      </c>
      <c r="AX69" s="187" cm="1">
        <f t="array" ref="AX69">IF($AO69=999,0,INDEX(AI$198:AI$313,$AO69))</f>
        <v>1.69</v>
      </c>
      <c r="AY69" s="187" cm="1">
        <f t="array" ref="AY69">IF($AO69=999,0,INDEX(AJ$198:AJ$313,$AO69))</f>
        <v>0</v>
      </c>
      <c r="AZ69" s="187" cm="1">
        <f t="array" ref="AZ69">IF($AO69=999,0,INDEX(AK$198:AK$313,$AO69))</f>
        <v>3.37</v>
      </c>
      <c r="BA69" s="187" cm="1">
        <f t="array" ref="BA69">IF($AO69=999,0,INDEX(AL$198:AL$313,$AO69))</f>
        <v>5.33</v>
      </c>
      <c r="BB69" s="252" t="str">
        <f>INDEX(pMenus!$C$10:$C$23,MATCH(AU69,pMenus!$B$10:$B$23,0))</f>
        <v>Urban Connectors</v>
      </c>
      <c r="BC69" s="221">
        <f t="shared" si="23"/>
        <v>4333.1571887321652</v>
      </c>
      <c r="BD69" s="237">
        <f t="shared" si="24"/>
        <v>8640.6743940990527</v>
      </c>
      <c r="BE69" s="188" t="s">
        <v>591</v>
      </c>
      <c r="BF69" s="188" t="str">
        <f t="shared" si="34"/>
        <v>Gisborne Region</v>
      </c>
      <c r="BG69" s="188" t="str">
        <f t="shared" si="35"/>
        <v>Combined</v>
      </c>
      <c r="BH69" s="188" t="str">
        <f t="shared" si="36"/>
        <v>2019/20</v>
      </c>
      <c r="BI69" s="188" t="str">
        <f t="shared" si="37"/>
        <v>URBAN</v>
      </c>
      <c r="BJ69" s="188" t="str">
        <f t="shared" si="38"/>
        <v>Activity Streets</v>
      </c>
      <c r="BK69" s="188">
        <f t="shared" si="39"/>
        <v>23.299999999999997</v>
      </c>
      <c r="BL69" s="188">
        <f t="shared" si="40"/>
        <v>6.1999999999999989E-3</v>
      </c>
      <c r="BM69" s="188">
        <f t="shared" si="41"/>
        <v>23.2</v>
      </c>
      <c r="BN69" s="188">
        <f t="shared" si="42"/>
        <v>0.09</v>
      </c>
      <c r="BO69" s="188">
        <f t="shared" si="43"/>
        <v>46.370000000000005</v>
      </c>
      <c r="BP69" s="188">
        <f t="shared" si="44"/>
        <v>22.04</v>
      </c>
      <c r="BQ69" s="253" t="str">
        <f>INDEX(pMenus!$D$10:$D$23,MATCH(BJ69,pMenus!$B$10:$B$23,0))</f>
        <v>Activity Streets</v>
      </c>
      <c r="BR69" s="226">
        <f t="shared" si="25"/>
        <v>1302.2118103048438</v>
      </c>
      <c r="BS69" s="238">
        <f t="shared" si="26"/>
        <v>2591.5691692633313</v>
      </c>
    </row>
    <row r="70" spans="1:71">
      <c r="A70" s="202"/>
      <c r="B70" s="210" t="str">
        <f t="shared" si="27"/>
        <v>Rural Connectors Local LTA Roads Gisborne Region</v>
      </c>
      <c r="C70" s="193">
        <f t="shared" si="21"/>
        <v>250.18</v>
      </c>
      <c r="D70" s="193">
        <f t="shared" si="22"/>
        <v>24.66</v>
      </c>
      <c r="E70" s="194">
        <f t="shared" si="2"/>
        <v>270.05213780324738</v>
      </c>
      <c r="F70" s="202"/>
      <c r="AA70" s="185" t="s">
        <v>412</v>
      </c>
      <c r="AB70" s="185" t="s">
        <v>422</v>
      </c>
      <c r="AC70" s="185" t="s">
        <v>401</v>
      </c>
      <c r="AD70" s="185" t="s">
        <v>331</v>
      </c>
      <c r="AE70" s="185" t="s">
        <v>407</v>
      </c>
      <c r="AF70" s="185" t="s">
        <v>418</v>
      </c>
      <c r="AG70" s="185">
        <v>131.62</v>
      </c>
      <c r="AH70" s="185">
        <v>5.9499999999999997E-2</v>
      </c>
      <c r="AI70" s="185">
        <v>128.72</v>
      </c>
      <c r="AJ70" s="185">
        <v>2.91</v>
      </c>
      <c r="AK70" s="185">
        <v>250.18</v>
      </c>
      <c r="AL70" s="185">
        <v>24.66</v>
      </c>
      <c r="AM70" s="186">
        <v>87</v>
      </c>
      <c r="AN70" s="186" t="str">
        <f t="shared" si="3"/>
        <v>Gisborne RegionLocal Streets</v>
      </c>
      <c r="AO70" s="186">
        <f t="shared" si="28"/>
        <v>999</v>
      </c>
      <c r="AP70" s="187" t="s">
        <v>1105</v>
      </c>
      <c r="AQ70" s="187" t="str">
        <f t="shared" si="29"/>
        <v>Gisborne Region</v>
      </c>
      <c r="AR70" s="187" t="str">
        <f t="shared" si="30"/>
        <v>Combined</v>
      </c>
      <c r="AS70" s="187" t="str">
        <f t="shared" si="31"/>
        <v>2019/20</v>
      </c>
      <c r="AT70" s="187" t="str">
        <f t="shared" si="32"/>
        <v>URBAN</v>
      </c>
      <c r="AU70" s="187" t="str">
        <f t="shared" si="33"/>
        <v>Local Streets</v>
      </c>
      <c r="AV70" s="187" cm="1">
        <f t="array" ref="AV70">IF($AO70=999,0,INDEX(AG$198:AG$313,$AO70))</f>
        <v>0</v>
      </c>
      <c r="AW70" s="187" cm="1">
        <f t="array" ref="AW70">IF($AO70=999,0,INDEX(AH$198:AH$313,$AO70))</f>
        <v>0</v>
      </c>
      <c r="AX70" s="187" cm="1">
        <f t="array" ref="AX70">IF($AO70=999,0,INDEX(AI$198:AI$313,$AO70))</f>
        <v>0</v>
      </c>
      <c r="AY70" s="187" cm="1">
        <f t="array" ref="AY70">IF($AO70=999,0,INDEX(AJ$198:AJ$313,$AO70))</f>
        <v>0</v>
      </c>
      <c r="AZ70" s="187" cm="1">
        <f t="array" ref="AZ70">IF($AO70=999,0,INDEX(AK$198:AK$313,$AO70))</f>
        <v>0</v>
      </c>
      <c r="BA70" s="187" cm="1">
        <f t="array" ref="BA70">IF($AO70=999,0,INDEX(AL$198:AL$313,$AO70))</f>
        <v>0</v>
      </c>
      <c r="BB70" s="252" t="str">
        <f>INDEX(pMenus!$C$10:$C$23,MATCH(AU70,pMenus!$B$10:$B$23,0))</f>
        <v>NA</v>
      </c>
      <c r="BC70" s="221">
        <f t="shared" si="23"/>
        <v>0</v>
      </c>
      <c r="BD70" s="237">
        <f t="shared" si="24"/>
        <v>0</v>
      </c>
      <c r="BE70" s="188" t="s">
        <v>591</v>
      </c>
      <c r="BF70" s="188" t="str">
        <f t="shared" si="34"/>
        <v>Gisborne Region</v>
      </c>
      <c r="BG70" s="188" t="str">
        <f t="shared" si="35"/>
        <v>Combined</v>
      </c>
      <c r="BH70" s="188" t="str">
        <f t="shared" si="36"/>
        <v>2019/20</v>
      </c>
      <c r="BI70" s="188" t="str">
        <f t="shared" si="37"/>
        <v>URBAN</v>
      </c>
      <c r="BJ70" s="188" t="str">
        <f t="shared" si="38"/>
        <v>Local Streets</v>
      </c>
      <c r="BK70" s="188">
        <f t="shared" si="39"/>
        <v>131.62</v>
      </c>
      <c r="BL70" s="188">
        <f t="shared" si="40"/>
        <v>5.9499999999999997E-2</v>
      </c>
      <c r="BM70" s="188">
        <f t="shared" si="41"/>
        <v>128.72</v>
      </c>
      <c r="BN70" s="188">
        <f t="shared" si="42"/>
        <v>2.91</v>
      </c>
      <c r="BO70" s="188">
        <f t="shared" si="43"/>
        <v>250.18</v>
      </c>
      <c r="BP70" s="188">
        <f t="shared" si="44"/>
        <v>24.66</v>
      </c>
      <c r="BQ70" s="253" t="str">
        <f>INDEX(pMenus!$D$10:$D$23,MATCH(BJ70,pMenus!$B$10:$B$23,0))</f>
        <v>Rural Connectors</v>
      </c>
      <c r="BR70" s="226">
        <f t="shared" si="25"/>
        <v>270.05213780324738</v>
      </c>
      <c r="BS70" s="238">
        <f t="shared" si="26"/>
        <v>513.30834094830914</v>
      </c>
    </row>
    <row r="71" spans="1:71">
      <c r="A71" s="202"/>
      <c r="B71" s="210" t="str">
        <f t="shared" si="27"/>
        <v>Urban Connectors Local LTA Roads Gisborne Region</v>
      </c>
      <c r="C71" s="193">
        <f t="shared" si="21"/>
        <v>0.83</v>
      </c>
      <c r="D71" s="193">
        <f t="shared" si="22"/>
        <v>1.57</v>
      </c>
      <c r="E71" s="194">
        <f t="shared" si="2"/>
        <v>5182.3733289321672</v>
      </c>
      <c r="F71" s="202"/>
      <c r="AA71" s="185" t="s">
        <v>412</v>
      </c>
      <c r="AB71" s="185" t="s">
        <v>422</v>
      </c>
      <c r="AC71" s="185" t="s">
        <v>401</v>
      </c>
      <c r="AD71" s="185" t="s">
        <v>331</v>
      </c>
      <c r="AE71" s="185" t="s">
        <v>407</v>
      </c>
      <c r="AF71" s="185" t="s">
        <v>409</v>
      </c>
      <c r="AG71" s="185">
        <v>0.42</v>
      </c>
      <c r="AH71" s="185">
        <v>2.0000000000000001E-4</v>
      </c>
      <c r="AI71" s="185">
        <v>0.42</v>
      </c>
      <c r="AJ71" s="185">
        <v>0</v>
      </c>
      <c r="AK71" s="185">
        <v>0.83</v>
      </c>
      <c r="AL71" s="185">
        <v>1.57</v>
      </c>
      <c r="AM71" s="186">
        <v>88</v>
      </c>
      <c r="AN71" s="186" t="str">
        <f t="shared" si="3"/>
        <v>Gisborne RegionMain Streets</v>
      </c>
      <c r="AO71" s="186">
        <f t="shared" si="28"/>
        <v>999</v>
      </c>
      <c r="AP71" s="187" t="s">
        <v>1105</v>
      </c>
      <c r="AQ71" s="187" t="str">
        <f t="shared" si="29"/>
        <v>Gisborne Region</v>
      </c>
      <c r="AR71" s="187" t="str">
        <f t="shared" si="30"/>
        <v>Combined</v>
      </c>
      <c r="AS71" s="187" t="str">
        <f t="shared" si="31"/>
        <v>2019/20</v>
      </c>
      <c r="AT71" s="187" t="str">
        <f t="shared" si="32"/>
        <v>URBAN</v>
      </c>
      <c r="AU71" s="187" t="str">
        <f t="shared" si="33"/>
        <v>Main Streets</v>
      </c>
      <c r="AV71" s="187" cm="1">
        <f t="array" ref="AV71">IF($AO71=999,0,INDEX(AG$198:AG$313,$AO71))</f>
        <v>0</v>
      </c>
      <c r="AW71" s="187" cm="1">
        <f t="array" ref="AW71">IF($AO71=999,0,INDEX(AH$198:AH$313,$AO71))</f>
        <v>0</v>
      </c>
      <c r="AX71" s="187" cm="1">
        <f t="array" ref="AX71">IF($AO71=999,0,INDEX(AI$198:AI$313,$AO71))</f>
        <v>0</v>
      </c>
      <c r="AY71" s="187" cm="1">
        <f t="array" ref="AY71">IF($AO71=999,0,INDEX(AJ$198:AJ$313,$AO71))</f>
        <v>0</v>
      </c>
      <c r="AZ71" s="187" cm="1">
        <f t="array" ref="AZ71">IF($AO71=999,0,INDEX(AK$198:AK$313,$AO71))</f>
        <v>0</v>
      </c>
      <c r="BA71" s="187" cm="1">
        <f t="array" ref="BA71">IF($AO71=999,0,INDEX(AL$198:AL$313,$AO71))</f>
        <v>0</v>
      </c>
      <c r="BB71" s="252" t="str">
        <f>INDEX(pMenus!$C$10:$C$23,MATCH(AU71,pMenus!$B$10:$B$23,0))</f>
        <v>Urban Connectors</v>
      </c>
      <c r="BC71" s="221">
        <f t="shared" si="23"/>
        <v>0</v>
      </c>
      <c r="BD71" s="237">
        <f t="shared" si="24"/>
        <v>0</v>
      </c>
      <c r="BE71" s="188" t="s">
        <v>591</v>
      </c>
      <c r="BF71" s="188" t="str">
        <f t="shared" si="34"/>
        <v>Gisborne Region</v>
      </c>
      <c r="BG71" s="188" t="str">
        <f t="shared" si="35"/>
        <v>Combined</v>
      </c>
      <c r="BH71" s="188" t="str">
        <f t="shared" si="36"/>
        <v>2019/20</v>
      </c>
      <c r="BI71" s="188" t="str">
        <f t="shared" si="37"/>
        <v>URBAN</v>
      </c>
      <c r="BJ71" s="188" t="str">
        <f t="shared" si="38"/>
        <v>Main Streets</v>
      </c>
      <c r="BK71" s="188">
        <f t="shared" si="39"/>
        <v>0.42</v>
      </c>
      <c r="BL71" s="188">
        <f t="shared" si="40"/>
        <v>2.0000000000000001E-4</v>
      </c>
      <c r="BM71" s="188">
        <f t="shared" si="41"/>
        <v>0.42</v>
      </c>
      <c r="BN71" s="188">
        <f t="shared" si="42"/>
        <v>0</v>
      </c>
      <c r="BO71" s="188">
        <f t="shared" si="43"/>
        <v>0.83</v>
      </c>
      <c r="BP71" s="188">
        <f t="shared" si="44"/>
        <v>1.57</v>
      </c>
      <c r="BQ71" s="253" t="str">
        <f>INDEX(pMenus!$D$10:$D$23,MATCH(BJ71,pMenus!$B$10:$B$23,0))</f>
        <v>Urban Connectors</v>
      </c>
      <c r="BR71" s="226">
        <f t="shared" si="25"/>
        <v>5182.3733289321672</v>
      </c>
      <c r="BS71" s="238">
        <f t="shared" si="26"/>
        <v>10241.356816699285</v>
      </c>
    </row>
    <row r="72" spans="1:71">
      <c r="A72" s="202"/>
      <c r="B72" s="210" t="str">
        <f t="shared" si="27"/>
        <v>Urban Connectors Local LTA Roads Gisborne Region</v>
      </c>
      <c r="C72" s="193">
        <f t="shared" si="21"/>
        <v>21.67</v>
      </c>
      <c r="D72" s="193">
        <f t="shared" si="22"/>
        <v>34.160000000000011</v>
      </c>
      <c r="E72" s="194">
        <f t="shared" si="2"/>
        <v>4318.829769076624</v>
      </c>
      <c r="F72" s="202"/>
      <c r="AA72" s="185" t="s">
        <v>412</v>
      </c>
      <c r="AB72" s="185" t="s">
        <v>422</v>
      </c>
      <c r="AC72" s="185" t="s">
        <v>401</v>
      </c>
      <c r="AD72" s="185" t="s">
        <v>331</v>
      </c>
      <c r="AE72" s="185" t="s">
        <v>407</v>
      </c>
      <c r="AF72" s="185" t="s">
        <v>411</v>
      </c>
      <c r="AG72" s="185">
        <v>22.62</v>
      </c>
      <c r="AH72" s="185">
        <v>1.0200000000000001E-2</v>
      </c>
      <c r="AI72" s="185">
        <v>22.62</v>
      </c>
      <c r="AJ72" s="185">
        <v>0</v>
      </c>
      <c r="AK72" s="185">
        <v>45.24</v>
      </c>
      <c r="AL72" s="185">
        <v>64.040000000000006</v>
      </c>
      <c r="AM72" s="186">
        <v>89</v>
      </c>
      <c r="AN72" s="186" t="str">
        <f t="shared" si="3"/>
        <v>Gisborne RegionUrban Connectors</v>
      </c>
      <c r="AO72" s="186">
        <f t="shared" si="28"/>
        <v>32</v>
      </c>
      <c r="AP72" s="187" t="s">
        <v>1105</v>
      </c>
      <c r="AQ72" s="187" t="str">
        <f t="shared" si="29"/>
        <v>Gisborne Region</v>
      </c>
      <c r="AR72" s="187" t="str">
        <f t="shared" si="30"/>
        <v>Combined</v>
      </c>
      <c r="AS72" s="187" t="str">
        <f t="shared" si="31"/>
        <v>2019/20</v>
      </c>
      <c r="AT72" s="187" t="str">
        <f t="shared" si="32"/>
        <v>URBAN</v>
      </c>
      <c r="AU72" s="187" t="str">
        <f t="shared" si="33"/>
        <v>Urban Connectors</v>
      </c>
      <c r="AV72" s="187" cm="1">
        <f t="array" ref="AV72">IF($AO72=999,0,INDEX(AG$198:AG$313,$AO72))</f>
        <v>11.79</v>
      </c>
      <c r="AW72" s="187" cm="1">
        <f t="array" ref="AW72">IF($AO72=999,0,INDEX(AH$198:AH$313,$AO72))</f>
        <v>3.56E-2</v>
      </c>
      <c r="AX72" s="187" cm="1">
        <f t="array" ref="AX72">IF($AO72=999,0,INDEX(AI$198:AI$313,$AO72))</f>
        <v>11.79</v>
      </c>
      <c r="AY72" s="187" cm="1">
        <f t="array" ref="AY72">IF($AO72=999,0,INDEX(AJ$198:AJ$313,$AO72))</f>
        <v>0</v>
      </c>
      <c r="AZ72" s="187" cm="1">
        <f t="array" ref="AZ72">IF($AO72=999,0,INDEX(AK$198:AK$313,$AO72))</f>
        <v>23.57</v>
      </c>
      <c r="BA72" s="187" cm="1">
        <f t="array" ref="BA72">IF($AO72=999,0,INDEX(AL$198:AL$313,$AO72))</f>
        <v>29.88</v>
      </c>
      <c r="BB72" s="252" t="str">
        <f>INDEX(pMenus!$C$10:$C$23,MATCH(AU72,pMenus!$B$10:$B$23,0))</f>
        <v>Urban Connectors</v>
      </c>
      <c r="BC72" s="221">
        <f t="shared" si="23"/>
        <v>3473.1868349015749</v>
      </c>
      <c r="BD72" s="237">
        <f t="shared" si="24"/>
        <v>6943.4277946251177</v>
      </c>
      <c r="BE72" s="188" t="s">
        <v>591</v>
      </c>
      <c r="BF72" s="188" t="str">
        <f t="shared" si="34"/>
        <v>Gisborne Region</v>
      </c>
      <c r="BG72" s="188" t="str">
        <f t="shared" si="35"/>
        <v>Combined</v>
      </c>
      <c r="BH72" s="188" t="str">
        <f t="shared" si="36"/>
        <v>2019/20</v>
      </c>
      <c r="BI72" s="188" t="str">
        <f t="shared" si="37"/>
        <v>URBAN</v>
      </c>
      <c r="BJ72" s="188" t="str">
        <f t="shared" si="38"/>
        <v>Urban Connectors</v>
      </c>
      <c r="BK72" s="188">
        <f t="shared" si="39"/>
        <v>10.830000000000002</v>
      </c>
      <c r="BL72" s="188">
        <f t="shared" si="40"/>
        <v>-2.5399999999999999E-2</v>
      </c>
      <c r="BM72" s="188">
        <f t="shared" si="41"/>
        <v>10.830000000000002</v>
      </c>
      <c r="BN72" s="188">
        <f t="shared" si="42"/>
        <v>0</v>
      </c>
      <c r="BO72" s="188">
        <f t="shared" si="43"/>
        <v>21.67</v>
      </c>
      <c r="BP72" s="188">
        <f t="shared" si="44"/>
        <v>34.160000000000011</v>
      </c>
      <c r="BQ72" s="253" t="str">
        <f>INDEX(pMenus!$D$10:$D$23,MATCH(BJ72,pMenus!$B$10:$B$23,0))</f>
        <v>Urban Connectors</v>
      </c>
      <c r="BR72" s="226">
        <f t="shared" si="25"/>
        <v>4318.829769076624</v>
      </c>
      <c r="BS72" s="238">
        <f t="shared" si="26"/>
        <v>8641.6473772752015</v>
      </c>
    </row>
    <row r="73" spans="1:71">
      <c r="A73" s="202"/>
      <c r="B73" s="210" t="str">
        <f t="shared" si="27"/>
        <v>NA Local LTA Roads Hawke's Bay Region</v>
      </c>
      <c r="C73" s="193">
        <f t="shared" si="21"/>
        <v>186.56</v>
      </c>
      <c r="D73" s="193">
        <f t="shared" si="22"/>
        <v>41.629999999999995</v>
      </c>
      <c r="E73" s="194">
        <f t="shared" si="2"/>
        <v>611.35717474564717</v>
      </c>
      <c r="F73" s="202"/>
      <c r="AA73" s="185" t="s">
        <v>412</v>
      </c>
      <c r="AB73" s="185" t="s">
        <v>423</v>
      </c>
      <c r="AC73" s="185" t="s">
        <v>401</v>
      </c>
      <c r="AD73" s="185" t="s">
        <v>331</v>
      </c>
      <c r="AE73" s="185"/>
      <c r="AF73" s="185" t="s">
        <v>402</v>
      </c>
      <c r="AG73" s="185">
        <v>138.03</v>
      </c>
      <c r="AH73" s="185">
        <v>2.9600000000000001E-2</v>
      </c>
      <c r="AI73" s="185">
        <v>103.26</v>
      </c>
      <c r="AJ73" s="185">
        <v>34.78</v>
      </c>
      <c r="AK73" s="185">
        <v>244.32</v>
      </c>
      <c r="AL73" s="185">
        <v>176.72</v>
      </c>
      <c r="AM73" s="186">
        <v>98</v>
      </c>
      <c r="AN73" s="186" t="str">
        <f t="shared" si="3"/>
        <v>Hawke's Bay RegionUnclassified</v>
      </c>
      <c r="AO73" s="186">
        <f t="shared" si="28"/>
        <v>33</v>
      </c>
      <c r="AP73" s="187" t="s">
        <v>1105</v>
      </c>
      <c r="AQ73" s="187" t="str">
        <f t="shared" si="29"/>
        <v>Hawke's Bay Region</v>
      </c>
      <c r="AR73" s="187" t="str">
        <f t="shared" si="30"/>
        <v>Combined</v>
      </c>
      <c r="AS73" s="187" t="str">
        <f t="shared" si="31"/>
        <v>2019/20</v>
      </c>
      <c r="AT73" s="187">
        <f t="shared" si="32"/>
        <v>0</v>
      </c>
      <c r="AU73" s="187" t="str">
        <f t="shared" si="33"/>
        <v>Unclassified</v>
      </c>
      <c r="AV73" s="187" cm="1">
        <f t="array" ref="AV73">IF($AO73=999,0,INDEX(AG$198:AG$313,$AO73))</f>
        <v>28.76</v>
      </c>
      <c r="AW73" s="187" cm="1">
        <f t="array" ref="AW73">IF($AO73=999,0,INDEX(AH$198:AH$313,$AO73))</f>
        <v>5.6000000000000001E-2</v>
      </c>
      <c r="AX73" s="187" cm="1">
        <f t="array" ref="AX73">IF($AO73=999,0,INDEX(AI$198:AI$313,$AO73))</f>
        <v>28.76</v>
      </c>
      <c r="AY73" s="187" cm="1">
        <f t="array" ref="AY73">IF($AO73=999,0,INDEX(AJ$198:AJ$313,$AO73))</f>
        <v>0</v>
      </c>
      <c r="AZ73" s="187" cm="1">
        <f t="array" ref="AZ73">IF($AO73=999,0,INDEX(AK$198:AK$313,$AO73))</f>
        <v>57.76</v>
      </c>
      <c r="BA73" s="187" cm="1">
        <f t="array" ref="BA73">IF($AO73=999,0,INDEX(AL$198:AL$313,$AO73))</f>
        <v>135.09</v>
      </c>
      <c r="BB73" s="252" t="str">
        <f>INDEX(pMenus!$C$10:$C$23,MATCH(AU73,pMenus!$B$10:$B$23,0))</f>
        <v>NA</v>
      </c>
      <c r="BC73" s="221">
        <f t="shared" si="23"/>
        <v>6407.7144917087244</v>
      </c>
      <c r="BD73" s="237">
        <f t="shared" si="24"/>
        <v>12868.90087069179</v>
      </c>
      <c r="BE73" s="188" t="s">
        <v>591</v>
      </c>
      <c r="BF73" s="188" t="str">
        <f t="shared" si="34"/>
        <v>Hawke's Bay Region</v>
      </c>
      <c r="BG73" s="188" t="str">
        <f t="shared" si="35"/>
        <v>Combined</v>
      </c>
      <c r="BH73" s="188" t="str">
        <f t="shared" si="36"/>
        <v>2019/20</v>
      </c>
      <c r="BI73" s="188">
        <f t="shared" si="37"/>
        <v>0</v>
      </c>
      <c r="BJ73" s="188" t="str">
        <f t="shared" si="38"/>
        <v>Unclassified</v>
      </c>
      <c r="BK73" s="188">
        <f t="shared" si="39"/>
        <v>109.27</v>
      </c>
      <c r="BL73" s="188">
        <f t="shared" si="40"/>
        <v>-2.64E-2</v>
      </c>
      <c r="BM73" s="188">
        <f t="shared" si="41"/>
        <v>74.5</v>
      </c>
      <c r="BN73" s="188">
        <f t="shared" si="42"/>
        <v>34.78</v>
      </c>
      <c r="BO73" s="188">
        <f t="shared" si="43"/>
        <v>186.56</v>
      </c>
      <c r="BP73" s="188">
        <f t="shared" si="44"/>
        <v>41.629999999999995</v>
      </c>
      <c r="BQ73" s="253" t="str">
        <f>INDEX(pMenus!$D$10:$D$23,MATCH(BJ73,pMenus!$B$10:$B$23,0))</f>
        <v>NA</v>
      </c>
      <c r="BR73" s="226">
        <f t="shared" si="25"/>
        <v>611.35717474564717</v>
      </c>
      <c r="BS73" s="238">
        <f t="shared" si="26"/>
        <v>1043.7887299400379</v>
      </c>
    </row>
    <row r="74" spans="1:71">
      <c r="A74" s="202"/>
      <c r="B74" s="210" t="str">
        <f t="shared" si="27"/>
        <v>Interregional Connectors Local LTA Roads Hawke's Bay Region</v>
      </c>
      <c r="C74" s="193">
        <f t="shared" si="21"/>
        <v>1.2299999999999045</v>
      </c>
      <c r="D74" s="193">
        <f t="shared" si="22"/>
        <v>0.22000000000002728</v>
      </c>
      <c r="E74" s="194">
        <f t="shared" si="2"/>
        <v>490.03229758334857</v>
      </c>
      <c r="F74" s="202"/>
      <c r="AA74" s="185" t="s">
        <v>412</v>
      </c>
      <c r="AB74" s="185" t="s">
        <v>423</v>
      </c>
      <c r="AC74" s="185" t="s">
        <v>401</v>
      </c>
      <c r="AD74" s="185" t="s">
        <v>331</v>
      </c>
      <c r="AE74" s="185" t="s">
        <v>403</v>
      </c>
      <c r="AF74" s="185" t="s">
        <v>404</v>
      </c>
      <c r="AG74" s="185">
        <v>294.36</v>
      </c>
      <c r="AH74" s="185">
        <v>6.3100000000000003E-2</v>
      </c>
      <c r="AI74" s="185">
        <v>294.36</v>
      </c>
      <c r="AJ74" s="185">
        <v>0</v>
      </c>
      <c r="AK74" s="185">
        <v>614.16999999999996</v>
      </c>
      <c r="AL74" s="185">
        <v>388.17</v>
      </c>
      <c r="AM74" s="186">
        <v>99</v>
      </c>
      <c r="AN74" s="186" t="str">
        <f t="shared" si="3"/>
        <v>Hawke's Bay RegionInterregional Connectors</v>
      </c>
      <c r="AO74" s="186">
        <f t="shared" si="28"/>
        <v>34</v>
      </c>
      <c r="AP74" s="187" t="s">
        <v>1105</v>
      </c>
      <c r="AQ74" s="187" t="str">
        <f t="shared" si="29"/>
        <v>Hawke's Bay Region</v>
      </c>
      <c r="AR74" s="187" t="str">
        <f t="shared" si="30"/>
        <v>Combined</v>
      </c>
      <c r="AS74" s="187" t="str">
        <f t="shared" si="31"/>
        <v>2019/20</v>
      </c>
      <c r="AT74" s="187" t="str">
        <f t="shared" si="32"/>
        <v>RURAL</v>
      </c>
      <c r="AU74" s="187" t="str">
        <f t="shared" si="33"/>
        <v>Interregional Connectors</v>
      </c>
      <c r="AV74" s="187" cm="1">
        <f t="array" ref="AV74">IF($AO74=999,0,INDEX(AG$198:AG$313,$AO74))</f>
        <v>293.33999999999997</v>
      </c>
      <c r="AW74" s="187" cm="1">
        <f t="array" ref="AW74">IF($AO74=999,0,INDEX(AH$198:AH$313,$AO74))</f>
        <v>0.57150000000000001</v>
      </c>
      <c r="AX74" s="187" cm="1">
        <f t="array" ref="AX74">IF($AO74=999,0,INDEX(AI$198:AI$313,$AO74))</f>
        <v>293.33999999999997</v>
      </c>
      <c r="AY74" s="187" cm="1">
        <f t="array" ref="AY74">IF($AO74=999,0,INDEX(AJ$198:AJ$313,$AO74))</f>
        <v>0</v>
      </c>
      <c r="AZ74" s="187" cm="1">
        <f t="array" ref="AZ74">IF($AO74=999,0,INDEX(AK$198:AK$313,$AO74))</f>
        <v>612.94000000000005</v>
      </c>
      <c r="BA74" s="187" cm="1">
        <f t="array" ref="BA74">IF($AO74=999,0,INDEX(AL$198:AL$313,$AO74))</f>
        <v>387.95</v>
      </c>
      <c r="BB74" s="252" t="str">
        <f>INDEX(pMenus!$C$10:$C$23,MATCH(AU74,pMenus!$B$10:$B$23,0))</f>
        <v>Interregional Connectors</v>
      </c>
      <c r="BC74" s="221">
        <f t="shared" si="23"/>
        <v>1734.0632236903562</v>
      </c>
      <c r="BD74" s="237">
        <f t="shared" si="24"/>
        <v>3623.3609883710615</v>
      </c>
      <c r="BE74" s="188" t="s">
        <v>591</v>
      </c>
      <c r="BF74" s="188" t="str">
        <f t="shared" si="34"/>
        <v>Hawke's Bay Region</v>
      </c>
      <c r="BG74" s="188" t="str">
        <f t="shared" si="35"/>
        <v>Combined</v>
      </c>
      <c r="BH74" s="188" t="str">
        <f t="shared" si="36"/>
        <v>2019/20</v>
      </c>
      <c r="BI74" s="188" t="str">
        <f t="shared" si="37"/>
        <v>RURAL</v>
      </c>
      <c r="BJ74" s="188" t="str">
        <f t="shared" si="38"/>
        <v>Interregional Connectors</v>
      </c>
      <c r="BK74" s="188">
        <f t="shared" si="39"/>
        <v>1.0200000000000387</v>
      </c>
      <c r="BL74" s="188">
        <f t="shared" si="40"/>
        <v>-0.50839999999999996</v>
      </c>
      <c r="BM74" s="188">
        <f t="shared" si="41"/>
        <v>1.0200000000000387</v>
      </c>
      <c r="BN74" s="188">
        <f t="shared" si="42"/>
        <v>0</v>
      </c>
      <c r="BO74" s="188">
        <f t="shared" si="43"/>
        <v>1.2299999999999045</v>
      </c>
      <c r="BP74" s="188">
        <f t="shared" si="44"/>
        <v>0.22000000000002728</v>
      </c>
      <c r="BQ74" s="253" t="str">
        <f>INDEX(pMenus!$D$10:$D$23,MATCH(BJ74,pMenus!$B$10:$B$23,0))</f>
        <v>Interregional Connectors</v>
      </c>
      <c r="BR74" s="226">
        <f t="shared" si="25"/>
        <v>490.03229758334857</v>
      </c>
      <c r="BS74" s="238">
        <f t="shared" si="26"/>
        <v>590.92130002691101</v>
      </c>
    </row>
    <row r="75" spans="1:71">
      <c r="A75" s="202"/>
      <c r="B75" s="210" t="str">
        <f t="shared" si="27"/>
        <v>Rural Connectors Local LTA Roads Hawke's Bay Region</v>
      </c>
      <c r="C75" s="193">
        <f t="shared" si="21"/>
        <v>187.49</v>
      </c>
      <c r="D75" s="193">
        <f t="shared" si="22"/>
        <v>43.320000000000007</v>
      </c>
      <c r="E75" s="194">
        <f t="shared" si="2"/>
        <v>633.02006243985988</v>
      </c>
      <c r="F75" s="202"/>
      <c r="AA75" s="185" t="s">
        <v>412</v>
      </c>
      <c r="AB75" s="185" t="s">
        <v>423</v>
      </c>
      <c r="AC75" s="185" t="s">
        <v>401</v>
      </c>
      <c r="AD75" s="185" t="s">
        <v>331</v>
      </c>
      <c r="AE75" s="185" t="s">
        <v>403</v>
      </c>
      <c r="AF75" s="185" t="s">
        <v>405</v>
      </c>
      <c r="AG75" s="185">
        <v>107.95</v>
      </c>
      <c r="AH75" s="185">
        <v>2.3099999999999999E-2</v>
      </c>
      <c r="AI75" s="185">
        <v>97.28</v>
      </c>
      <c r="AJ75" s="185">
        <v>10.66</v>
      </c>
      <c r="AK75" s="185">
        <v>202.63</v>
      </c>
      <c r="AL75" s="185">
        <v>70.73</v>
      </c>
      <c r="AM75" s="186">
        <v>100</v>
      </c>
      <c r="AN75" s="186" t="str">
        <f t="shared" si="3"/>
        <v>Hawke's Bay RegionPeri-urban Roads</v>
      </c>
      <c r="AO75" s="186">
        <f t="shared" si="28"/>
        <v>35</v>
      </c>
      <c r="AP75" s="187" t="s">
        <v>1105</v>
      </c>
      <c r="AQ75" s="187" t="str">
        <f t="shared" si="29"/>
        <v>Hawke's Bay Region</v>
      </c>
      <c r="AR75" s="187" t="str">
        <f t="shared" si="30"/>
        <v>Combined</v>
      </c>
      <c r="AS75" s="187" t="str">
        <f t="shared" si="31"/>
        <v>2019/20</v>
      </c>
      <c r="AT75" s="187" t="str">
        <f t="shared" si="32"/>
        <v>RURAL</v>
      </c>
      <c r="AU75" s="187" t="str">
        <f t="shared" si="33"/>
        <v>Peri-urban Roads</v>
      </c>
      <c r="AV75" s="187" cm="1">
        <f t="array" ref="AV75">IF($AO75=999,0,INDEX(AG$198:AG$313,$AO75))</f>
        <v>7.57</v>
      </c>
      <c r="AW75" s="187" cm="1">
        <f t="array" ref="AW75">IF($AO75=999,0,INDEX(AH$198:AH$313,$AO75))</f>
        <v>1.4800000000000001E-2</v>
      </c>
      <c r="AX75" s="187" cm="1">
        <f t="array" ref="AX75">IF($AO75=999,0,INDEX(AI$198:AI$313,$AO75))</f>
        <v>7.57</v>
      </c>
      <c r="AY75" s="187" cm="1">
        <f t="array" ref="AY75">IF($AO75=999,0,INDEX(AJ$198:AJ$313,$AO75))</f>
        <v>0</v>
      </c>
      <c r="AZ75" s="187" cm="1">
        <f t="array" ref="AZ75">IF($AO75=999,0,INDEX(AK$198:AK$313,$AO75))</f>
        <v>15.14</v>
      </c>
      <c r="BA75" s="187" cm="1">
        <f t="array" ref="BA75">IF($AO75=999,0,INDEX(AL$198:AL$313,$AO75))</f>
        <v>27.41</v>
      </c>
      <c r="BB75" s="252" t="str">
        <f>INDEX(pMenus!$C$10:$C$23,MATCH(AU75,pMenus!$B$10:$B$23,0))</f>
        <v>Interregional Connectors</v>
      </c>
      <c r="BC75" s="221">
        <f t="shared" si="23"/>
        <v>4960.0984419391616</v>
      </c>
      <c r="BD75" s="237">
        <f t="shared" si="24"/>
        <v>9920.1968838783232</v>
      </c>
      <c r="BE75" s="188" t="s">
        <v>591</v>
      </c>
      <c r="BF75" s="188" t="str">
        <f t="shared" si="34"/>
        <v>Hawke's Bay Region</v>
      </c>
      <c r="BG75" s="188" t="str">
        <f t="shared" si="35"/>
        <v>Combined</v>
      </c>
      <c r="BH75" s="188" t="str">
        <f t="shared" si="36"/>
        <v>2019/20</v>
      </c>
      <c r="BI75" s="188" t="str">
        <f t="shared" si="37"/>
        <v>RURAL</v>
      </c>
      <c r="BJ75" s="188" t="str">
        <f t="shared" si="38"/>
        <v>Peri-urban Roads</v>
      </c>
      <c r="BK75" s="188">
        <f t="shared" si="39"/>
        <v>100.38</v>
      </c>
      <c r="BL75" s="188">
        <f t="shared" si="40"/>
        <v>8.2999999999999984E-3</v>
      </c>
      <c r="BM75" s="188">
        <f t="shared" si="41"/>
        <v>89.710000000000008</v>
      </c>
      <c r="BN75" s="188">
        <f t="shared" si="42"/>
        <v>10.66</v>
      </c>
      <c r="BO75" s="188">
        <f t="shared" si="43"/>
        <v>187.49</v>
      </c>
      <c r="BP75" s="188">
        <f t="shared" si="44"/>
        <v>43.320000000000007</v>
      </c>
      <c r="BQ75" s="253" t="str">
        <f>INDEX(pMenus!$D$10:$D$23,MATCH(BJ75,pMenus!$B$10:$B$23,0))</f>
        <v>Rural Connectors</v>
      </c>
      <c r="BR75" s="226">
        <f t="shared" si="25"/>
        <v>633.02006243985988</v>
      </c>
      <c r="BS75" s="238">
        <f t="shared" si="26"/>
        <v>1182.3563608970844</v>
      </c>
    </row>
    <row r="76" spans="1:71">
      <c r="A76" s="202"/>
      <c r="B76" s="210" t="str">
        <f t="shared" si="27"/>
        <v>Rural Connectors Local LTA Roads Hawke's Bay Region</v>
      </c>
      <c r="C76" s="193">
        <f t="shared" si="21"/>
        <v>1567.42</v>
      </c>
      <c r="D76" s="193">
        <f t="shared" si="22"/>
        <v>265.92999999999995</v>
      </c>
      <c r="E76" s="194">
        <f t="shared" si="2"/>
        <v>464.8245795420201</v>
      </c>
      <c r="F76" s="202"/>
      <c r="AA76" s="185" t="s">
        <v>412</v>
      </c>
      <c r="AB76" s="185" t="s">
        <v>423</v>
      </c>
      <c r="AC76" s="185" t="s">
        <v>401</v>
      </c>
      <c r="AD76" s="185" t="s">
        <v>331</v>
      </c>
      <c r="AE76" s="185" t="s">
        <v>403</v>
      </c>
      <c r="AF76" s="185" t="s">
        <v>406</v>
      </c>
      <c r="AG76" s="185">
        <v>937.83</v>
      </c>
      <c r="AH76" s="185">
        <v>0.2011</v>
      </c>
      <c r="AI76" s="185">
        <v>894.38</v>
      </c>
      <c r="AJ76" s="185">
        <v>43.46</v>
      </c>
      <c r="AK76" s="185">
        <v>1874.2</v>
      </c>
      <c r="AL76" s="185">
        <v>399.4</v>
      </c>
      <c r="AM76" s="186">
        <v>101</v>
      </c>
      <c r="AN76" s="186" t="str">
        <f t="shared" si="3"/>
        <v>Hawke's Bay RegionRural Connectors</v>
      </c>
      <c r="AO76" s="186">
        <f t="shared" si="28"/>
        <v>36</v>
      </c>
      <c r="AP76" s="187" t="s">
        <v>1105</v>
      </c>
      <c r="AQ76" s="187" t="str">
        <f t="shared" si="29"/>
        <v>Hawke's Bay Region</v>
      </c>
      <c r="AR76" s="187" t="str">
        <f t="shared" si="30"/>
        <v>Combined</v>
      </c>
      <c r="AS76" s="187" t="str">
        <f t="shared" si="31"/>
        <v>2019/20</v>
      </c>
      <c r="AT76" s="187" t="str">
        <f t="shared" si="32"/>
        <v>RURAL</v>
      </c>
      <c r="AU76" s="187" t="str">
        <f t="shared" si="33"/>
        <v>Rural Connectors</v>
      </c>
      <c r="AV76" s="187" cm="1">
        <f t="array" ref="AV76">IF($AO76=999,0,INDEX(AG$198:AG$313,$AO76))</f>
        <v>153.49</v>
      </c>
      <c r="AW76" s="187" cm="1">
        <f t="array" ref="AW76">IF($AO76=999,0,INDEX(AH$198:AH$313,$AO76))</f>
        <v>0.29899999999999999</v>
      </c>
      <c r="AX76" s="187" cm="1">
        <f t="array" ref="AX76">IF($AO76=999,0,INDEX(AI$198:AI$313,$AO76))</f>
        <v>133.72</v>
      </c>
      <c r="AY76" s="187" cm="1">
        <f t="array" ref="AY76">IF($AO76=999,0,INDEX(AJ$198:AJ$313,$AO76))</f>
        <v>19.77</v>
      </c>
      <c r="AZ76" s="187" cm="1">
        <f t="array" ref="AZ76">IF($AO76=999,0,INDEX(AK$198:AK$313,$AO76))</f>
        <v>306.77999999999997</v>
      </c>
      <c r="BA76" s="187" cm="1">
        <f t="array" ref="BA76">IF($AO76=999,0,INDEX(AL$198:AL$313,$AO76))</f>
        <v>133.47</v>
      </c>
      <c r="BB76" s="252" t="str">
        <f>INDEX(pMenus!$C$10:$C$23,MATCH(AU76,pMenus!$B$10:$B$23,0))</f>
        <v>Rural Connectors</v>
      </c>
      <c r="BC76" s="221">
        <f t="shared" si="23"/>
        <v>1191.9656851056534</v>
      </c>
      <c r="BD76" s="237">
        <f t="shared" si="24"/>
        <v>2382.3782192762546</v>
      </c>
      <c r="BE76" s="188" t="s">
        <v>591</v>
      </c>
      <c r="BF76" s="188" t="str">
        <f t="shared" si="34"/>
        <v>Hawke's Bay Region</v>
      </c>
      <c r="BG76" s="188" t="str">
        <f t="shared" si="35"/>
        <v>Combined</v>
      </c>
      <c r="BH76" s="188" t="str">
        <f t="shared" si="36"/>
        <v>2019/20</v>
      </c>
      <c r="BI76" s="188" t="str">
        <f t="shared" si="37"/>
        <v>RURAL</v>
      </c>
      <c r="BJ76" s="188" t="str">
        <f t="shared" si="38"/>
        <v>Rural Connectors</v>
      </c>
      <c r="BK76" s="188">
        <f t="shared" si="39"/>
        <v>784.34</v>
      </c>
      <c r="BL76" s="188">
        <f t="shared" si="40"/>
        <v>-9.7899999999999987E-2</v>
      </c>
      <c r="BM76" s="188">
        <f t="shared" si="41"/>
        <v>760.66</v>
      </c>
      <c r="BN76" s="188">
        <f t="shared" si="42"/>
        <v>23.69</v>
      </c>
      <c r="BO76" s="188">
        <f t="shared" si="43"/>
        <v>1567.42</v>
      </c>
      <c r="BP76" s="188">
        <f t="shared" si="44"/>
        <v>265.92999999999995</v>
      </c>
      <c r="BQ76" s="253" t="str">
        <f>INDEX(pMenus!$D$10:$D$23,MATCH(BJ76,pMenus!$B$10:$B$23,0))</f>
        <v>Rural Connectors</v>
      </c>
      <c r="BR76" s="226">
        <f t="shared" si="25"/>
        <v>464.8245795420201</v>
      </c>
      <c r="BS76" s="238">
        <f t="shared" si="26"/>
        <v>928.90244341198104</v>
      </c>
    </row>
    <row r="77" spans="1:71">
      <c r="A77" s="202"/>
      <c r="B77" s="210" t="str">
        <f t="shared" si="27"/>
        <v>Rural Connectors Local LTA Roads Hawke's Bay Region</v>
      </c>
      <c r="C77" s="193">
        <f t="shared" si="21"/>
        <v>4424.57</v>
      </c>
      <c r="D77" s="193">
        <f t="shared" si="22"/>
        <v>69.459999999999994</v>
      </c>
      <c r="E77" s="194">
        <f t="shared" si="2"/>
        <v>43.010138807390021</v>
      </c>
      <c r="F77" s="202"/>
      <c r="AA77" s="185" t="s">
        <v>412</v>
      </c>
      <c r="AB77" s="185" t="s">
        <v>423</v>
      </c>
      <c r="AC77" s="185" t="s">
        <v>401</v>
      </c>
      <c r="AD77" s="185" t="s">
        <v>331</v>
      </c>
      <c r="AE77" s="185" t="s">
        <v>403</v>
      </c>
      <c r="AF77" s="185" t="s">
        <v>414</v>
      </c>
      <c r="AG77" s="185">
        <v>2469.38</v>
      </c>
      <c r="AH77" s="185">
        <v>0.52959999999999996</v>
      </c>
      <c r="AI77" s="185">
        <v>1242.04</v>
      </c>
      <c r="AJ77" s="185">
        <v>1227.3399999999999</v>
      </c>
      <c r="AK77" s="185">
        <v>4424.57</v>
      </c>
      <c r="AL77" s="185">
        <v>69.459999999999994</v>
      </c>
      <c r="AM77" s="186">
        <v>102</v>
      </c>
      <c r="AN77" s="186" t="str">
        <f t="shared" si="3"/>
        <v>Hawke's Bay RegionRural Roads</v>
      </c>
      <c r="AO77" s="186">
        <f t="shared" si="28"/>
        <v>999</v>
      </c>
      <c r="AP77" s="187" t="s">
        <v>1105</v>
      </c>
      <c r="AQ77" s="187" t="str">
        <f t="shared" si="29"/>
        <v>Hawke's Bay Region</v>
      </c>
      <c r="AR77" s="187" t="str">
        <f t="shared" si="30"/>
        <v>Combined</v>
      </c>
      <c r="AS77" s="187" t="str">
        <f t="shared" si="31"/>
        <v>2019/20</v>
      </c>
      <c r="AT77" s="187" t="str">
        <f t="shared" si="32"/>
        <v>RURAL</v>
      </c>
      <c r="AU77" s="187" t="str">
        <f t="shared" si="33"/>
        <v>Rural Roads</v>
      </c>
      <c r="AV77" s="187" cm="1">
        <f t="array" ref="AV77">IF($AO77=999,0,INDEX(AG$198:AG$313,$AO77))</f>
        <v>0</v>
      </c>
      <c r="AW77" s="187" cm="1">
        <f t="array" ref="AW77">IF($AO77=999,0,INDEX(AH$198:AH$313,$AO77))</f>
        <v>0</v>
      </c>
      <c r="AX77" s="187" cm="1">
        <f t="array" ref="AX77">IF($AO77=999,0,INDEX(AI$198:AI$313,$AO77))</f>
        <v>0</v>
      </c>
      <c r="AY77" s="187" cm="1">
        <f t="array" ref="AY77">IF($AO77=999,0,INDEX(AJ$198:AJ$313,$AO77))</f>
        <v>0</v>
      </c>
      <c r="AZ77" s="187" cm="1">
        <f t="array" ref="AZ77">IF($AO77=999,0,INDEX(AK$198:AK$313,$AO77))</f>
        <v>0</v>
      </c>
      <c r="BA77" s="187" cm="1">
        <f t="array" ref="BA77">IF($AO77=999,0,INDEX(AL$198:AL$313,$AO77))</f>
        <v>0</v>
      </c>
      <c r="BB77" s="252" t="str">
        <f>INDEX(pMenus!$C$10:$C$23,MATCH(AU77,pMenus!$B$10:$B$23,0))</f>
        <v>NA</v>
      </c>
      <c r="BC77" s="221">
        <f t="shared" si="23"/>
        <v>0</v>
      </c>
      <c r="BD77" s="237">
        <f t="shared" si="24"/>
        <v>0</v>
      </c>
      <c r="BE77" s="188" t="s">
        <v>591</v>
      </c>
      <c r="BF77" s="188" t="str">
        <f t="shared" si="34"/>
        <v>Hawke's Bay Region</v>
      </c>
      <c r="BG77" s="188" t="str">
        <f t="shared" si="35"/>
        <v>Combined</v>
      </c>
      <c r="BH77" s="188" t="str">
        <f t="shared" si="36"/>
        <v>2019/20</v>
      </c>
      <c r="BI77" s="188" t="str">
        <f t="shared" si="37"/>
        <v>RURAL</v>
      </c>
      <c r="BJ77" s="188" t="str">
        <f t="shared" si="38"/>
        <v>Rural Roads</v>
      </c>
      <c r="BK77" s="188">
        <f t="shared" si="39"/>
        <v>2469.38</v>
      </c>
      <c r="BL77" s="188">
        <f t="shared" si="40"/>
        <v>0.52959999999999996</v>
      </c>
      <c r="BM77" s="188">
        <f t="shared" si="41"/>
        <v>1242.04</v>
      </c>
      <c r="BN77" s="188">
        <f t="shared" si="42"/>
        <v>1227.3399999999999</v>
      </c>
      <c r="BO77" s="188">
        <f t="shared" si="43"/>
        <v>4424.57</v>
      </c>
      <c r="BP77" s="188">
        <f t="shared" si="44"/>
        <v>69.459999999999994</v>
      </c>
      <c r="BQ77" s="253" t="str">
        <f>INDEX(pMenus!$D$10:$D$23,MATCH(BJ77,pMenus!$B$10:$B$23,0))</f>
        <v>Rural Connectors</v>
      </c>
      <c r="BR77" s="226">
        <f t="shared" si="25"/>
        <v>43.010138807390021</v>
      </c>
      <c r="BS77" s="238">
        <f t="shared" si="26"/>
        <v>77.064433122084765</v>
      </c>
    </row>
    <row r="78" spans="1:71">
      <c r="A78" s="202"/>
      <c r="B78" s="210" t="str">
        <f t="shared" si="27"/>
        <v>Rural Connectors Local LTA Roads Hawke's Bay Region</v>
      </c>
      <c r="C78" s="193">
        <f t="shared" si="21"/>
        <v>12.21</v>
      </c>
      <c r="D78" s="193">
        <f t="shared" si="22"/>
        <v>0.63</v>
      </c>
      <c r="E78" s="194">
        <f t="shared" si="2"/>
        <v>141.36178519740162</v>
      </c>
      <c r="F78" s="202"/>
      <c r="AA78" s="185" t="s">
        <v>412</v>
      </c>
      <c r="AB78" s="185" t="s">
        <v>423</v>
      </c>
      <c r="AC78" s="185" t="s">
        <v>401</v>
      </c>
      <c r="AD78" s="185" t="s">
        <v>331</v>
      </c>
      <c r="AE78" s="185" t="s">
        <v>403</v>
      </c>
      <c r="AF78" s="185" t="s">
        <v>415</v>
      </c>
      <c r="AG78" s="185">
        <v>6.67</v>
      </c>
      <c r="AH78" s="185">
        <v>1.4E-3</v>
      </c>
      <c r="AI78" s="185">
        <v>6.23</v>
      </c>
      <c r="AJ78" s="185">
        <v>0.45</v>
      </c>
      <c r="AK78" s="185">
        <v>12.21</v>
      </c>
      <c r="AL78" s="185">
        <v>0.63</v>
      </c>
      <c r="AM78" s="186">
        <v>103</v>
      </c>
      <c r="AN78" s="186" t="str">
        <f t="shared" si="3"/>
        <v>Hawke's Bay RegionStopping Places</v>
      </c>
      <c r="AO78" s="186">
        <f t="shared" si="28"/>
        <v>999</v>
      </c>
      <c r="AP78" s="187" t="s">
        <v>1105</v>
      </c>
      <c r="AQ78" s="187" t="str">
        <f t="shared" si="29"/>
        <v>Hawke's Bay Region</v>
      </c>
      <c r="AR78" s="187" t="str">
        <f t="shared" si="30"/>
        <v>Combined</v>
      </c>
      <c r="AS78" s="187" t="str">
        <f t="shared" si="31"/>
        <v>2019/20</v>
      </c>
      <c r="AT78" s="187" t="str">
        <f t="shared" si="32"/>
        <v>RURAL</v>
      </c>
      <c r="AU78" s="187" t="str">
        <f t="shared" si="33"/>
        <v>Stopping Places</v>
      </c>
      <c r="AV78" s="187" cm="1">
        <f t="array" ref="AV78">IF($AO78=999,0,INDEX(AG$198:AG$313,$AO78))</f>
        <v>0</v>
      </c>
      <c r="AW78" s="187" cm="1">
        <f t="array" ref="AW78">IF($AO78=999,0,INDEX(AH$198:AH$313,$AO78))</f>
        <v>0</v>
      </c>
      <c r="AX78" s="187" cm="1">
        <f t="array" ref="AX78">IF($AO78=999,0,INDEX(AI$198:AI$313,$AO78))</f>
        <v>0</v>
      </c>
      <c r="AY78" s="187" cm="1">
        <f t="array" ref="AY78">IF($AO78=999,0,INDEX(AJ$198:AJ$313,$AO78))</f>
        <v>0</v>
      </c>
      <c r="AZ78" s="187" cm="1">
        <f t="array" ref="AZ78">IF($AO78=999,0,INDEX(AK$198:AK$313,$AO78))</f>
        <v>0</v>
      </c>
      <c r="BA78" s="187" cm="1">
        <f t="array" ref="BA78">IF($AO78=999,0,INDEX(AL$198:AL$313,$AO78))</f>
        <v>0</v>
      </c>
      <c r="BB78" s="252" t="str">
        <f>INDEX(pMenus!$C$10:$C$23,MATCH(AU78,pMenus!$B$10:$B$23,0))</f>
        <v>Interregional Connectors</v>
      </c>
      <c r="BC78" s="221">
        <f t="shared" si="23"/>
        <v>0</v>
      </c>
      <c r="BD78" s="237">
        <f t="shared" si="24"/>
        <v>0</v>
      </c>
      <c r="BE78" s="188" t="s">
        <v>591</v>
      </c>
      <c r="BF78" s="188" t="str">
        <f t="shared" si="34"/>
        <v>Hawke's Bay Region</v>
      </c>
      <c r="BG78" s="188" t="str">
        <f t="shared" si="35"/>
        <v>Combined</v>
      </c>
      <c r="BH78" s="188" t="str">
        <f t="shared" si="36"/>
        <v>2019/20</v>
      </c>
      <c r="BI78" s="188" t="str">
        <f t="shared" si="37"/>
        <v>RURAL</v>
      </c>
      <c r="BJ78" s="188" t="str">
        <f t="shared" si="38"/>
        <v>Stopping Places</v>
      </c>
      <c r="BK78" s="188">
        <f t="shared" si="39"/>
        <v>6.67</v>
      </c>
      <c r="BL78" s="188">
        <f t="shared" si="40"/>
        <v>1.4E-3</v>
      </c>
      <c r="BM78" s="188">
        <f t="shared" si="41"/>
        <v>6.23</v>
      </c>
      <c r="BN78" s="188">
        <f t="shared" si="42"/>
        <v>0.45</v>
      </c>
      <c r="BO78" s="188">
        <f t="shared" si="43"/>
        <v>12.21</v>
      </c>
      <c r="BP78" s="188">
        <f t="shared" si="44"/>
        <v>0.63</v>
      </c>
      <c r="BQ78" s="253" t="str">
        <f>INDEX(pMenus!$D$10:$D$23,MATCH(BJ78,pMenus!$B$10:$B$23,0))</f>
        <v>Rural Connectors</v>
      </c>
      <c r="BR78" s="226">
        <f t="shared" si="25"/>
        <v>141.36178519740162</v>
      </c>
      <c r="BS78" s="238">
        <f t="shared" si="26"/>
        <v>258.77472222792716</v>
      </c>
    </row>
    <row r="79" spans="1:71">
      <c r="A79" s="202"/>
      <c r="B79" s="210" t="str">
        <f t="shared" si="27"/>
        <v>Activity Streets Local LTA Roads Hawke's Bay Region</v>
      </c>
      <c r="C79" s="193">
        <f t="shared" si="21"/>
        <v>62.33</v>
      </c>
      <c r="D79" s="193">
        <f t="shared" si="22"/>
        <v>61.959999999999994</v>
      </c>
      <c r="E79" s="194">
        <f t="shared" si="2"/>
        <v>2723.4626128274381</v>
      </c>
      <c r="F79" s="202"/>
      <c r="AA79" s="185" t="s">
        <v>412</v>
      </c>
      <c r="AB79" s="185" t="s">
        <v>423</v>
      </c>
      <c r="AC79" s="185" t="s">
        <v>401</v>
      </c>
      <c r="AD79" s="185" t="s">
        <v>331</v>
      </c>
      <c r="AE79" s="185" t="s">
        <v>407</v>
      </c>
      <c r="AF79" s="185" t="s">
        <v>408</v>
      </c>
      <c r="AG79" s="185">
        <v>33.86</v>
      </c>
      <c r="AH79" s="185">
        <v>7.3000000000000001E-3</v>
      </c>
      <c r="AI79" s="185">
        <v>33.86</v>
      </c>
      <c r="AJ79" s="185">
        <v>0</v>
      </c>
      <c r="AK79" s="185">
        <v>66.14</v>
      </c>
      <c r="AL79" s="185">
        <v>68.41</v>
      </c>
      <c r="AM79" s="186">
        <v>104</v>
      </c>
      <c r="AN79" s="186" t="str">
        <f t="shared" si="3"/>
        <v>Hawke's Bay RegionActivity Streets</v>
      </c>
      <c r="AO79" s="186">
        <f t="shared" si="28"/>
        <v>37</v>
      </c>
      <c r="AP79" s="187" t="s">
        <v>1105</v>
      </c>
      <c r="AQ79" s="187" t="str">
        <f t="shared" si="29"/>
        <v>Hawke's Bay Region</v>
      </c>
      <c r="AR79" s="187" t="str">
        <f t="shared" si="30"/>
        <v>Combined</v>
      </c>
      <c r="AS79" s="187" t="str">
        <f t="shared" si="31"/>
        <v>2019/20</v>
      </c>
      <c r="AT79" s="187" t="str">
        <f t="shared" si="32"/>
        <v>URBAN</v>
      </c>
      <c r="AU79" s="187" t="str">
        <f t="shared" si="33"/>
        <v>Activity Streets</v>
      </c>
      <c r="AV79" s="187" cm="1">
        <f t="array" ref="AV79">IF($AO79=999,0,INDEX(AG$198:AG$313,$AO79))</f>
        <v>1.87</v>
      </c>
      <c r="AW79" s="187" cm="1">
        <f t="array" ref="AW79">IF($AO79=999,0,INDEX(AH$198:AH$313,$AO79))</f>
        <v>3.5999999999999999E-3</v>
      </c>
      <c r="AX79" s="187" cm="1">
        <f t="array" ref="AX79">IF($AO79=999,0,INDEX(AI$198:AI$313,$AO79))</f>
        <v>1.87</v>
      </c>
      <c r="AY79" s="187" cm="1">
        <f t="array" ref="AY79">IF($AO79=999,0,INDEX(AJ$198:AJ$313,$AO79))</f>
        <v>0</v>
      </c>
      <c r="AZ79" s="187" cm="1">
        <f t="array" ref="AZ79">IF($AO79=999,0,INDEX(AK$198:AK$313,$AO79))</f>
        <v>3.81</v>
      </c>
      <c r="BA79" s="187" cm="1">
        <f t="array" ref="BA79">IF($AO79=999,0,INDEX(AL$198:AL$313,$AO79))</f>
        <v>6.45</v>
      </c>
      <c r="BB79" s="252" t="str">
        <f>INDEX(pMenus!$C$10:$C$23,MATCH(AU79,pMenus!$B$10:$B$23,0))</f>
        <v>Urban Connectors</v>
      </c>
      <c r="BC79" s="221">
        <f t="shared" si="23"/>
        <v>4638.1188652788269</v>
      </c>
      <c r="BD79" s="237">
        <f t="shared" si="24"/>
        <v>9449.857153322102</v>
      </c>
      <c r="BE79" s="188" t="s">
        <v>591</v>
      </c>
      <c r="BF79" s="188" t="str">
        <f t="shared" si="34"/>
        <v>Hawke's Bay Region</v>
      </c>
      <c r="BG79" s="188" t="str">
        <f t="shared" si="35"/>
        <v>Combined</v>
      </c>
      <c r="BH79" s="188" t="str">
        <f t="shared" si="36"/>
        <v>2019/20</v>
      </c>
      <c r="BI79" s="188" t="str">
        <f t="shared" si="37"/>
        <v>URBAN</v>
      </c>
      <c r="BJ79" s="188" t="str">
        <f t="shared" si="38"/>
        <v>Activity Streets</v>
      </c>
      <c r="BK79" s="188">
        <f t="shared" si="39"/>
        <v>31.99</v>
      </c>
      <c r="BL79" s="188">
        <f t="shared" si="40"/>
        <v>3.7000000000000002E-3</v>
      </c>
      <c r="BM79" s="188">
        <f t="shared" si="41"/>
        <v>31.99</v>
      </c>
      <c r="BN79" s="188">
        <f t="shared" si="42"/>
        <v>0</v>
      </c>
      <c r="BO79" s="188">
        <f t="shared" si="43"/>
        <v>62.33</v>
      </c>
      <c r="BP79" s="188">
        <f t="shared" si="44"/>
        <v>61.959999999999994</v>
      </c>
      <c r="BQ79" s="253" t="str">
        <f>INDEX(pMenus!$D$10:$D$23,MATCH(BJ79,pMenus!$B$10:$B$23,0))</f>
        <v>Activity Streets</v>
      </c>
      <c r="BR79" s="226">
        <f t="shared" si="25"/>
        <v>2723.4626128274381</v>
      </c>
      <c r="BS79" s="238">
        <f t="shared" si="26"/>
        <v>5306.4527870438969</v>
      </c>
    </row>
    <row r="80" spans="1:71">
      <c r="A80" s="202"/>
      <c r="B80" s="210" t="str">
        <f t="shared" ref="B80:B111" si="45">CONCATENATE(BQ80,$E$14, BE80,$E$14, BF80)</f>
        <v>Rural Connectors Local LTA Roads Hawke's Bay Region</v>
      </c>
      <c r="C80" s="193">
        <f t="shared" si="21"/>
        <v>1.6</v>
      </c>
      <c r="D80" s="193">
        <f t="shared" si="22"/>
        <v>1.21</v>
      </c>
      <c r="E80" s="194">
        <f t="shared" ref="E80:E135" si="46">IFERROR($E$12*(D80/C80)/$E$13,0)</f>
        <v>2071.9178082191779</v>
      </c>
      <c r="F80" s="202"/>
      <c r="AA80" s="185" t="s">
        <v>412</v>
      </c>
      <c r="AB80" s="185" t="s">
        <v>423</v>
      </c>
      <c r="AC80" s="185" t="s">
        <v>401</v>
      </c>
      <c r="AD80" s="185" t="s">
        <v>331</v>
      </c>
      <c r="AE80" s="185" t="s">
        <v>407</v>
      </c>
      <c r="AF80" s="185" t="s">
        <v>417</v>
      </c>
      <c r="AG80" s="185">
        <v>0.8</v>
      </c>
      <c r="AH80" s="185">
        <v>2.0000000000000001E-4</v>
      </c>
      <c r="AI80" s="185">
        <v>0.8</v>
      </c>
      <c r="AJ80" s="185">
        <v>0</v>
      </c>
      <c r="AK80" s="185">
        <v>1.6</v>
      </c>
      <c r="AL80" s="185">
        <v>1.21</v>
      </c>
      <c r="AM80" s="186">
        <v>105</v>
      </c>
      <c r="AN80" s="186" t="str">
        <f t="shared" ref="AN80:AN143" si="47">AB80&amp;AF80</f>
        <v>Hawke's Bay RegionCivic Spaces</v>
      </c>
      <c r="AO80" s="186">
        <f t="shared" ref="AO80:AO111" si="48">IFERROR(MATCH($AN80,$AN$198:$AN$313,0),999)</f>
        <v>999</v>
      </c>
      <c r="AP80" s="187" t="s">
        <v>1105</v>
      </c>
      <c r="AQ80" s="187" t="str">
        <f t="shared" ref="AQ80:AQ111" si="49">AB80</f>
        <v>Hawke's Bay Region</v>
      </c>
      <c r="AR80" s="187" t="str">
        <f t="shared" ref="AR80:AR111" si="50">AC80</f>
        <v>Combined</v>
      </c>
      <c r="AS80" s="187" t="str">
        <f t="shared" ref="AS80:AS111" si="51">AD80</f>
        <v>2019/20</v>
      </c>
      <c r="AT80" s="187" t="str">
        <f t="shared" ref="AT80:AT111" si="52">AE80</f>
        <v>URBAN</v>
      </c>
      <c r="AU80" s="187" t="str">
        <f t="shared" ref="AU80:AU111" si="53">AF80</f>
        <v>Civic Spaces</v>
      </c>
      <c r="AV80" s="187" cm="1">
        <f t="array" ref="AV80">IF($AO80=999,0,INDEX(AG$198:AG$313,$AO80))</f>
        <v>0</v>
      </c>
      <c r="AW80" s="187" cm="1">
        <f t="array" ref="AW80">IF($AO80=999,0,INDEX(AH$198:AH$313,$AO80))</f>
        <v>0</v>
      </c>
      <c r="AX80" s="187" cm="1">
        <f t="array" ref="AX80">IF($AO80=999,0,INDEX(AI$198:AI$313,$AO80))</f>
        <v>0</v>
      </c>
      <c r="AY80" s="187" cm="1">
        <f t="array" ref="AY80">IF($AO80=999,0,INDEX(AJ$198:AJ$313,$AO80))</f>
        <v>0</v>
      </c>
      <c r="AZ80" s="187" cm="1">
        <f t="array" ref="AZ80">IF($AO80=999,0,INDEX(AK$198:AK$313,$AO80))</f>
        <v>0</v>
      </c>
      <c r="BA80" s="187" cm="1">
        <f t="array" ref="BA80">IF($AO80=999,0,INDEX(AL$198:AL$313,$AO80))</f>
        <v>0</v>
      </c>
      <c r="BB80" s="252" t="str">
        <f>INDEX(pMenus!$C$10:$C$23,MATCH(AU80,pMenus!$B$10:$B$23,0))</f>
        <v>NA</v>
      </c>
      <c r="BC80" s="221">
        <f t="shared" si="23"/>
        <v>0</v>
      </c>
      <c r="BD80" s="237">
        <f t="shared" si="24"/>
        <v>0</v>
      </c>
      <c r="BE80" s="188" t="s">
        <v>591</v>
      </c>
      <c r="BF80" s="188" t="str">
        <f t="shared" ref="BF80:BF111" si="54">AB80</f>
        <v>Hawke's Bay Region</v>
      </c>
      <c r="BG80" s="188" t="str">
        <f t="shared" ref="BG80:BG111" si="55">AC80</f>
        <v>Combined</v>
      </c>
      <c r="BH80" s="188" t="str">
        <f t="shared" ref="BH80:BH111" si="56">AD80</f>
        <v>2019/20</v>
      </c>
      <c r="BI80" s="188" t="str">
        <f t="shared" ref="BI80:BI111" si="57">AE80</f>
        <v>URBAN</v>
      </c>
      <c r="BJ80" s="188" t="str">
        <f t="shared" ref="BJ80:BJ111" si="58">AF80</f>
        <v>Civic Spaces</v>
      </c>
      <c r="BK80" s="188">
        <f t="shared" ref="BK80:BK111" si="59">AG80-AV80</f>
        <v>0.8</v>
      </c>
      <c r="BL80" s="188">
        <f t="shared" ref="BL80:BL111" si="60">AH80-AW80</f>
        <v>2.0000000000000001E-4</v>
      </c>
      <c r="BM80" s="188">
        <f t="shared" ref="BM80:BM111" si="61">AI80-AX80</f>
        <v>0.8</v>
      </c>
      <c r="BN80" s="188">
        <f t="shared" ref="BN80:BN111" si="62">AJ80-AY80</f>
        <v>0</v>
      </c>
      <c r="BO80" s="188">
        <f t="shared" ref="BO80:BO111" si="63">AK80-AZ80</f>
        <v>1.6</v>
      </c>
      <c r="BP80" s="188">
        <f t="shared" ref="BP80:BP111" si="64">AL80-BA80</f>
        <v>1.21</v>
      </c>
      <c r="BQ80" s="253" t="str">
        <f>INDEX(pMenus!$D$10:$D$23,MATCH(BJ80,pMenus!$B$10:$B$23,0))</f>
        <v>Rural Connectors</v>
      </c>
      <c r="BR80" s="226">
        <f t="shared" si="25"/>
        <v>2071.9178082191779</v>
      </c>
      <c r="BS80" s="238">
        <f t="shared" si="26"/>
        <v>4143.8356164383558</v>
      </c>
    </row>
    <row r="81" spans="1:71">
      <c r="A81" s="202"/>
      <c r="B81" s="210" t="str">
        <f t="shared" si="45"/>
        <v>Rural Connectors Local LTA Roads Hawke's Bay Region</v>
      </c>
      <c r="C81" s="193">
        <f t="shared" ref="C81:C95" si="65">BO81</f>
        <v>1009.57</v>
      </c>
      <c r="D81" s="193">
        <f t="shared" ref="D81:D95" si="66">BP81</f>
        <v>139.61000000000001</v>
      </c>
      <c r="E81" s="194">
        <f t="shared" si="46"/>
        <v>378.86738976488164</v>
      </c>
      <c r="F81" s="202"/>
      <c r="AA81" s="185" t="s">
        <v>412</v>
      </c>
      <c r="AB81" s="185" t="s">
        <v>423</v>
      </c>
      <c r="AC81" s="185" t="s">
        <v>401</v>
      </c>
      <c r="AD81" s="185" t="s">
        <v>331</v>
      </c>
      <c r="AE81" s="185" t="s">
        <v>407</v>
      </c>
      <c r="AF81" s="185" t="s">
        <v>418</v>
      </c>
      <c r="AG81" s="185">
        <v>510.7</v>
      </c>
      <c r="AH81" s="185">
        <v>0.1095</v>
      </c>
      <c r="AI81" s="185">
        <v>508.47</v>
      </c>
      <c r="AJ81" s="185">
        <v>2.2400000000000002</v>
      </c>
      <c r="AK81" s="185">
        <v>1009.57</v>
      </c>
      <c r="AL81" s="185">
        <v>139.61000000000001</v>
      </c>
      <c r="AM81" s="186">
        <v>106</v>
      </c>
      <c r="AN81" s="186" t="str">
        <f t="shared" si="47"/>
        <v>Hawke's Bay RegionLocal Streets</v>
      </c>
      <c r="AO81" s="186">
        <f t="shared" si="48"/>
        <v>999</v>
      </c>
      <c r="AP81" s="187" t="s">
        <v>1105</v>
      </c>
      <c r="AQ81" s="187" t="str">
        <f t="shared" si="49"/>
        <v>Hawke's Bay Region</v>
      </c>
      <c r="AR81" s="187" t="str">
        <f t="shared" si="50"/>
        <v>Combined</v>
      </c>
      <c r="AS81" s="187" t="str">
        <f t="shared" si="51"/>
        <v>2019/20</v>
      </c>
      <c r="AT81" s="187" t="str">
        <f t="shared" si="52"/>
        <v>URBAN</v>
      </c>
      <c r="AU81" s="187" t="str">
        <f t="shared" si="53"/>
        <v>Local Streets</v>
      </c>
      <c r="AV81" s="187" cm="1">
        <f t="array" ref="AV81">IF($AO81=999,0,INDEX(AG$198:AG$313,$AO81))</f>
        <v>0</v>
      </c>
      <c r="AW81" s="187" cm="1">
        <f t="array" ref="AW81">IF($AO81=999,0,INDEX(AH$198:AH$313,$AO81))</f>
        <v>0</v>
      </c>
      <c r="AX81" s="187" cm="1">
        <f t="array" ref="AX81">IF($AO81=999,0,INDEX(AI$198:AI$313,$AO81))</f>
        <v>0</v>
      </c>
      <c r="AY81" s="187" cm="1">
        <f t="array" ref="AY81">IF($AO81=999,0,INDEX(AJ$198:AJ$313,$AO81))</f>
        <v>0</v>
      </c>
      <c r="AZ81" s="187" cm="1">
        <f t="array" ref="AZ81">IF($AO81=999,0,INDEX(AK$198:AK$313,$AO81))</f>
        <v>0</v>
      </c>
      <c r="BA81" s="187" cm="1">
        <f t="array" ref="BA81">IF($AO81=999,0,INDEX(AL$198:AL$313,$AO81))</f>
        <v>0</v>
      </c>
      <c r="BB81" s="252" t="str">
        <f>INDEX(pMenus!$C$10:$C$23,MATCH(AU81,pMenus!$B$10:$B$23,0))</f>
        <v>NA</v>
      </c>
      <c r="BC81" s="221">
        <f t="shared" ref="BC81:BC136" si="67">IFERROR($E$12*(BA81/AZ81)/$E$13,0)</f>
        <v>0</v>
      </c>
      <c r="BD81" s="237">
        <f t="shared" ref="BD81:BD136" si="68">IFERROR($E$12*(BA81/AV81)/$E$13,0)</f>
        <v>0</v>
      </c>
      <c r="BE81" s="188" t="s">
        <v>591</v>
      </c>
      <c r="BF81" s="188" t="str">
        <f t="shared" si="54"/>
        <v>Hawke's Bay Region</v>
      </c>
      <c r="BG81" s="188" t="str">
        <f t="shared" si="55"/>
        <v>Combined</v>
      </c>
      <c r="BH81" s="188" t="str">
        <f t="shared" si="56"/>
        <v>2019/20</v>
      </c>
      <c r="BI81" s="188" t="str">
        <f t="shared" si="57"/>
        <v>URBAN</v>
      </c>
      <c r="BJ81" s="188" t="str">
        <f t="shared" si="58"/>
        <v>Local Streets</v>
      </c>
      <c r="BK81" s="188">
        <f t="shared" si="59"/>
        <v>510.7</v>
      </c>
      <c r="BL81" s="188">
        <f t="shared" si="60"/>
        <v>0.1095</v>
      </c>
      <c r="BM81" s="188">
        <f t="shared" si="61"/>
        <v>508.47</v>
      </c>
      <c r="BN81" s="188">
        <f t="shared" si="62"/>
        <v>2.2400000000000002</v>
      </c>
      <c r="BO81" s="188">
        <f t="shared" si="63"/>
        <v>1009.57</v>
      </c>
      <c r="BP81" s="188">
        <f t="shared" si="64"/>
        <v>139.61000000000001</v>
      </c>
      <c r="BQ81" s="253" t="str">
        <f>INDEX(pMenus!$D$10:$D$23,MATCH(BJ81,pMenus!$B$10:$B$23,0))</f>
        <v>Rural Connectors</v>
      </c>
      <c r="BR81" s="226">
        <f t="shared" ref="BR81:BR136" si="69">IFERROR($E$12*(BP81/BO81)/$E$13,0)</f>
        <v>378.86738976488164</v>
      </c>
      <c r="BS81" s="238">
        <f t="shared" ref="BS81:BS136" si="70">IFERROR($E$12*(BP81/BK81)/$E$13,0)</f>
        <v>748.95858759532314</v>
      </c>
    </row>
    <row r="82" spans="1:71">
      <c r="A82" s="202"/>
      <c r="B82" s="210" t="str">
        <f t="shared" si="45"/>
        <v>Urban Connectors Local LTA Roads Hawke's Bay Region</v>
      </c>
      <c r="C82" s="193">
        <f t="shared" si="65"/>
        <v>5.1099999999999994</v>
      </c>
      <c r="D82" s="193">
        <f t="shared" si="66"/>
        <v>5.59</v>
      </c>
      <c r="E82" s="194">
        <f t="shared" si="46"/>
        <v>2997.0779830040478</v>
      </c>
      <c r="F82" s="202"/>
      <c r="AA82" s="185" t="s">
        <v>412</v>
      </c>
      <c r="AB82" s="185" t="s">
        <v>423</v>
      </c>
      <c r="AC82" s="185" t="s">
        <v>401</v>
      </c>
      <c r="AD82" s="185" t="s">
        <v>331</v>
      </c>
      <c r="AE82" s="185" t="s">
        <v>407</v>
      </c>
      <c r="AF82" s="185" t="s">
        <v>409</v>
      </c>
      <c r="AG82" s="185">
        <v>3.1</v>
      </c>
      <c r="AH82" s="185">
        <v>6.9999999999999999E-4</v>
      </c>
      <c r="AI82" s="185">
        <v>3.1</v>
      </c>
      <c r="AJ82" s="185">
        <v>0</v>
      </c>
      <c r="AK82" s="185">
        <v>6.01</v>
      </c>
      <c r="AL82" s="185">
        <v>7.36</v>
      </c>
      <c r="AM82" s="186">
        <v>107</v>
      </c>
      <c r="AN82" s="186" t="str">
        <f t="shared" si="47"/>
        <v>Hawke's Bay RegionMain Streets</v>
      </c>
      <c r="AO82" s="186">
        <f t="shared" si="48"/>
        <v>38</v>
      </c>
      <c r="AP82" s="187" t="s">
        <v>1105</v>
      </c>
      <c r="AQ82" s="187" t="str">
        <f t="shared" si="49"/>
        <v>Hawke's Bay Region</v>
      </c>
      <c r="AR82" s="187" t="str">
        <f t="shared" si="50"/>
        <v>Combined</v>
      </c>
      <c r="AS82" s="187" t="str">
        <f t="shared" si="51"/>
        <v>2019/20</v>
      </c>
      <c r="AT82" s="187" t="str">
        <f t="shared" si="52"/>
        <v>URBAN</v>
      </c>
      <c r="AU82" s="187" t="str">
        <f t="shared" si="53"/>
        <v>Main Streets</v>
      </c>
      <c r="AV82" s="187" cm="1">
        <f t="array" ref="AV82">IF($AO82=999,0,INDEX(AG$198:AG$313,$AO82))</f>
        <v>0.45</v>
      </c>
      <c r="AW82" s="187" cm="1">
        <f t="array" ref="AW82">IF($AO82=999,0,INDEX(AH$198:AH$313,$AO82))</f>
        <v>8.9999999999999998E-4</v>
      </c>
      <c r="AX82" s="187" cm="1">
        <f t="array" ref="AX82">IF($AO82=999,0,INDEX(AI$198:AI$313,$AO82))</f>
        <v>0.45</v>
      </c>
      <c r="AY82" s="187" cm="1">
        <f t="array" ref="AY82">IF($AO82=999,0,INDEX(AJ$198:AJ$313,$AO82))</f>
        <v>0</v>
      </c>
      <c r="AZ82" s="187" cm="1">
        <f t="array" ref="AZ82">IF($AO82=999,0,INDEX(AK$198:AK$313,$AO82))</f>
        <v>0.9</v>
      </c>
      <c r="BA82" s="187" cm="1">
        <f t="array" ref="BA82">IF($AO82=999,0,INDEX(AL$198:AL$313,$AO82))</f>
        <v>1.77</v>
      </c>
      <c r="BB82" s="252" t="str">
        <f>INDEX(pMenus!$C$10:$C$23,MATCH(AU82,pMenus!$B$10:$B$23,0))</f>
        <v>Urban Connectors</v>
      </c>
      <c r="BC82" s="221">
        <f t="shared" si="67"/>
        <v>5388.1278538812785</v>
      </c>
      <c r="BD82" s="237">
        <f t="shared" si="68"/>
        <v>10776.255707762557</v>
      </c>
      <c r="BE82" s="188" t="s">
        <v>591</v>
      </c>
      <c r="BF82" s="188" t="str">
        <f t="shared" si="54"/>
        <v>Hawke's Bay Region</v>
      </c>
      <c r="BG82" s="188" t="str">
        <f t="shared" si="55"/>
        <v>Combined</v>
      </c>
      <c r="BH82" s="188" t="str">
        <f t="shared" si="56"/>
        <v>2019/20</v>
      </c>
      <c r="BI82" s="188" t="str">
        <f t="shared" si="57"/>
        <v>URBAN</v>
      </c>
      <c r="BJ82" s="188" t="str">
        <f t="shared" si="58"/>
        <v>Main Streets</v>
      </c>
      <c r="BK82" s="188">
        <f t="shared" si="59"/>
        <v>2.65</v>
      </c>
      <c r="BL82" s="188">
        <f t="shared" si="60"/>
        <v>-1.9999999999999998E-4</v>
      </c>
      <c r="BM82" s="188">
        <f t="shared" si="61"/>
        <v>2.65</v>
      </c>
      <c r="BN82" s="188">
        <f t="shared" si="62"/>
        <v>0</v>
      </c>
      <c r="BO82" s="188">
        <f t="shared" si="63"/>
        <v>5.1099999999999994</v>
      </c>
      <c r="BP82" s="188">
        <f t="shared" si="64"/>
        <v>5.59</v>
      </c>
      <c r="BQ82" s="253" t="str">
        <f>INDEX(pMenus!$D$10:$D$23,MATCH(BJ82,pMenus!$B$10:$B$23,0))</f>
        <v>Urban Connectors</v>
      </c>
      <c r="BR82" s="226">
        <f t="shared" si="69"/>
        <v>2997.0779830040478</v>
      </c>
      <c r="BS82" s="238">
        <f t="shared" si="70"/>
        <v>5779.2711294908258</v>
      </c>
    </row>
    <row r="83" spans="1:71">
      <c r="A83" s="202"/>
      <c r="B83" s="210" t="str">
        <f t="shared" si="45"/>
        <v>Urban Connectors Local LTA Roads Hawke's Bay Region</v>
      </c>
      <c r="C83" s="193">
        <f t="shared" si="65"/>
        <v>3.74</v>
      </c>
      <c r="D83" s="193">
        <f t="shared" si="66"/>
        <v>6.0299999999999976</v>
      </c>
      <c r="E83" s="194">
        <f t="shared" si="46"/>
        <v>4417.2588088784687</v>
      </c>
      <c r="F83" s="202"/>
      <c r="AA83" s="185" t="s">
        <v>412</v>
      </c>
      <c r="AB83" s="185" t="s">
        <v>423</v>
      </c>
      <c r="AC83" s="185" t="s">
        <v>401</v>
      </c>
      <c r="AD83" s="185" t="s">
        <v>331</v>
      </c>
      <c r="AE83" s="185" t="s">
        <v>407</v>
      </c>
      <c r="AF83" s="185" t="s">
        <v>410</v>
      </c>
      <c r="AG83" s="185">
        <v>6.24</v>
      </c>
      <c r="AH83" s="185">
        <v>1.2999999999999999E-3</v>
      </c>
      <c r="AI83" s="185">
        <v>6.24</v>
      </c>
      <c r="AJ83" s="185">
        <v>0</v>
      </c>
      <c r="AK83" s="185">
        <v>12.4</v>
      </c>
      <c r="AL83" s="185">
        <v>22.04</v>
      </c>
      <c r="AM83" s="186">
        <v>108</v>
      </c>
      <c r="AN83" s="186" t="str">
        <f t="shared" si="47"/>
        <v>Hawke's Bay RegionTransit Corridors</v>
      </c>
      <c r="AO83" s="186">
        <f t="shared" si="48"/>
        <v>39</v>
      </c>
      <c r="AP83" s="187" t="s">
        <v>1105</v>
      </c>
      <c r="AQ83" s="187" t="str">
        <f t="shared" si="49"/>
        <v>Hawke's Bay Region</v>
      </c>
      <c r="AR83" s="187" t="str">
        <f t="shared" si="50"/>
        <v>Combined</v>
      </c>
      <c r="AS83" s="187" t="str">
        <f t="shared" si="51"/>
        <v>2019/20</v>
      </c>
      <c r="AT83" s="187" t="str">
        <f t="shared" si="52"/>
        <v>URBAN</v>
      </c>
      <c r="AU83" s="187" t="str">
        <f t="shared" si="53"/>
        <v>Transit Corridors</v>
      </c>
      <c r="AV83" s="187" cm="1">
        <f t="array" ref="AV83">IF($AO83=999,0,INDEX(AG$198:AG$313,$AO83))</f>
        <v>4.37</v>
      </c>
      <c r="AW83" s="187" cm="1">
        <f t="array" ref="AW83">IF($AO83=999,0,INDEX(AH$198:AH$313,$AO83))</f>
        <v>8.5000000000000006E-3</v>
      </c>
      <c r="AX83" s="187" cm="1">
        <f t="array" ref="AX83">IF($AO83=999,0,INDEX(AI$198:AI$313,$AO83))</f>
        <v>4.37</v>
      </c>
      <c r="AY83" s="187" cm="1">
        <f t="array" ref="AY83">IF($AO83=999,0,INDEX(AJ$198:AJ$313,$AO83))</f>
        <v>0</v>
      </c>
      <c r="AZ83" s="187" cm="1">
        <f t="array" ref="AZ83">IF($AO83=999,0,INDEX(AK$198:AK$313,$AO83))</f>
        <v>8.66</v>
      </c>
      <c r="BA83" s="187" cm="1">
        <f t="array" ref="BA83">IF($AO83=999,0,INDEX(AL$198:AL$313,$AO83))</f>
        <v>16.010000000000002</v>
      </c>
      <c r="BB83" s="252" t="str">
        <f>INDEX(pMenus!$C$10:$C$23,MATCH(AU83,pMenus!$B$10:$B$23,0))</f>
        <v>Transit Corridors</v>
      </c>
      <c r="BC83" s="221">
        <f t="shared" si="67"/>
        <v>5065.0131291720718</v>
      </c>
      <c r="BD83" s="237">
        <f t="shared" si="68"/>
        <v>10037.302905865021</v>
      </c>
      <c r="BE83" s="188" t="s">
        <v>591</v>
      </c>
      <c r="BF83" s="188" t="str">
        <f t="shared" si="54"/>
        <v>Hawke's Bay Region</v>
      </c>
      <c r="BG83" s="188" t="str">
        <f t="shared" si="55"/>
        <v>Combined</v>
      </c>
      <c r="BH83" s="188" t="str">
        <f t="shared" si="56"/>
        <v>2019/20</v>
      </c>
      <c r="BI83" s="188" t="str">
        <f t="shared" si="57"/>
        <v>URBAN</v>
      </c>
      <c r="BJ83" s="188" t="str">
        <f t="shared" si="58"/>
        <v>Transit Corridors</v>
      </c>
      <c r="BK83" s="188">
        <f t="shared" si="59"/>
        <v>1.87</v>
      </c>
      <c r="BL83" s="188">
        <f t="shared" si="60"/>
        <v>-7.2000000000000007E-3</v>
      </c>
      <c r="BM83" s="188">
        <f t="shared" si="61"/>
        <v>1.87</v>
      </c>
      <c r="BN83" s="188">
        <f t="shared" si="62"/>
        <v>0</v>
      </c>
      <c r="BO83" s="188">
        <f t="shared" si="63"/>
        <v>3.74</v>
      </c>
      <c r="BP83" s="188">
        <f t="shared" si="64"/>
        <v>6.0299999999999976</v>
      </c>
      <c r="BQ83" s="253" t="str">
        <f>INDEX(pMenus!$D$10:$D$23,MATCH(BJ83,pMenus!$B$10:$B$23,0))</f>
        <v>Urban Connectors</v>
      </c>
      <c r="BR83" s="226">
        <f t="shared" si="69"/>
        <v>4417.2588088784687</v>
      </c>
      <c r="BS83" s="238">
        <f t="shared" si="70"/>
        <v>8834.5176177569374</v>
      </c>
    </row>
    <row r="84" spans="1:71">
      <c r="A84" s="202"/>
      <c r="B84" s="210" t="str">
        <f t="shared" si="45"/>
        <v>Urban Connectors Local LTA Roads Hawke's Bay Region</v>
      </c>
      <c r="C84" s="193">
        <f t="shared" si="65"/>
        <v>252.31999999999996</v>
      </c>
      <c r="D84" s="193">
        <f t="shared" si="66"/>
        <v>302.20999999999998</v>
      </c>
      <c r="E84" s="194">
        <f t="shared" si="46"/>
        <v>3281.4386601923197</v>
      </c>
      <c r="F84" s="202"/>
      <c r="AA84" s="185" t="s">
        <v>412</v>
      </c>
      <c r="AB84" s="185" t="s">
        <v>423</v>
      </c>
      <c r="AC84" s="185" t="s">
        <v>401</v>
      </c>
      <c r="AD84" s="185" t="s">
        <v>331</v>
      </c>
      <c r="AE84" s="185" t="s">
        <v>407</v>
      </c>
      <c r="AF84" s="185" t="s">
        <v>411</v>
      </c>
      <c r="AG84" s="185">
        <v>154.16999999999999</v>
      </c>
      <c r="AH84" s="185">
        <v>3.3099999999999997E-2</v>
      </c>
      <c r="AI84" s="185">
        <v>154.16999999999999</v>
      </c>
      <c r="AJ84" s="185">
        <v>0</v>
      </c>
      <c r="AK84" s="185">
        <v>299.58999999999997</v>
      </c>
      <c r="AL84" s="185">
        <v>367.88</v>
      </c>
      <c r="AM84" s="186">
        <v>109</v>
      </c>
      <c r="AN84" s="186" t="str">
        <f t="shared" si="47"/>
        <v>Hawke's Bay RegionUrban Connectors</v>
      </c>
      <c r="AO84" s="186">
        <f t="shared" si="48"/>
        <v>40</v>
      </c>
      <c r="AP84" s="187" t="s">
        <v>1105</v>
      </c>
      <c r="AQ84" s="187" t="str">
        <f t="shared" si="49"/>
        <v>Hawke's Bay Region</v>
      </c>
      <c r="AR84" s="187" t="str">
        <f t="shared" si="50"/>
        <v>Combined</v>
      </c>
      <c r="AS84" s="187" t="str">
        <f t="shared" si="51"/>
        <v>2019/20</v>
      </c>
      <c r="AT84" s="187" t="str">
        <f t="shared" si="52"/>
        <v>URBAN</v>
      </c>
      <c r="AU84" s="187" t="str">
        <f t="shared" si="53"/>
        <v>Urban Connectors</v>
      </c>
      <c r="AV84" s="187" cm="1">
        <f t="array" ref="AV84">IF($AO84=999,0,INDEX(AG$198:AG$313,$AO84))</f>
        <v>23.43</v>
      </c>
      <c r="AW84" s="187" cm="1">
        <f t="array" ref="AW84">IF($AO84=999,0,INDEX(AH$198:AH$313,$AO84))</f>
        <v>4.5699999999999998E-2</v>
      </c>
      <c r="AX84" s="187" cm="1">
        <f t="array" ref="AX84">IF($AO84=999,0,INDEX(AI$198:AI$313,$AO84))</f>
        <v>23.43</v>
      </c>
      <c r="AY84" s="187" cm="1">
        <f t="array" ref="AY84">IF($AO84=999,0,INDEX(AJ$198:AJ$313,$AO84))</f>
        <v>0</v>
      </c>
      <c r="AZ84" s="187" cm="1">
        <f t="array" ref="AZ84">IF($AO84=999,0,INDEX(AK$198:AK$313,$AO84))</f>
        <v>47.27</v>
      </c>
      <c r="BA84" s="187" cm="1">
        <f t="array" ref="BA84">IF($AO84=999,0,INDEX(AL$198:AL$313,$AO84))</f>
        <v>65.67</v>
      </c>
      <c r="BB84" s="252" t="str">
        <f>INDEX(pMenus!$C$10:$C$23,MATCH(AU84,pMenus!$B$10:$B$23,0))</f>
        <v>Urban Connectors</v>
      </c>
      <c r="BC84" s="221">
        <f t="shared" si="67"/>
        <v>3806.1732223223621</v>
      </c>
      <c r="BD84" s="237">
        <f t="shared" si="68"/>
        <v>7678.9504148176748</v>
      </c>
      <c r="BE84" s="188" t="s">
        <v>591</v>
      </c>
      <c r="BF84" s="188" t="str">
        <f t="shared" si="54"/>
        <v>Hawke's Bay Region</v>
      </c>
      <c r="BG84" s="188" t="str">
        <f t="shared" si="55"/>
        <v>Combined</v>
      </c>
      <c r="BH84" s="188" t="str">
        <f t="shared" si="56"/>
        <v>2019/20</v>
      </c>
      <c r="BI84" s="188" t="str">
        <f t="shared" si="57"/>
        <v>URBAN</v>
      </c>
      <c r="BJ84" s="188" t="str">
        <f t="shared" si="58"/>
        <v>Urban Connectors</v>
      </c>
      <c r="BK84" s="188">
        <f t="shared" si="59"/>
        <v>130.73999999999998</v>
      </c>
      <c r="BL84" s="188">
        <f t="shared" si="60"/>
        <v>-1.26E-2</v>
      </c>
      <c r="BM84" s="188">
        <f t="shared" si="61"/>
        <v>130.73999999999998</v>
      </c>
      <c r="BN84" s="188">
        <f t="shared" si="62"/>
        <v>0</v>
      </c>
      <c r="BO84" s="188">
        <f t="shared" si="63"/>
        <v>252.31999999999996</v>
      </c>
      <c r="BP84" s="188">
        <f t="shared" si="64"/>
        <v>302.20999999999998</v>
      </c>
      <c r="BQ84" s="253" t="str">
        <f>INDEX(pMenus!$D$10:$D$23,MATCH(BJ84,pMenus!$B$10:$B$23,0))</f>
        <v>Urban Connectors</v>
      </c>
      <c r="BR84" s="226">
        <f t="shared" si="69"/>
        <v>3281.4386601923197</v>
      </c>
      <c r="BS84" s="238">
        <f t="shared" si="70"/>
        <v>6332.9708026596763</v>
      </c>
    </row>
    <row r="85" spans="1:71">
      <c r="A85" s="202"/>
      <c r="B85" s="210" t="str">
        <f t="shared" si="45"/>
        <v>NA Local LTA Roads Manawatu/Whanganui Region</v>
      </c>
      <c r="C85" s="193">
        <f t="shared" si="65"/>
        <v>204.43</v>
      </c>
      <c r="D85" s="193">
        <f t="shared" si="66"/>
        <v>40.67</v>
      </c>
      <c r="E85" s="194">
        <f t="shared" si="46"/>
        <v>545.05042084941829</v>
      </c>
      <c r="F85" s="202"/>
      <c r="AA85" s="185" t="s">
        <v>412</v>
      </c>
      <c r="AB85" s="185" t="s">
        <v>424</v>
      </c>
      <c r="AC85" s="185" t="s">
        <v>401</v>
      </c>
      <c r="AD85" s="185" t="s">
        <v>331</v>
      </c>
      <c r="AE85" s="185"/>
      <c r="AF85" s="185" t="s">
        <v>402</v>
      </c>
      <c r="AG85" s="185">
        <v>136.22</v>
      </c>
      <c r="AH85" s="185">
        <v>1.5599999999999999E-2</v>
      </c>
      <c r="AI85" s="185">
        <v>91.4</v>
      </c>
      <c r="AJ85" s="185">
        <v>44.82</v>
      </c>
      <c r="AK85" s="185">
        <v>239.53</v>
      </c>
      <c r="AL85" s="185">
        <v>79.760000000000005</v>
      </c>
      <c r="AM85" s="186">
        <v>110</v>
      </c>
      <c r="AN85" s="186" t="str">
        <f t="shared" si="47"/>
        <v>Manawatu/Whanganui RegionUnclassified</v>
      </c>
      <c r="AO85" s="186">
        <f t="shared" si="48"/>
        <v>92</v>
      </c>
      <c r="AP85" s="187" t="s">
        <v>1105</v>
      </c>
      <c r="AQ85" s="187" t="str">
        <f t="shared" si="49"/>
        <v>Manawatu/Whanganui Region</v>
      </c>
      <c r="AR85" s="187" t="str">
        <f t="shared" si="50"/>
        <v>Combined</v>
      </c>
      <c r="AS85" s="187" t="str">
        <f t="shared" si="51"/>
        <v>2019/20</v>
      </c>
      <c r="AT85" s="187">
        <f t="shared" si="52"/>
        <v>0</v>
      </c>
      <c r="AU85" s="187" t="str">
        <f t="shared" si="53"/>
        <v>Unclassified</v>
      </c>
      <c r="AV85" s="187" cm="1">
        <f t="array" ref="AV85">IF($AO85=999,0,INDEX(AG$198:AG$313,$AO85))</f>
        <v>16.73</v>
      </c>
      <c r="AW85" s="187" cm="1">
        <f t="array" ref="AW85">IF($AO85=999,0,INDEX(AH$198:AH$313,$AO85))</f>
        <v>1.7399999999999999E-2</v>
      </c>
      <c r="AX85" s="187" cm="1">
        <f t="array" ref="AX85">IF($AO85=999,0,INDEX(AI$198:AI$313,$AO85))</f>
        <v>16.73</v>
      </c>
      <c r="AY85" s="187" cm="1">
        <f t="array" ref="AY85">IF($AO85=999,0,INDEX(AJ$198:AJ$313,$AO85))</f>
        <v>0</v>
      </c>
      <c r="AZ85" s="187" cm="1">
        <f t="array" ref="AZ85">IF($AO85=999,0,INDEX(AK$198:AK$313,$AO85))</f>
        <v>35.1</v>
      </c>
      <c r="BA85" s="187" cm="1">
        <f t="array" ref="BA85">IF($AO85=999,0,INDEX(AL$198:AL$313,$AO85))</f>
        <v>39.090000000000003</v>
      </c>
      <c r="BB85" s="252" t="str">
        <f>INDEX(pMenus!$C$10:$C$23,MATCH(AU85,pMenus!$B$10:$B$23,0))</f>
        <v>NA</v>
      </c>
      <c r="BC85" s="221">
        <f t="shared" si="67"/>
        <v>3051.1649689731885</v>
      </c>
      <c r="BD85" s="237">
        <f t="shared" si="68"/>
        <v>6401.427998264131</v>
      </c>
      <c r="BE85" s="188" t="s">
        <v>591</v>
      </c>
      <c r="BF85" s="188" t="str">
        <f t="shared" si="54"/>
        <v>Manawatu/Whanganui Region</v>
      </c>
      <c r="BG85" s="188" t="str">
        <f t="shared" si="55"/>
        <v>Combined</v>
      </c>
      <c r="BH85" s="188" t="str">
        <f t="shared" si="56"/>
        <v>2019/20</v>
      </c>
      <c r="BI85" s="188">
        <f t="shared" si="57"/>
        <v>0</v>
      </c>
      <c r="BJ85" s="188" t="str">
        <f t="shared" si="58"/>
        <v>Unclassified</v>
      </c>
      <c r="BK85" s="188">
        <f t="shared" si="59"/>
        <v>119.49</v>
      </c>
      <c r="BL85" s="188">
        <f t="shared" si="60"/>
        <v>-1.7999999999999995E-3</v>
      </c>
      <c r="BM85" s="188">
        <f t="shared" si="61"/>
        <v>74.67</v>
      </c>
      <c r="BN85" s="188">
        <f t="shared" si="62"/>
        <v>44.82</v>
      </c>
      <c r="BO85" s="188">
        <f t="shared" si="63"/>
        <v>204.43</v>
      </c>
      <c r="BP85" s="188">
        <f t="shared" si="64"/>
        <v>40.67</v>
      </c>
      <c r="BQ85" s="253" t="str">
        <f>INDEX(pMenus!$D$10:$D$23,MATCH(BJ85,pMenus!$B$10:$B$23,0))</f>
        <v>NA</v>
      </c>
      <c r="BR85" s="226">
        <f t="shared" si="69"/>
        <v>545.05042084941829</v>
      </c>
      <c r="BS85" s="238">
        <f t="shared" si="70"/>
        <v>932.50194605612671</v>
      </c>
    </row>
    <row r="86" spans="1:71" ht="25.5">
      <c r="A86" s="202"/>
      <c r="B86" s="210" t="str">
        <f t="shared" si="45"/>
        <v>Interregional Connectors Local LTA Roads Manawatu/Whanganui Region</v>
      </c>
      <c r="C86" s="193">
        <f t="shared" si="65"/>
        <v>6.1599999999999682</v>
      </c>
      <c r="D86" s="193">
        <f t="shared" si="66"/>
        <v>4.32000000000005</v>
      </c>
      <c r="E86" s="194">
        <f t="shared" si="46"/>
        <v>1921.366304927981</v>
      </c>
      <c r="F86" s="202"/>
      <c r="AA86" s="185" t="s">
        <v>412</v>
      </c>
      <c r="AB86" s="185" t="s">
        <v>424</v>
      </c>
      <c r="AC86" s="185" t="s">
        <v>401</v>
      </c>
      <c r="AD86" s="185" t="s">
        <v>331</v>
      </c>
      <c r="AE86" s="185" t="s">
        <v>403</v>
      </c>
      <c r="AF86" s="185" t="s">
        <v>404</v>
      </c>
      <c r="AG86" s="185">
        <v>435.55</v>
      </c>
      <c r="AH86" s="185">
        <v>4.9799999999999997E-2</v>
      </c>
      <c r="AI86" s="185">
        <v>435.55</v>
      </c>
      <c r="AJ86" s="185">
        <v>0</v>
      </c>
      <c r="AK86" s="185">
        <v>944.17</v>
      </c>
      <c r="AL86" s="185">
        <v>1026.94</v>
      </c>
      <c r="AM86" s="186">
        <v>111</v>
      </c>
      <c r="AN86" s="186" t="str">
        <f t="shared" si="47"/>
        <v>Manawatu/Whanganui RegionInterregional Connectors</v>
      </c>
      <c r="AO86" s="186">
        <f t="shared" si="48"/>
        <v>93</v>
      </c>
      <c r="AP86" s="187" t="s">
        <v>1105</v>
      </c>
      <c r="AQ86" s="187" t="str">
        <f t="shared" si="49"/>
        <v>Manawatu/Whanganui Region</v>
      </c>
      <c r="AR86" s="187" t="str">
        <f t="shared" si="50"/>
        <v>Combined</v>
      </c>
      <c r="AS86" s="187" t="str">
        <f t="shared" si="51"/>
        <v>2019/20</v>
      </c>
      <c r="AT86" s="187" t="str">
        <f t="shared" si="52"/>
        <v>RURAL</v>
      </c>
      <c r="AU86" s="187" t="str">
        <f t="shared" si="53"/>
        <v>Interregional Connectors</v>
      </c>
      <c r="AV86" s="187" cm="1">
        <f t="array" ref="AV86">IF($AO86=999,0,INDEX(AG$198:AG$313,$AO86))</f>
        <v>432.47</v>
      </c>
      <c r="AW86" s="187" cm="1">
        <f t="array" ref="AW86">IF($AO86=999,0,INDEX(AH$198:AH$313,$AO86))</f>
        <v>0.44890000000000002</v>
      </c>
      <c r="AX86" s="187" cm="1">
        <f t="array" ref="AX86">IF($AO86=999,0,INDEX(AI$198:AI$313,$AO86))</f>
        <v>432.47</v>
      </c>
      <c r="AY86" s="187" cm="1">
        <f t="array" ref="AY86">IF($AO86=999,0,INDEX(AJ$198:AJ$313,$AO86))</f>
        <v>0</v>
      </c>
      <c r="AZ86" s="187" cm="1">
        <f t="array" ref="AZ86">IF($AO86=999,0,INDEX(AK$198:AK$313,$AO86))</f>
        <v>938.01</v>
      </c>
      <c r="BA86" s="187" cm="1">
        <f t="array" ref="BA86">IF($AO86=999,0,INDEX(AL$198:AL$313,$AO86))</f>
        <v>1022.62</v>
      </c>
      <c r="BB86" s="252" t="str">
        <f>INDEX(pMenus!$C$10:$C$23,MATCH(AU86,pMenus!$B$10:$B$23,0))</f>
        <v>Interregional Connectors</v>
      </c>
      <c r="BC86" s="221">
        <f t="shared" si="67"/>
        <v>2986.8536904052048</v>
      </c>
      <c r="BD86" s="237">
        <f t="shared" si="68"/>
        <v>6478.3652742085842</v>
      </c>
      <c r="BE86" s="188" t="s">
        <v>591</v>
      </c>
      <c r="BF86" s="188" t="str">
        <f t="shared" si="54"/>
        <v>Manawatu/Whanganui Region</v>
      </c>
      <c r="BG86" s="188" t="str">
        <f t="shared" si="55"/>
        <v>Combined</v>
      </c>
      <c r="BH86" s="188" t="str">
        <f t="shared" si="56"/>
        <v>2019/20</v>
      </c>
      <c r="BI86" s="188" t="str">
        <f t="shared" si="57"/>
        <v>RURAL</v>
      </c>
      <c r="BJ86" s="188" t="str">
        <f t="shared" si="58"/>
        <v>Interregional Connectors</v>
      </c>
      <c r="BK86" s="188">
        <f t="shared" si="59"/>
        <v>3.0799999999999841</v>
      </c>
      <c r="BL86" s="188">
        <f t="shared" si="60"/>
        <v>-0.39910000000000001</v>
      </c>
      <c r="BM86" s="188">
        <f t="shared" si="61"/>
        <v>3.0799999999999841</v>
      </c>
      <c r="BN86" s="188">
        <f t="shared" si="62"/>
        <v>0</v>
      </c>
      <c r="BO86" s="188">
        <f t="shared" si="63"/>
        <v>6.1599999999999682</v>
      </c>
      <c r="BP86" s="188">
        <f t="shared" si="64"/>
        <v>4.32000000000005</v>
      </c>
      <c r="BQ86" s="253" t="str">
        <f>INDEX(pMenus!$D$10:$D$23,MATCH(BJ86,pMenus!$B$10:$B$23,0))</f>
        <v>Interregional Connectors</v>
      </c>
      <c r="BR86" s="226">
        <f t="shared" si="69"/>
        <v>1921.366304927981</v>
      </c>
      <c r="BS86" s="238">
        <f t="shared" si="70"/>
        <v>3842.732609855962</v>
      </c>
    </row>
    <row r="87" spans="1:71">
      <c r="A87" s="202"/>
      <c r="B87" s="210" t="str">
        <f t="shared" si="45"/>
        <v>Rural Connectors Local LTA Roads Manawatu/Whanganui Region</v>
      </c>
      <c r="C87" s="193">
        <f t="shared" si="65"/>
        <v>326.77999999999997</v>
      </c>
      <c r="D87" s="193">
        <f t="shared" si="66"/>
        <v>28.189999999999998</v>
      </c>
      <c r="E87" s="194">
        <f t="shared" si="46"/>
        <v>236.34517630310535</v>
      </c>
      <c r="F87" s="202"/>
      <c r="AA87" s="185" t="s">
        <v>412</v>
      </c>
      <c r="AB87" s="185" t="s">
        <v>424</v>
      </c>
      <c r="AC87" s="185" t="s">
        <v>401</v>
      </c>
      <c r="AD87" s="185" t="s">
        <v>331</v>
      </c>
      <c r="AE87" s="185" t="s">
        <v>403</v>
      </c>
      <c r="AF87" s="185" t="s">
        <v>405</v>
      </c>
      <c r="AG87" s="185">
        <v>186.32</v>
      </c>
      <c r="AH87" s="185">
        <v>2.1299999999999999E-2</v>
      </c>
      <c r="AI87" s="185">
        <v>170.44</v>
      </c>
      <c r="AJ87" s="185">
        <v>15.88</v>
      </c>
      <c r="AK87" s="185">
        <v>354.76</v>
      </c>
      <c r="AL87" s="185">
        <v>59.4</v>
      </c>
      <c r="AM87" s="186">
        <v>112</v>
      </c>
      <c r="AN87" s="186" t="str">
        <f t="shared" si="47"/>
        <v>Manawatu/Whanganui RegionPeri-urban Roads</v>
      </c>
      <c r="AO87" s="186">
        <f t="shared" si="48"/>
        <v>94</v>
      </c>
      <c r="AP87" s="187" t="s">
        <v>1105</v>
      </c>
      <c r="AQ87" s="187" t="str">
        <f t="shared" si="49"/>
        <v>Manawatu/Whanganui Region</v>
      </c>
      <c r="AR87" s="187" t="str">
        <f t="shared" si="50"/>
        <v>Combined</v>
      </c>
      <c r="AS87" s="187" t="str">
        <f t="shared" si="51"/>
        <v>2019/20</v>
      </c>
      <c r="AT87" s="187" t="str">
        <f t="shared" si="52"/>
        <v>RURAL</v>
      </c>
      <c r="AU87" s="187" t="str">
        <f t="shared" si="53"/>
        <v>Peri-urban Roads</v>
      </c>
      <c r="AV87" s="187" cm="1">
        <f t="array" ref="AV87">IF($AO87=999,0,INDEX(AG$198:AG$313,$AO87))</f>
        <v>13.99</v>
      </c>
      <c r="AW87" s="187" cm="1">
        <f t="array" ref="AW87">IF($AO87=999,0,INDEX(AH$198:AH$313,$AO87))</f>
        <v>1.4500000000000001E-2</v>
      </c>
      <c r="AX87" s="187" cm="1">
        <f t="array" ref="AX87">IF($AO87=999,0,INDEX(AI$198:AI$313,$AO87))</f>
        <v>13.99</v>
      </c>
      <c r="AY87" s="187" cm="1">
        <f t="array" ref="AY87">IF($AO87=999,0,INDEX(AJ$198:AJ$313,$AO87))</f>
        <v>0</v>
      </c>
      <c r="AZ87" s="187" cm="1">
        <f t="array" ref="AZ87">IF($AO87=999,0,INDEX(AK$198:AK$313,$AO87))</f>
        <v>27.98</v>
      </c>
      <c r="BA87" s="187" cm="1">
        <f t="array" ref="BA87">IF($AO87=999,0,INDEX(AL$198:AL$313,$AO87))</f>
        <v>31.21</v>
      </c>
      <c r="BB87" s="252" t="str">
        <f>INDEX(pMenus!$C$10:$C$23,MATCH(AU87,pMenus!$B$10:$B$23,0))</f>
        <v>Interregional Connectors</v>
      </c>
      <c r="BC87" s="221">
        <f t="shared" si="67"/>
        <v>3055.9989033262509</v>
      </c>
      <c r="BD87" s="237">
        <f t="shared" si="68"/>
        <v>6111.9978066525018</v>
      </c>
      <c r="BE87" s="188" t="s">
        <v>591</v>
      </c>
      <c r="BF87" s="188" t="str">
        <f t="shared" si="54"/>
        <v>Manawatu/Whanganui Region</v>
      </c>
      <c r="BG87" s="188" t="str">
        <f t="shared" si="55"/>
        <v>Combined</v>
      </c>
      <c r="BH87" s="188" t="str">
        <f t="shared" si="56"/>
        <v>2019/20</v>
      </c>
      <c r="BI87" s="188" t="str">
        <f t="shared" si="57"/>
        <v>RURAL</v>
      </c>
      <c r="BJ87" s="188" t="str">
        <f t="shared" si="58"/>
        <v>Peri-urban Roads</v>
      </c>
      <c r="BK87" s="188">
        <f t="shared" si="59"/>
        <v>172.32999999999998</v>
      </c>
      <c r="BL87" s="188">
        <f t="shared" si="60"/>
        <v>6.7999999999999988E-3</v>
      </c>
      <c r="BM87" s="188">
        <f t="shared" si="61"/>
        <v>156.44999999999999</v>
      </c>
      <c r="BN87" s="188">
        <f t="shared" si="62"/>
        <v>15.88</v>
      </c>
      <c r="BO87" s="188">
        <f t="shared" si="63"/>
        <v>326.77999999999997</v>
      </c>
      <c r="BP87" s="188">
        <f t="shared" si="64"/>
        <v>28.189999999999998</v>
      </c>
      <c r="BQ87" s="253" t="str">
        <f>INDEX(pMenus!$D$10:$D$23,MATCH(BJ87,pMenus!$B$10:$B$23,0))</f>
        <v>Rural Connectors</v>
      </c>
      <c r="BR87" s="226">
        <f t="shared" si="69"/>
        <v>236.34517630310535</v>
      </c>
      <c r="BS87" s="238">
        <f t="shared" si="70"/>
        <v>448.16849481998941</v>
      </c>
    </row>
    <row r="88" spans="1:71">
      <c r="A88" s="202"/>
      <c r="B88" s="210" t="str">
        <f t="shared" si="45"/>
        <v>Rural Connectors Local LTA Roads Manawatu/Whanganui Region</v>
      </c>
      <c r="C88" s="193">
        <f t="shared" si="65"/>
        <v>1897.83</v>
      </c>
      <c r="D88" s="193">
        <f t="shared" si="66"/>
        <v>314.85000000000002</v>
      </c>
      <c r="E88" s="194">
        <f t="shared" si="46"/>
        <v>454.520552276035</v>
      </c>
      <c r="F88" s="202"/>
      <c r="AA88" s="185" t="s">
        <v>412</v>
      </c>
      <c r="AB88" s="185" t="s">
        <v>424</v>
      </c>
      <c r="AC88" s="185" t="s">
        <v>401</v>
      </c>
      <c r="AD88" s="185" t="s">
        <v>331</v>
      </c>
      <c r="AE88" s="185" t="s">
        <v>403</v>
      </c>
      <c r="AF88" s="185" t="s">
        <v>406</v>
      </c>
      <c r="AG88" s="185">
        <v>1388.21</v>
      </c>
      <c r="AH88" s="185">
        <v>0.1588</v>
      </c>
      <c r="AI88" s="185">
        <v>1388.15</v>
      </c>
      <c r="AJ88" s="185">
        <v>0.06</v>
      </c>
      <c r="AK88" s="185">
        <v>2782.44</v>
      </c>
      <c r="AL88" s="185">
        <v>600.84</v>
      </c>
      <c r="AM88" s="186">
        <v>113</v>
      </c>
      <c r="AN88" s="186" t="str">
        <f t="shared" si="47"/>
        <v>Manawatu/Whanganui RegionRural Connectors</v>
      </c>
      <c r="AO88" s="186">
        <f t="shared" si="48"/>
        <v>95</v>
      </c>
      <c r="AP88" s="187" t="s">
        <v>1105</v>
      </c>
      <c r="AQ88" s="187" t="str">
        <f t="shared" si="49"/>
        <v>Manawatu/Whanganui Region</v>
      </c>
      <c r="AR88" s="187" t="str">
        <f t="shared" si="50"/>
        <v>Combined</v>
      </c>
      <c r="AS88" s="187" t="str">
        <f t="shared" si="51"/>
        <v>2019/20</v>
      </c>
      <c r="AT88" s="187" t="str">
        <f t="shared" si="52"/>
        <v>RURAL</v>
      </c>
      <c r="AU88" s="187" t="str">
        <f t="shared" si="53"/>
        <v>Rural Connectors</v>
      </c>
      <c r="AV88" s="187" cm="1">
        <f t="array" ref="AV88">IF($AO88=999,0,INDEX(AG$198:AG$313,$AO88))</f>
        <v>440.95</v>
      </c>
      <c r="AW88" s="187" cm="1">
        <f t="array" ref="AW88">IF($AO88=999,0,INDEX(AH$198:AH$313,$AO88))</f>
        <v>0.4577</v>
      </c>
      <c r="AX88" s="187" cm="1">
        <f t="array" ref="AX88">IF($AO88=999,0,INDEX(AI$198:AI$313,$AO88))</f>
        <v>429.13</v>
      </c>
      <c r="AY88" s="187" cm="1">
        <f t="array" ref="AY88">IF($AO88=999,0,INDEX(AJ$198:AJ$313,$AO88))</f>
        <v>11.82</v>
      </c>
      <c r="AZ88" s="187" cm="1">
        <f t="array" ref="AZ88">IF($AO88=999,0,INDEX(AK$198:AK$313,$AO88))</f>
        <v>884.61</v>
      </c>
      <c r="BA88" s="187" cm="1">
        <f t="array" ref="BA88">IF($AO88=999,0,INDEX(AL$198:AL$313,$AO88))</f>
        <v>285.99</v>
      </c>
      <c r="BB88" s="252" t="str">
        <f>INDEX(pMenus!$C$10:$C$23,MATCH(AU88,pMenus!$B$10:$B$23,0))</f>
        <v>Rural Connectors</v>
      </c>
      <c r="BC88" s="221">
        <f t="shared" si="67"/>
        <v>885.73975715325673</v>
      </c>
      <c r="BD88" s="237">
        <f t="shared" si="68"/>
        <v>1776.9231127686642</v>
      </c>
      <c r="BE88" s="188" t="s">
        <v>591</v>
      </c>
      <c r="BF88" s="188" t="str">
        <f t="shared" si="54"/>
        <v>Manawatu/Whanganui Region</v>
      </c>
      <c r="BG88" s="188" t="str">
        <f t="shared" si="55"/>
        <v>Combined</v>
      </c>
      <c r="BH88" s="188" t="str">
        <f t="shared" si="56"/>
        <v>2019/20</v>
      </c>
      <c r="BI88" s="188" t="str">
        <f t="shared" si="57"/>
        <v>RURAL</v>
      </c>
      <c r="BJ88" s="188" t="str">
        <f t="shared" si="58"/>
        <v>Rural Connectors</v>
      </c>
      <c r="BK88" s="188">
        <f t="shared" si="59"/>
        <v>947.26</v>
      </c>
      <c r="BL88" s="188">
        <f t="shared" si="60"/>
        <v>-0.2989</v>
      </c>
      <c r="BM88" s="188">
        <f t="shared" si="61"/>
        <v>959.0200000000001</v>
      </c>
      <c r="BN88" s="188">
        <f t="shared" si="62"/>
        <v>-11.76</v>
      </c>
      <c r="BO88" s="188">
        <f t="shared" si="63"/>
        <v>1897.83</v>
      </c>
      <c r="BP88" s="188">
        <f t="shared" si="64"/>
        <v>314.85000000000002</v>
      </c>
      <c r="BQ88" s="253" t="str">
        <f>INDEX(pMenus!$D$10:$D$23,MATCH(BJ88,pMenus!$B$10:$B$23,0))</f>
        <v>Rural Connectors</v>
      </c>
      <c r="BR88" s="226">
        <f t="shared" si="69"/>
        <v>454.520552276035</v>
      </c>
      <c r="BS88" s="238">
        <f t="shared" si="70"/>
        <v>910.62933062308912</v>
      </c>
    </row>
    <row r="89" spans="1:71">
      <c r="A89" s="202"/>
      <c r="B89" s="210" t="str">
        <f t="shared" si="45"/>
        <v>Rural Connectors Local LTA Roads Manawatu/Whanganui Region</v>
      </c>
      <c r="C89" s="193">
        <f t="shared" si="65"/>
        <v>8846.5499999999993</v>
      </c>
      <c r="D89" s="193">
        <f t="shared" si="66"/>
        <v>144.04</v>
      </c>
      <c r="E89" s="194">
        <f t="shared" si="46"/>
        <v>44.608365632512267</v>
      </c>
      <c r="F89" s="202"/>
      <c r="AA89" s="185" t="s">
        <v>412</v>
      </c>
      <c r="AB89" s="185" t="s">
        <v>424</v>
      </c>
      <c r="AC89" s="185" t="s">
        <v>401</v>
      </c>
      <c r="AD89" s="185" t="s">
        <v>331</v>
      </c>
      <c r="AE89" s="185" t="s">
        <v>403</v>
      </c>
      <c r="AF89" s="185" t="s">
        <v>414</v>
      </c>
      <c r="AG89" s="185">
        <v>5410.76</v>
      </c>
      <c r="AH89" s="185">
        <v>0.61899999999999999</v>
      </c>
      <c r="AI89" s="185">
        <v>2735.23</v>
      </c>
      <c r="AJ89" s="185">
        <v>2675.52</v>
      </c>
      <c r="AK89" s="185">
        <v>8846.5499999999993</v>
      </c>
      <c r="AL89" s="185">
        <v>144.04</v>
      </c>
      <c r="AM89" s="186">
        <v>114</v>
      </c>
      <c r="AN89" s="186" t="str">
        <f t="shared" si="47"/>
        <v>Manawatu/Whanganui RegionRural Roads</v>
      </c>
      <c r="AO89" s="186">
        <f t="shared" si="48"/>
        <v>999</v>
      </c>
      <c r="AP89" s="187" t="s">
        <v>1105</v>
      </c>
      <c r="AQ89" s="187" t="str">
        <f t="shared" si="49"/>
        <v>Manawatu/Whanganui Region</v>
      </c>
      <c r="AR89" s="187" t="str">
        <f t="shared" si="50"/>
        <v>Combined</v>
      </c>
      <c r="AS89" s="187" t="str">
        <f t="shared" si="51"/>
        <v>2019/20</v>
      </c>
      <c r="AT89" s="187" t="str">
        <f t="shared" si="52"/>
        <v>RURAL</v>
      </c>
      <c r="AU89" s="187" t="str">
        <f t="shared" si="53"/>
        <v>Rural Roads</v>
      </c>
      <c r="AV89" s="187" cm="1">
        <f t="array" ref="AV89">IF($AO89=999,0,INDEX(AG$198:AG$313,$AO89))</f>
        <v>0</v>
      </c>
      <c r="AW89" s="187" cm="1">
        <f t="array" ref="AW89">IF($AO89=999,0,INDEX(AH$198:AH$313,$AO89))</f>
        <v>0</v>
      </c>
      <c r="AX89" s="187" cm="1">
        <f t="array" ref="AX89">IF($AO89=999,0,INDEX(AI$198:AI$313,$AO89))</f>
        <v>0</v>
      </c>
      <c r="AY89" s="187" cm="1">
        <f t="array" ref="AY89">IF($AO89=999,0,INDEX(AJ$198:AJ$313,$AO89))</f>
        <v>0</v>
      </c>
      <c r="AZ89" s="187" cm="1">
        <f t="array" ref="AZ89">IF($AO89=999,0,INDEX(AK$198:AK$313,$AO89))</f>
        <v>0</v>
      </c>
      <c r="BA89" s="187" cm="1">
        <f t="array" ref="BA89">IF($AO89=999,0,INDEX(AL$198:AL$313,$AO89))</f>
        <v>0</v>
      </c>
      <c r="BB89" s="252" t="str">
        <f>INDEX(pMenus!$C$10:$C$23,MATCH(AU89,pMenus!$B$10:$B$23,0))</f>
        <v>NA</v>
      </c>
      <c r="BC89" s="221">
        <f t="shared" si="67"/>
        <v>0</v>
      </c>
      <c r="BD89" s="237">
        <f t="shared" si="68"/>
        <v>0</v>
      </c>
      <c r="BE89" s="188" t="s">
        <v>591</v>
      </c>
      <c r="BF89" s="188" t="str">
        <f t="shared" si="54"/>
        <v>Manawatu/Whanganui Region</v>
      </c>
      <c r="BG89" s="188" t="str">
        <f t="shared" si="55"/>
        <v>Combined</v>
      </c>
      <c r="BH89" s="188" t="str">
        <f t="shared" si="56"/>
        <v>2019/20</v>
      </c>
      <c r="BI89" s="188" t="str">
        <f t="shared" si="57"/>
        <v>RURAL</v>
      </c>
      <c r="BJ89" s="188" t="str">
        <f t="shared" si="58"/>
        <v>Rural Roads</v>
      </c>
      <c r="BK89" s="188">
        <f t="shared" si="59"/>
        <v>5410.76</v>
      </c>
      <c r="BL89" s="188">
        <f t="shared" si="60"/>
        <v>0.61899999999999999</v>
      </c>
      <c r="BM89" s="188">
        <f t="shared" si="61"/>
        <v>2735.23</v>
      </c>
      <c r="BN89" s="188">
        <f t="shared" si="62"/>
        <v>2675.52</v>
      </c>
      <c r="BO89" s="188">
        <f t="shared" si="63"/>
        <v>8846.5499999999993</v>
      </c>
      <c r="BP89" s="188">
        <f t="shared" si="64"/>
        <v>144.04</v>
      </c>
      <c r="BQ89" s="253" t="str">
        <f>INDEX(pMenus!$D$10:$D$23,MATCH(BJ89,pMenus!$B$10:$B$23,0))</f>
        <v>Rural Connectors</v>
      </c>
      <c r="BR89" s="226">
        <f t="shared" si="69"/>
        <v>44.608365632512267</v>
      </c>
      <c r="BS89" s="238">
        <f t="shared" si="70"/>
        <v>72.93432659853724</v>
      </c>
    </row>
    <row r="90" spans="1:71">
      <c r="A90" s="202"/>
      <c r="B90" s="210" t="str">
        <f t="shared" si="45"/>
        <v>Rural Connectors Local LTA Roads Manawatu/Whanganui Region</v>
      </c>
      <c r="C90" s="193">
        <f t="shared" si="65"/>
        <v>11.639999999999999</v>
      </c>
      <c r="D90" s="193">
        <f t="shared" si="66"/>
        <v>1.1700000000000002</v>
      </c>
      <c r="E90" s="194">
        <f t="shared" si="46"/>
        <v>275.38483265075558</v>
      </c>
      <c r="F90" s="202"/>
      <c r="AA90" s="185" t="s">
        <v>412</v>
      </c>
      <c r="AB90" s="185" t="s">
        <v>424</v>
      </c>
      <c r="AC90" s="185" t="s">
        <v>401</v>
      </c>
      <c r="AD90" s="185" t="s">
        <v>331</v>
      </c>
      <c r="AE90" s="185" t="s">
        <v>403</v>
      </c>
      <c r="AF90" s="185" t="s">
        <v>415</v>
      </c>
      <c r="AG90" s="185">
        <v>8.02</v>
      </c>
      <c r="AH90" s="185">
        <v>8.9999999999999998E-4</v>
      </c>
      <c r="AI90" s="185">
        <v>6.6</v>
      </c>
      <c r="AJ90" s="185">
        <v>1.42</v>
      </c>
      <c r="AK90" s="185">
        <v>14.86</v>
      </c>
      <c r="AL90" s="185">
        <v>2.91</v>
      </c>
      <c r="AM90" s="186">
        <v>115</v>
      </c>
      <c r="AN90" s="186" t="str">
        <f t="shared" si="47"/>
        <v>Manawatu/Whanganui RegionStopping Places</v>
      </c>
      <c r="AO90" s="186">
        <f t="shared" si="48"/>
        <v>96</v>
      </c>
      <c r="AP90" s="187" t="s">
        <v>1105</v>
      </c>
      <c r="AQ90" s="187" t="str">
        <f t="shared" si="49"/>
        <v>Manawatu/Whanganui Region</v>
      </c>
      <c r="AR90" s="187" t="str">
        <f t="shared" si="50"/>
        <v>Combined</v>
      </c>
      <c r="AS90" s="187" t="str">
        <f t="shared" si="51"/>
        <v>2019/20</v>
      </c>
      <c r="AT90" s="187" t="str">
        <f t="shared" si="52"/>
        <v>RURAL</v>
      </c>
      <c r="AU90" s="187" t="str">
        <f t="shared" si="53"/>
        <v>Stopping Places</v>
      </c>
      <c r="AV90" s="187" cm="1">
        <f t="array" ref="AV90">IF($AO90=999,0,INDEX(AG$198:AG$313,$AO90))</f>
        <v>1.61</v>
      </c>
      <c r="AW90" s="187" cm="1">
        <f t="array" ref="AW90">IF($AO90=999,0,INDEX(AH$198:AH$313,$AO90))</f>
        <v>1.6999999999999999E-3</v>
      </c>
      <c r="AX90" s="187" cm="1">
        <f t="array" ref="AX90">IF($AO90=999,0,INDEX(AI$198:AI$313,$AO90))</f>
        <v>1.61</v>
      </c>
      <c r="AY90" s="187" cm="1">
        <f t="array" ref="AY90">IF($AO90=999,0,INDEX(AJ$198:AJ$313,$AO90))</f>
        <v>0</v>
      </c>
      <c r="AZ90" s="187" cm="1">
        <f t="array" ref="AZ90">IF($AO90=999,0,INDEX(AK$198:AK$313,$AO90))</f>
        <v>3.22</v>
      </c>
      <c r="BA90" s="187" cm="1">
        <f t="array" ref="BA90">IF($AO90=999,0,INDEX(AL$198:AL$313,$AO90))</f>
        <v>1.74</v>
      </c>
      <c r="BB90" s="252" t="str">
        <f>INDEX(pMenus!$C$10:$C$23,MATCH(AU90,pMenus!$B$10:$B$23,0))</f>
        <v>Interregional Connectors</v>
      </c>
      <c r="BC90" s="221">
        <f t="shared" si="67"/>
        <v>1480.4730707053516</v>
      </c>
      <c r="BD90" s="237">
        <f t="shared" si="68"/>
        <v>2960.9461414107031</v>
      </c>
      <c r="BE90" s="188" t="s">
        <v>591</v>
      </c>
      <c r="BF90" s="188" t="str">
        <f t="shared" si="54"/>
        <v>Manawatu/Whanganui Region</v>
      </c>
      <c r="BG90" s="188" t="str">
        <f t="shared" si="55"/>
        <v>Combined</v>
      </c>
      <c r="BH90" s="188" t="str">
        <f t="shared" si="56"/>
        <v>2019/20</v>
      </c>
      <c r="BI90" s="188" t="str">
        <f t="shared" si="57"/>
        <v>RURAL</v>
      </c>
      <c r="BJ90" s="188" t="str">
        <f t="shared" si="58"/>
        <v>Stopping Places</v>
      </c>
      <c r="BK90" s="188">
        <f t="shared" si="59"/>
        <v>6.4099999999999993</v>
      </c>
      <c r="BL90" s="188">
        <f t="shared" si="60"/>
        <v>-7.9999999999999993E-4</v>
      </c>
      <c r="BM90" s="188">
        <f t="shared" si="61"/>
        <v>4.9899999999999993</v>
      </c>
      <c r="BN90" s="188">
        <f t="shared" si="62"/>
        <v>1.42</v>
      </c>
      <c r="BO90" s="188">
        <f t="shared" si="63"/>
        <v>11.639999999999999</v>
      </c>
      <c r="BP90" s="188">
        <f t="shared" si="64"/>
        <v>1.1700000000000002</v>
      </c>
      <c r="BQ90" s="253" t="str">
        <f>INDEX(pMenus!$D$10:$D$23,MATCH(BJ90,pMenus!$B$10:$B$23,0))</f>
        <v>Rural Connectors</v>
      </c>
      <c r="BR90" s="226">
        <f t="shared" si="69"/>
        <v>275.38483265075558</v>
      </c>
      <c r="BS90" s="238">
        <f t="shared" si="70"/>
        <v>500.07479751244858</v>
      </c>
    </row>
    <row r="91" spans="1:71">
      <c r="A91" s="202"/>
      <c r="B91" s="210" t="str">
        <f t="shared" si="45"/>
        <v>Activity Streets Local LTA Roads Manawatu/Whanganui Region</v>
      </c>
      <c r="C91" s="193">
        <f t="shared" si="65"/>
        <v>109.64000000000001</v>
      </c>
      <c r="D91" s="193">
        <f t="shared" si="66"/>
        <v>107.32</v>
      </c>
      <c r="E91" s="194">
        <f t="shared" si="46"/>
        <v>2681.7529848620388</v>
      </c>
      <c r="F91" s="202"/>
      <c r="AA91" s="185" t="s">
        <v>412</v>
      </c>
      <c r="AB91" s="185" t="s">
        <v>424</v>
      </c>
      <c r="AC91" s="185" t="s">
        <v>401</v>
      </c>
      <c r="AD91" s="185" t="s">
        <v>331</v>
      </c>
      <c r="AE91" s="185" t="s">
        <v>407</v>
      </c>
      <c r="AF91" s="185" t="s">
        <v>408</v>
      </c>
      <c r="AG91" s="185">
        <v>65.58</v>
      </c>
      <c r="AH91" s="185">
        <v>7.4999999999999997E-3</v>
      </c>
      <c r="AI91" s="185">
        <v>65.58</v>
      </c>
      <c r="AJ91" s="185">
        <v>0</v>
      </c>
      <c r="AK91" s="185">
        <v>132.71</v>
      </c>
      <c r="AL91" s="185">
        <v>144.82</v>
      </c>
      <c r="AM91" s="186">
        <v>116</v>
      </c>
      <c r="AN91" s="186" t="str">
        <f t="shared" si="47"/>
        <v>Manawatu/Whanganui RegionActivity Streets</v>
      </c>
      <c r="AO91" s="186">
        <f t="shared" si="48"/>
        <v>97</v>
      </c>
      <c r="AP91" s="187" t="s">
        <v>1105</v>
      </c>
      <c r="AQ91" s="187" t="str">
        <f t="shared" si="49"/>
        <v>Manawatu/Whanganui Region</v>
      </c>
      <c r="AR91" s="187" t="str">
        <f t="shared" si="50"/>
        <v>Combined</v>
      </c>
      <c r="AS91" s="187" t="str">
        <f t="shared" si="51"/>
        <v>2019/20</v>
      </c>
      <c r="AT91" s="187" t="str">
        <f t="shared" si="52"/>
        <v>URBAN</v>
      </c>
      <c r="AU91" s="187" t="str">
        <f t="shared" si="53"/>
        <v>Activity Streets</v>
      </c>
      <c r="AV91" s="187" cm="1">
        <f t="array" ref="AV91">IF($AO91=999,0,INDEX(AG$198:AG$313,$AO91))</f>
        <v>10.98</v>
      </c>
      <c r="AW91" s="187" cm="1">
        <f t="array" ref="AW91">IF($AO91=999,0,INDEX(AH$198:AH$313,$AO91))</f>
        <v>1.14E-2</v>
      </c>
      <c r="AX91" s="187" cm="1">
        <f t="array" ref="AX91">IF($AO91=999,0,INDEX(AI$198:AI$313,$AO91))</f>
        <v>10.98</v>
      </c>
      <c r="AY91" s="187" cm="1">
        <f t="array" ref="AY91">IF($AO91=999,0,INDEX(AJ$198:AJ$313,$AO91))</f>
        <v>0</v>
      </c>
      <c r="AZ91" s="187" cm="1">
        <f t="array" ref="AZ91">IF($AO91=999,0,INDEX(AK$198:AK$313,$AO91))</f>
        <v>23.07</v>
      </c>
      <c r="BA91" s="187" cm="1">
        <f t="array" ref="BA91">IF($AO91=999,0,INDEX(AL$198:AL$313,$AO91))</f>
        <v>37.5</v>
      </c>
      <c r="BB91" s="252" t="str">
        <f>INDEX(pMenus!$C$10:$C$23,MATCH(AU91,pMenus!$B$10:$B$23,0))</f>
        <v>Urban Connectors</v>
      </c>
      <c r="BC91" s="221">
        <f t="shared" si="67"/>
        <v>4453.3908117640767</v>
      </c>
      <c r="BD91" s="237">
        <f t="shared" si="68"/>
        <v>9356.9877984879113</v>
      </c>
      <c r="BE91" s="188" t="s">
        <v>591</v>
      </c>
      <c r="BF91" s="188" t="str">
        <f t="shared" si="54"/>
        <v>Manawatu/Whanganui Region</v>
      </c>
      <c r="BG91" s="188" t="str">
        <f t="shared" si="55"/>
        <v>Combined</v>
      </c>
      <c r="BH91" s="188" t="str">
        <f t="shared" si="56"/>
        <v>2019/20</v>
      </c>
      <c r="BI91" s="188" t="str">
        <f t="shared" si="57"/>
        <v>URBAN</v>
      </c>
      <c r="BJ91" s="188" t="str">
        <f t="shared" si="58"/>
        <v>Activity Streets</v>
      </c>
      <c r="BK91" s="188">
        <f t="shared" si="59"/>
        <v>54.599999999999994</v>
      </c>
      <c r="BL91" s="188">
        <f t="shared" si="60"/>
        <v>-3.9000000000000007E-3</v>
      </c>
      <c r="BM91" s="188">
        <f t="shared" si="61"/>
        <v>54.599999999999994</v>
      </c>
      <c r="BN91" s="188">
        <f t="shared" si="62"/>
        <v>0</v>
      </c>
      <c r="BO91" s="188">
        <f t="shared" si="63"/>
        <v>109.64000000000001</v>
      </c>
      <c r="BP91" s="188">
        <f t="shared" si="64"/>
        <v>107.32</v>
      </c>
      <c r="BQ91" s="253" t="str">
        <f>INDEX(pMenus!$D$10:$D$23,MATCH(BJ91,pMenus!$B$10:$B$23,0))</f>
        <v>Activity Streets</v>
      </c>
      <c r="BR91" s="226">
        <f t="shared" si="69"/>
        <v>2681.7529848620388</v>
      </c>
      <c r="BS91" s="238">
        <f t="shared" si="70"/>
        <v>5385.1171659390848</v>
      </c>
    </row>
    <row r="92" spans="1:71">
      <c r="A92" s="202"/>
      <c r="B92" s="210" t="str">
        <f t="shared" si="45"/>
        <v>Rural Connectors Local LTA Roads Manawatu/Whanganui Region</v>
      </c>
      <c r="C92" s="193">
        <f t="shared" si="65"/>
        <v>1.53</v>
      </c>
      <c r="D92" s="193">
        <f t="shared" si="66"/>
        <v>0.16</v>
      </c>
      <c r="E92" s="194">
        <f t="shared" si="46"/>
        <v>286.50729698271999</v>
      </c>
      <c r="F92" s="202"/>
      <c r="AA92" s="185" t="s">
        <v>412</v>
      </c>
      <c r="AB92" s="185" t="s">
        <v>424</v>
      </c>
      <c r="AC92" s="185" t="s">
        <v>401</v>
      </c>
      <c r="AD92" s="185" t="s">
        <v>331</v>
      </c>
      <c r="AE92" s="185" t="s">
        <v>407</v>
      </c>
      <c r="AF92" s="185" t="s">
        <v>417</v>
      </c>
      <c r="AG92" s="185">
        <v>0.83</v>
      </c>
      <c r="AH92" s="185">
        <v>1E-4</v>
      </c>
      <c r="AI92" s="185">
        <v>0.83</v>
      </c>
      <c r="AJ92" s="185">
        <v>0</v>
      </c>
      <c r="AK92" s="185">
        <v>1.53</v>
      </c>
      <c r="AL92" s="185">
        <v>0.16</v>
      </c>
      <c r="AM92" s="186">
        <v>117</v>
      </c>
      <c r="AN92" s="186" t="str">
        <f t="shared" si="47"/>
        <v>Manawatu/Whanganui RegionCivic Spaces</v>
      </c>
      <c r="AO92" s="186">
        <f t="shared" si="48"/>
        <v>999</v>
      </c>
      <c r="AP92" s="187" t="s">
        <v>1105</v>
      </c>
      <c r="AQ92" s="187" t="str">
        <f t="shared" si="49"/>
        <v>Manawatu/Whanganui Region</v>
      </c>
      <c r="AR92" s="187" t="str">
        <f t="shared" si="50"/>
        <v>Combined</v>
      </c>
      <c r="AS92" s="187" t="str">
        <f t="shared" si="51"/>
        <v>2019/20</v>
      </c>
      <c r="AT92" s="187" t="str">
        <f t="shared" si="52"/>
        <v>URBAN</v>
      </c>
      <c r="AU92" s="187" t="str">
        <f t="shared" si="53"/>
        <v>Civic Spaces</v>
      </c>
      <c r="AV92" s="187" cm="1">
        <f t="array" ref="AV92">IF($AO92=999,0,INDEX(AG$198:AG$313,$AO92))</f>
        <v>0</v>
      </c>
      <c r="AW92" s="187" cm="1">
        <f t="array" ref="AW92">IF($AO92=999,0,INDEX(AH$198:AH$313,$AO92))</f>
        <v>0</v>
      </c>
      <c r="AX92" s="187" cm="1">
        <f t="array" ref="AX92">IF($AO92=999,0,INDEX(AI$198:AI$313,$AO92))</f>
        <v>0</v>
      </c>
      <c r="AY92" s="187" cm="1">
        <f t="array" ref="AY92">IF($AO92=999,0,INDEX(AJ$198:AJ$313,$AO92))</f>
        <v>0</v>
      </c>
      <c r="AZ92" s="187" cm="1">
        <f t="array" ref="AZ92">IF($AO92=999,0,INDEX(AK$198:AK$313,$AO92))</f>
        <v>0</v>
      </c>
      <c r="BA92" s="187" cm="1">
        <f t="array" ref="BA92">IF($AO92=999,0,INDEX(AL$198:AL$313,$AO92))</f>
        <v>0</v>
      </c>
      <c r="BB92" s="252" t="str">
        <f>INDEX(pMenus!$C$10:$C$23,MATCH(AU92,pMenus!$B$10:$B$23,0))</f>
        <v>NA</v>
      </c>
      <c r="BC92" s="221">
        <f t="shared" si="67"/>
        <v>0</v>
      </c>
      <c r="BD92" s="237">
        <f t="shared" si="68"/>
        <v>0</v>
      </c>
      <c r="BE92" s="188" t="s">
        <v>591</v>
      </c>
      <c r="BF92" s="188" t="str">
        <f t="shared" si="54"/>
        <v>Manawatu/Whanganui Region</v>
      </c>
      <c r="BG92" s="188" t="str">
        <f t="shared" si="55"/>
        <v>Combined</v>
      </c>
      <c r="BH92" s="188" t="str">
        <f t="shared" si="56"/>
        <v>2019/20</v>
      </c>
      <c r="BI92" s="188" t="str">
        <f t="shared" si="57"/>
        <v>URBAN</v>
      </c>
      <c r="BJ92" s="188" t="str">
        <f t="shared" si="58"/>
        <v>Civic Spaces</v>
      </c>
      <c r="BK92" s="188">
        <f t="shared" si="59"/>
        <v>0.83</v>
      </c>
      <c r="BL92" s="188">
        <f t="shared" si="60"/>
        <v>1E-4</v>
      </c>
      <c r="BM92" s="188">
        <f t="shared" si="61"/>
        <v>0.83</v>
      </c>
      <c r="BN92" s="188">
        <f t="shared" si="62"/>
        <v>0</v>
      </c>
      <c r="BO92" s="188">
        <f t="shared" si="63"/>
        <v>1.53</v>
      </c>
      <c r="BP92" s="188">
        <f t="shared" si="64"/>
        <v>0.16</v>
      </c>
      <c r="BQ92" s="253" t="str">
        <f>INDEX(pMenus!$D$10:$D$23,MATCH(BJ92,pMenus!$B$10:$B$23,0))</f>
        <v>Rural Connectors</v>
      </c>
      <c r="BR92" s="226">
        <f t="shared" si="69"/>
        <v>286.50729698271999</v>
      </c>
      <c r="BS92" s="238">
        <f t="shared" si="70"/>
        <v>528.13995708862853</v>
      </c>
    </row>
    <row r="93" spans="1:71">
      <c r="A93" s="202"/>
      <c r="B93" s="210" t="str">
        <f t="shared" si="45"/>
        <v>Rural Connectors Local LTA Roads Manawatu/Whanganui Region</v>
      </c>
      <c r="C93" s="193">
        <f t="shared" si="65"/>
        <v>1768.03</v>
      </c>
      <c r="D93" s="193">
        <f t="shared" si="66"/>
        <v>159.30000000000001</v>
      </c>
      <c r="E93" s="194">
        <f t="shared" si="46"/>
        <v>246.85008521596558</v>
      </c>
      <c r="F93" s="202"/>
      <c r="AA93" s="185" t="s">
        <v>412</v>
      </c>
      <c r="AB93" s="185" t="s">
        <v>424</v>
      </c>
      <c r="AC93" s="185" t="s">
        <v>401</v>
      </c>
      <c r="AD93" s="185" t="s">
        <v>331</v>
      </c>
      <c r="AE93" s="185" t="s">
        <v>407</v>
      </c>
      <c r="AF93" s="185" t="s">
        <v>418</v>
      </c>
      <c r="AG93" s="185">
        <v>898.88</v>
      </c>
      <c r="AH93" s="185">
        <v>0.1028</v>
      </c>
      <c r="AI93" s="185">
        <v>877.64</v>
      </c>
      <c r="AJ93" s="185">
        <v>21.24</v>
      </c>
      <c r="AK93" s="185">
        <v>1768.03</v>
      </c>
      <c r="AL93" s="185">
        <v>159.30000000000001</v>
      </c>
      <c r="AM93" s="186">
        <v>118</v>
      </c>
      <c r="AN93" s="186" t="str">
        <f t="shared" si="47"/>
        <v>Manawatu/Whanganui RegionLocal Streets</v>
      </c>
      <c r="AO93" s="186">
        <f t="shared" si="48"/>
        <v>999</v>
      </c>
      <c r="AP93" s="187" t="s">
        <v>1105</v>
      </c>
      <c r="AQ93" s="187" t="str">
        <f t="shared" si="49"/>
        <v>Manawatu/Whanganui Region</v>
      </c>
      <c r="AR93" s="187" t="str">
        <f t="shared" si="50"/>
        <v>Combined</v>
      </c>
      <c r="AS93" s="187" t="str">
        <f t="shared" si="51"/>
        <v>2019/20</v>
      </c>
      <c r="AT93" s="187" t="str">
        <f t="shared" si="52"/>
        <v>URBAN</v>
      </c>
      <c r="AU93" s="187" t="str">
        <f t="shared" si="53"/>
        <v>Local Streets</v>
      </c>
      <c r="AV93" s="187" cm="1">
        <f t="array" ref="AV93">IF($AO93=999,0,INDEX(AG$198:AG$313,$AO93))</f>
        <v>0</v>
      </c>
      <c r="AW93" s="187" cm="1">
        <f t="array" ref="AW93">IF($AO93=999,0,INDEX(AH$198:AH$313,$AO93))</f>
        <v>0</v>
      </c>
      <c r="AX93" s="187" cm="1">
        <f t="array" ref="AX93">IF($AO93=999,0,INDEX(AI$198:AI$313,$AO93))</f>
        <v>0</v>
      </c>
      <c r="AY93" s="187" cm="1">
        <f t="array" ref="AY93">IF($AO93=999,0,INDEX(AJ$198:AJ$313,$AO93))</f>
        <v>0</v>
      </c>
      <c r="AZ93" s="187" cm="1">
        <f t="array" ref="AZ93">IF($AO93=999,0,INDEX(AK$198:AK$313,$AO93))</f>
        <v>0</v>
      </c>
      <c r="BA93" s="187" cm="1">
        <f t="array" ref="BA93">IF($AO93=999,0,INDEX(AL$198:AL$313,$AO93))</f>
        <v>0</v>
      </c>
      <c r="BB93" s="252" t="str">
        <f>INDEX(pMenus!$C$10:$C$23,MATCH(AU93,pMenus!$B$10:$B$23,0))</f>
        <v>NA</v>
      </c>
      <c r="BC93" s="221">
        <f t="shared" si="67"/>
        <v>0</v>
      </c>
      <c r="BD93" s="237">
        <f t="shared" si="68"/>
        <v>0</v>
      </c>
      <c r="BE93" s="188" t="s">
        <v>591</v>
      </c>
      <c r="BF93" s="188" t="str">
        <f t="shared" si="54"/>
        <v>Manawatu/Whanganui Region</v>
      </c>
      <c r="BG93" s="188" t="str">
        <f t="shared" si="55"/>
        <v>Combined</v>
      </c>
      <c r="BH93" s="188" t="str">
        <f t="shared" si="56"/>
        <v>2019/20</v>
      </c>
      <c r="BI93" s="188" t="str">
        <f t="shared" si="57"/>
        <v>URBAN</v>
      </c>
      <c r="BJ93" s="188" t="str">
        <f t="shared" si="58"/>
        <v>Local Streets</v>
      </c>
      <c r="BK93" s="188">
        <f t="shared" si="59"/>
        <v>898.88</v>
      </c>
      <c r="BL93" s="188">
        <f t="shared" si="60"/>
        <v>0.1028</v>
      </c>
      <c r="BM93" s="188">
        <f t="shared" si="61"/>
        <v>877.64</v>
      </c>
      <c r="BN93" s="188">
        <f t="shared" si="62"/>
        <v>21.24</v>
      </c>
      <c r="BO93" s="188">
        <f t="shared" si="63"/>
        <v>1768.03</v>
      </c>
      <c r="BP93" s="188">
        <f t="shared" si="64"/>
        <v>159.30000000000001</v>
      </c>
      <c r="BQ93" s="253" t="str">
        <f>INDEX(pMenus!$D$10:$D$23,MATCH(BJ93,pMenus!$B$10:$B$23,0))</f>
        <v>Rural Connectors</v>
      </c>
      <c r="BR93" s="226">
        <f t="shared" si="69"/>
        <v>246.85008521596558</v>
      </c>
      <c r="BS93" s="238">
        <f t="shared" si="70"/>
        <v>485.53572908996034</v>
      </c>
    </row>
    <row r="94" spans="1:71">
      <c r="A94" s="202"/>
      <c r="B94" s="210" t="str">
        <f t="shared" si="45"/>
        <v>Urban Connectors Local LTA Roads Manawatu/Whanganui Region</v>
      </c>
      <c r="C94" s="193">
        <f t="shared" si="65"/>
        <v>5.3900000000000006</v>
      </c>
      <c r="D94" s="193">
        <f t="shared" si="66"/>
        <v>4.6199999999999992</v>
      </c>
      <c r="E94" s="194">
        <f t="shared" si="46"/>
        <v>2348.3365949119366</v>
      </c>
      <c r="F94" s="202"/>
      <c r="AA94" s="185" t="s">
        <v>412</v>
      </c>
      <c r="AB94" s="185" t="s">
        <v>424</v>
      </c>
      <c r="AC94" s="185" t="s">
        <v>401</v>
      </c>
      <c r="AD94" s="185" t="s">
        <v>331</v>
      </c>
      <c r="AE94" s="185" t="s">
        <v>407</v>
      </c>
      <c r="AF94" s="185" t="s">
        <v>409</v>
      </c>
      <c r="AG94" s="185">
        <v>5.31</v>
      </c>
      <c r="AH94" s="185">
        <v>5.9999999999999995E-4</v>
      </c>
      <c r="AI94" s="185">
        <v>5.31</v>
      </c>
      <c r="AJ94" s="185">
        <v>0</v>
      </c>
      <c r="AK94" s="185">
        <v>13.23</v>
      </c>
      <c r="AL94" s="185">
        <v>14.01</v>
      </c>
      <c r="AM94" s="186">
        <v>119</v>
      </c>
      <c r="AN94" s="186" t="str">
        <f t="shared" si="47"/>
        <v>Manawatu/Whanganui RegionMain Streets</v>
      </c>
      <c r="AO94" s="186">
        <f t="shared" si="48"/>
        <v>98</v>
      </c>
      <c r="AP94" s="187" t="s">
        <v>1105</v>
      </c>
      <c r="AQ94" s="187" t="str">
        <f t="shared" si="49"/>
        <v>Manawatu/Whanganui Region</v>
      </c>
      <c r="AR94" s="187" t="str">
        <f t="shared" si="50"/>
        <v>Combined</v>
      </c>
      <c r="AS94" s="187" t="str">
        <f t="shared" si="51"/>
        <v>2019/20</v>
      </c>
      <c r="AT94" s="187" t="str">
        <f t="shared" si="52"/>
        <v>URBAN</v>
      </c>
      <c r="AU94" s="187" t="str">
        <f t="shared" si="53"/>
        <v>Main Streets</v>
      </c>
      <c r="AV94" s="187" cm="1">
        <f t="array" ref="AV94">IF($AO94=999,0,INDEX(AG$198:AG$313,$AO94))</f>
        <v>2.87</v>
      </c>
      <c r="AW94" s="187" cm="1">
        <f t="array" ref="AW94">IF($AO94=999,0,INDEX(AH$198:AH$313,$AO94))</f>
        <v>3.0000000000000001E-3</v>
      </c>
      <c r="AX94" s="187" cm="1">
        <f t="array" ref="AX94">IF($AO94=999,0,INDEX(AI$198:AI$313,$AO94))</f>
        <v>2.87</v>
      </c>
      <c r="AY94" s="187" cm="1">
        <f t="array" ref="AY94">IF($AO94=999,0,INDEX(AJ$198:AJ$313,$AO94))</f>
        <v>0</v>
      </c>
      <c r="AZ94" s="187" cm="1">
        <f t="array" ref="AZ94">IF($AO94=999,0,INDEX(AK$198:AK$313,$AO94))</f>
        <v>7.84</v>
      </c>
      <c r="BA94" s="187" cm="1">
        <f t="array" ref="BA94">IF($AO94=999,0,INDEX(AL$198:AL$313,$AO94))</f>
        <v>9.39</v>
      </c>
      <c r="BB94" s="252" t="str">
        <f>INDEX(pMenus!$C$10:$C$23,MATCH(AU94,pMenus!$B$10:$B$23,0))</f>
        <v>Urban Connectors</v>
      </c>
      <c r="BC94" s="221">
        <f t="shared" si="67"/>
        <v>3281.3810455689131</v>
      </c>
      <c r="BD94" s="237">
        <f t="shared" si="68"/>
        <v>8963.7726122858094</v>
      </c>
      <c r="BE94" s="188" t="s">
        <v>591</v>
      </c>
      <c r="BF94" s="188" t="str">
        <f t="shared" si="54"/>
        <v>Manawatu/Whanganui Region</v>
      </c>
      <c r="BG94" s="188" t="str">
        <f t="shared" si="55"/>
        <v>Combined</v>
      </c>
      <c r="BH94" s="188" t="str">
        <f t="shared" si="56"/>
        <v>2019/20</v>
      </c>
      <c r="BI94" s="188" t="str">
        <f t="shared" si="57"/>
        <v>URBAN</v>
      </c>
      <c r="BJ94" s="188" t="str">
        <f t="shared" si="58"/>
        <v>Main Streets</v>
      </c>
      <c r="BK94" s="188">
        <f t="shared" si="59"/>
        <v>2.4399999999999995</v>
      </c>
      <c r="BL94" s="188">
        <f t="shared" si="60"/>
        <v>-2.4000000000000002E-3</v>
      </c>
      <c r="BM94" s="188">
        <f t="shared" si="61"/>
        <v>2.4399999999999995</v>
      </c>
      <c r="BN94" s="188">
        <f t="shared" si="62"/>
        <v>0</v>
      </c>
      <c r="BO94" s="188">
        <f t="shared" si="63"/>
        <v>5.3900000000000006</v>
      </c>
      <c r="BP94" s="188">
        <f t="shared" si="64"/>
        <v>4.6199999999999992</v>
      </c>
      <c r="BQ94" s="253" t="str">
        <f>INDEX(pMenus!$D$10:$D$23,MATCH(BJ94,pMenus!$B$10:$B$23,0))</f>
        <v>Urban Connectors</v>
      </c>
      <c r="BR94" s="226">
        <f t="shared" si="69"/>
        <v>2348.3365949119366</v>
      </c>
      <c r="BS94" s="238">
        <f t="shared" si="70"/>
        <v>5187.5140354816976</v>
      </c>
    </row>
    <row r="95" spans="1:71">
      <c r="A95" s="202"/>
      <c r="B95" s="210" t="str">
        <f t="shared" si="45"/>
        <v>Urban Connectors Local LTA Roads Manawatu/Whanganui Region</v>
      </c>
      <c r="C95" s="193">
        <f t="shared" si="65"/>
        <v>328.67</v>
      </c>
      <c r="D95" s="193">
        <f t="shared" si="66"/>
        <v>295.45000000000005</v>
      </c>
      <c r="E95" s="194">
        <f t="shared" si="46"/>
        <v>2462.8108887167091</v>
      </c>
      <c r="F95" s="202"/>
      <c r="AA95" s="185" t="s">
        <v>412</v>
      </c>
      <c r="AB95" s="185" t="s">
        <v>424</v>
      </c>
      <c r="AC95" s="185" t="s">
        <v>401</v>
      </c>
      <c r="AD95" s="185" t="s">
        <v>331</v>
      </c>
      <c r="AE95" s="185" t="s">
        <v>407</v>
      </c>
      <c r="AF95" s="185" t="s">
        <v>411</v>
      </c>
      <c r="AG95" s="185">
        <v>205.8</v>
      </c>
      <c r="AH95" s="185">
        <v>2.35E-2</v>
      </c>
      <c r="AI95" s="185">
        <v>205.46</v>
      </c>
      <c r="AJ95" s="185">
        <v>0.34</v>
      </c>
      <c r="AK95" s="185">
        <v>420.6</v>
      </c>
      <c r="AL95" s="185">
        <v>424.37</v>
      </c>
      <c r="AM95" s="186">
        <v>120</v>
      </c>
      <c r="AN95" s="186" t="str">
        <f t="shared" si="47"/>
        <v>Manawatu/Whanganui RegionUrban Connectors</v>
      </c>
      <c r="AO95" s="186">
        <f t="shared" si="48"/>
        <v>99</v>
      </c>
      <c r="AP95" s="187" t="s">
        <v>1105</v>
      </c>
      <c r="AQ95" s="187" t="str">
        <f t="shared" si="49"/>
        <v>Manawatu/Whanganui Region</v>
      </c>
      <c r="AR95" s="187" t="str">
        <f t="shared" si="50"/>
        <v>Combined</v>
      </c>
      <c r="AS95" s="187" t="str">
        <f t="shared" si="51"/>
        <v>2019/20</v>
      </c>
      <c r="AT95" s="187" t="str">
        <f t="shared" si="52"/>
        <v>URBAN</v>
      </c>
      <c r="AU95" s="187" t="str">
        <f t="shared" si="53"/>
        <v>Urban Connectors</v>
      </c>
      <c r="AV95" s="187" cm="1">
        <f t="array" ref="AV95">IF($AO95=999,0,INDEX(AG$198:AG$313,$AO95))</f>
        <v>43.88</v>
      </c>
      <c r="AW95" s="187" cm="1">
        <f t="array" ref="AW95">IF($AO95=999,0,INDEX(AH$198:AH$313,$AO95))</f>
        <v>4.5499999999999999E-2</v>
      </c>
      <c r="AX95" s="187" cm="1">
        <f t="array" ref="AX95">IF($AO95=999,0,INDEX(AI$198:AI$313,$AO95))</f>
        <v>43.88</v>
      </c>
      <c r="AY95" s="187" cm="1">
        <f t="array" ref="AY95">IF($AO95=999,0,INDEX(AJ$198:AJ$313,$AO95))</f>
        <v>0</v>
      </c>
      <c r="AZ95" s="187" cm="1">
        <f t="array" ref="AZ95">IF($AO95=999,0,INDEX(AK$198:AK$313,$AO95))</f>
        <v>91.93</v>
      </c>
      <c r="BA95" s="187" cm="1">
        <f t="array" ref="BA95">IF($AO95=999,0,INDEX(AL$198:AL$313,$AO95))</f>
        <v>128.91999999999999</v>
      </c>
      <c r="BB95" s="252" t="str">
        <f>INDEX(pMenus!$C$10:$C$23,MATCH(AU95,pMenus!$B$10:$B$23,0))</f>
        <v>Urban Connectors</v>
      </c>
      <c r="BC95" s="221">
        <f t="shared" si="67"/>
        <v>3842.1133411514706</v>
      </c>
      <c r="BD95" s="237">
        <f t="shared" si="68"/>
        <v>8049.3500330914931</v>
      </c>
      <c r="BE95" s="188" t="s">
        <v>591</v>
      </c>
      <c r="BF95" s="188" t="str">
        <f t="shared" si="54"/>
        <v>Manawatu/Whanganui Region</v>
      </c>
      <c r="BG95" s="188" t="str">
        <f t="shared" si="55"/>
        <v>Combined</v>
      </c>
      <c r="BH95" s="188" t="str">
        <f t="shared" si="56"/>
        <v>2019/20</v>
      </c>
      <c r="BI95" s="188" t="str">
        <f t="shared" si="57"/>
        <v>URBAN</v>
      </c>
      <c r="BJ95" s="188" t="str">
        <f t="shared" si="58"/>
        <v>Urban Connectors</v>
      </c>
      <c r="BK95" s="188">
        <f t="shared" si="59"/>
        <v>161.92000000000002</v>
      </c>
      <c r="BL95" s="188">
        <f t="shared" si="60"/>
        <v>-2.1999999999999999E-2</v>
      </c>
      <c r="BM95" s="188">
        <f t="shared" si="61"/>
        <v>161.58000000000001</v>
      </c>
      <c r="BN95" s="188">
        <f t="shared" si="62"/>
        <v>0.34</v>
      </c>
      <c r="BO95" s="188">
        <f t="shared" si="63"/>
        <v>328.67</v>
      </c>
      <c r="BP95" s="188">
        <f t="shared" si="64"/>
        <v>295.45000000000005</v>
      </c>
      <c r="BQ95" s="253" t="str">
        <f>INDEX(pMenus!$D$10:$D$23,MATCH(BJ95,pMenus!$B$10:$B$23,0))</f>
        <v>Urban Connectors</v>
      </c>
      <c r="BR95" s="226">
        <f t="shared" si="69"/>
        <v>2462.8108887167091</v>
      </c>
      <c r="BS95" s="238">
        <f t="shared" si="70"/>
        <v>4999.0863067843411</v>
      </c>
    </row>
    <row r="96" spans="1:71">
      <c r="A96" s="202"/>
      <c r="B96" s="210" t="str">
        <f t="shared" si="45"/>
        <v>NA Local LTA Roads Nelson Marlborough Region</v>
      </c>
      <c r="C96" s="193">
        <f t="shared" ref="C96:C136" si="71">BO96</f>
        <v>214.96</v>
      </c>
      <c r="D96" s="193">
        <f t="shared" ref="D96:D136" si="72">BP96</f>
        <v>17.759999999999998</v>
      </c>
      <c r="E96" s="194">
        <f t="shared" si="46"/>
        <v>226.35622556091988</v>
      </c>
      <c r="F96" s="202"/>
      <c r="AA96" s="185" t="s">
        <v>412</v>
      </c>
      <c r="AB96" s="185" t="s">
        <v>435</v>
      </c>
      <c r="AC96" s="185" t="s">
        <v>401</v>
      </c>
      <c r="AD96" s="185" t="s">
        <v>331</v>
      </c>
      <c r="AE96" s="185"/>
      <c r="AF96" s="185" t="s">
        <v>402</v>
      </c>
      <c r="AG96" s="240">
        <f t="shared" ref="AG96:AG107" si="73">AG352</f>
        <v>125.22</v>
      </c>
      <c r="AH96" s="240"/>
      <c r="AI96" s="240">
        <f t="shared" ref="AI96:AL107" si="74">AI352</f>
        <v>63.89</v>
      </c>
      <c r="AJ96" s="240">
        <f t="shared" si="74"/>
        <v>61.33</v>
      </c>
      <c r="AK96" s="240">
        <f t="shared" si="74"/>
        <v>215.96</v>
      </c>
      <c r="AL96" s="240">
        <f t="shared" si="74"/>
        <v>20</v>
      </c>
      <c r="AM96" s="186">
        <v>129</v>
      </c>
      <c r="AN96" s="186" t="str">
        <f t="shared" si="47"/>
        <v>Nelson Marlborough RegionUnclassified</v>
      </c>
      <c r="AO96" s="186">
        <f t="shared" si="48"/>
        <v>41</v>
      </c>
      <c r="AP96" s="187" t="s">
        <v>1105</v>
      </c>
      <c r="AQ96" s="187" t="str">
        <f t="shared" si="49"/>
        <v>Nelson Marlborough Region</v>
      </c>
      <c r="AR96" s="187" t="str">
        <f t="shared" si="50"/>
        <v>Combined</v>
      </c>
      <c r="AS96" s="187" t="str">
        <f t="shared" si="51"/>
        <v>2019/20</v>
      </c>
      <c r="AT96" s="187">
        <f t="shared" si="52"/>
        <v>0</v>
      </c>
      <c r="AU96" s="187" t="str">
        <f t="shared" si="53"/>
        <v>Unclassified</v>
      </c>
      <c r="AV96" s="187" cm="1">
        <f t="array" ref="AV96">IF($AO96=999,0,INDEX(AG$198:AG$313,$AO96))</f>
        <v>0.5</v>
      </c>
      <c r="AW96" s="187" cm="1">
        <f t="array" ref="AW96">IF($AO96=999,0,INDEX(AH$198:AH$313,$AO96))</f>
        <v>8.0000000000000004E-4</v>
      </c>
      <c r="AX96" s="187" cm="1">
        <f t="array" ref="AX96">IF($AO96=999,0,INDEX(AI$198:AI$313,$AO96))</f>
        <v>0.5</v>
      </c>
      <c r="AY96" s="187" cm="1">
        <f t="array" ref="AY96">IF($AO96=999,0,INDEX(AJ$198:AJ$313,$AO96))</f>
        <v>0</v>
      </c>
      <c r="AZ96" s="187" cm="1">
        <f t="array" ref="AZ96">IF($AO96=999,0,INDEX(AK$198:AK$313,$AO96))</f>
        <v>1</v>
      </c>
      <c r="BA96" s="187" cm="1">
        <f t="array" ref="BA96">IF($AO96=999,0,INDEX(AL$198:AL$313,$AO96))</f>
        <v>2.2400000000000002</v>
      </c>
      <c r="BB96" s="252" t="str">
        <f>INDEX(pMenus!$C$10:$C$23,MATCH(AU96,pMenus!$B$10:$B$23,0))</f>
        <v>NA</v>
      </c>
      <c r="BC96" s="221">
        <f t="shared" si="67"/>
        <v>6136.9863013698632</v>
      </c>
      <c r="BD96" s="237">
        <f t="shared" si="68"/>
        <v>12273.972602739726</v>
      </c>
      <c r="BE96" s="188" t="s">
        <v>591</v>
      </c>
      <c r="BF96" s="188" t="str">
        <f t="shared" si="54"/>
        <v>Nelson Marlborough Region</v>
      </c>
      <c r="BG96" s="188" t="str">
        <f t="shared" si="55"/>
        <v>Combined</v>
      </c>
      <c r="BH96" s="188" t="str">
        <f t="shared" si="56"/>
        <v>2019/20</v>
      </c>
      <c r="BI96" s="188">
        <f t="shared" si="57"/>
        <v>0</v>
      </c>
      <c r="BJ96" s="188" t="str">
        <f t="shared" si="58"/>
        <v>Unclassified</v>
      </c>
      <c r="BK96" s="188">
        <f t="shared" si="59"/>
        <v>124.72</v>
      </c>
      <c r="BL96" s="188">
        <f t="shared" si="60"/>
        <v>-8.0000000000000004E-4</v>
      </c>
      <c r="BM96" s="188">
        <f t="shared" si="61"/>
        <v>63.39</v>
      </c>
      <c r="BN96" s="188">
        <f t="shared" si="62"/>
        <v>61.33</v>
      </c>
      <c r="BO96" s="188">
        <f t="shared" si="63"/>
        <v>214.96</v>
      </c>
      <c r="BP96" s="188">
        <f t="shared" si="64"/>
        <v>17.759999999999998</v>
      </c>
      <c r="BQ96" s="253" t="str">
        <f>INDEX(pMenus!$D$10:$D$23,MATCH(BJ96,pMenus!$B$10:$B$23,0))</f>
        <v>NA</v>
      </c>
      <c r="BR96" s="226">
        <f t="shared" si="69"/>
        <v>226.35622556091988</v>
      </c>
      <c r="BS96" s="238">
        <f t="shared" si="70"/>
        <v>390.13417452353536</v>
      </c>
    </row>
    <row r="97" spans="1:71" ht="25.5">
      <c r="A97" s="202"/>
      <c r="B97" s="210" t="str">
        <f t="shared" si="45"/>
        <v>Interregional Connectors Local LTA Roads Nelson Marlborough Region</v>
      </c>
      <c r="C97" s="193">
        <f t="shared" si="71"/>
        <v>0</v>
      </c>
      <c r="D97" s="193">
        <f t="shared" si="72"/>
        <v>0</v>
      </c>
      <c r="E97" s="194">
        <f t="shared" si="46"/>
        <v>0</v>
      </c>
      <c r="F97" s="202"/>
      <c r="AA97" s="185" t="s">
        <v>412</v>
      </c>
      <c r="AB97" s="185" t="s">
        <v>435</v>
      </c>
      <c r="AC97" s="185" t="s">
        <v>401</v>
      </c>
      <c r="AD97" s="185" t="s">
        <v>331</v>
      </c>
      <c r="AE97" s="185" t="s">
        <v>403</v>
      </c>
      <c r="AF97" s="185" t="s">
        <v>404</v>
      </c>
      <c r="AG97" s="240">
        <f t="shared" si="73"/>
        <v>220.43</v>
      </c>
      <c r="AH97" s="240"/>
      <c r="AI97" s="240">
        <f t="shared" si="74"/>
        <v>220.43</v>
      </c>
      <c r="AJ97" s="240">
        <f t="shared" si="74"/>
        <v>0</v>
      </c>
      <c r="AK97" s="240">
        <f t="shared" si="74"/>
        <v>458.31</v>
      </c>
      <c r="AL97" s="240">
        <f t="shared" si="74"/>
        <v>421.34</v>
      </c>
      <c r="AM97" s="186">
        <v>130</v>
      </c>
      <c r="AN97" s="186" t="str">
        <f t="shared" si="47"/>
        <v>Nelson Marlborough RegionInterregional Connectors</v>
      </c>
      <c r="AO97" s="186">
        <f t="shared" si="48"/>
        <v>42</v>
      </c>
      <c r="AP97" s="187" t="s">
        <v>1105</v>
      </c>
      <c r="AQ97" s="187" t="str">
        <f t="shared" si="49"/>
        <v>Nelson Marlborough Region</v>
      </c>
      <c r="AR97" s="187" t="str">
        <f t="shared" si="50"/>
        <v>Combined</v>
      </c>
      <c r="AS97" s="187" t="str">
        <f t="shared" si="51"/>
        <v>2019/20</v>
      </c>
      <c r="AT97" s="187" t="str">
        <f t="shared" si="52"/>
        <v>RURAL</v>
      </c>
      <c r="AU97" s="187" t="str">
        <f t="shared" si="53"/>
        <v>Interregional Connectors</v>
      </c>
      <c r="AV97" s="187" cm="1">
        <f t="array" ref="AV97">IF($AO97=999,0,INDEX(AG$198:AG$313,$AO97))</f>
        <v>220.43</v>
      </c>
      <c r="AW97" s="187" cm="1">
        <f t="array" ref="AW97">IF($AO97=999,0,INDEX(AH$198:AH$313,$AO97))</f>
        <v>0.33839999999999998</v>
      </c>
      <c r="AX97" s="187" cm="1">
        <f t="array" ref="AX97">IF($AO97=999,0,INDEX(AI$198:AI$313,$AO97))</f>
        <v>220.43</v>
      </c>
      <c r="AY97" s="187" cm="1">
        <f t="array" ref="AY97">IF($AO97=999,0,INDEX(AJ$198:AJ$313,$AO97))</f>
        <v>0</v>
      </c>
      <c r="AZ97" s="187" cm="1">
        <f t="array" ref="AZ97">IF($AO97=999,0,INDEX(AK$198:AK$313,$AO97))</f>
        <v>458.31</v>
      </c>
      <c r="BA97" s="187" cm="1">
        <f t="array" ref="BA97">IF($AO97=999,0,INDEX(AL$198:AL$313,$AO97))</f>
        <v>421.34</v>
      </c>
      <c r="BB97" s="252" t="str">
        <f>INDEX(pMenus!$C$10:$C$23,MATCH(AU97,pMenus!$B$10:$B$23,0))</f>
        <v>Interregional Connectors</v>
      </c>
      <c r="BC97" s="221">
        <f t="shared" si="67"/>
        <v>2518.7234936692666</v>
      </c>
      <c r="BD97" s="237">
        <f t="shared" si="68"/>
        <v>5236.8378368804679</v>
      </c>
      <c r="BE97" s="188" t="s">
        <v>591</v>
      </c>
      <c r="BF97" s="188" t="str">
        <f t="shared" si="54"/>
        <v>Nelson Marlborough Region</v>
      </c>
      <c r="BG97" s="188" t="str">
        <f t="shared" si="55"/>
        <v>Combined</v>
      </c>
      <c r="BH97" s="188" t="str">
        <f t="shared" si="56"/>
        <v>2019/20</v>
      </c>
      <c r="BI97" s="188" t="str">
        <f t="shared" si="57"/>
        <v>RURAL</v>
      </c>
      <c r="BJ97" s="188" t="str">
        <f t="shared" si="58"/>
        <v>Interregional Connectors</v>
      </c>
      <c r="BK97" s="188">
        <f t="shared" si="59"/>
        <v>0</v>
      </c>
      <c r="BL97" s="188">
        <f t="shared" si="60"/>
        <v>-0.33839999999999998</v>
      </c>
      <c r="BM97" s="188">
        <f t="shared" si="61"/>
        <v>0</v>
      </c>
      <c r="BN97" s="188">
        <f t="shared" si="62"/>
        <v>0</v>
      </c>
      <c r="BO97" s="188">
        <f t="shared" si="63"/>
        <v>0</v>
      </c>
      <c r="BP97" s="188">
        <f t="shared" si="64"/>
        <v>0</v>
      </c>
      <c r="BQ97" s="253" t="str">
        <f>INDEX(pMenus!$D$10:$D$23,MATCH(BJ97,pMenus!$B$10:$B$23,0))</f>
        <v>Interregional Connectors</v>
      </c>
      <c r="BR97" s="226">
        <f t="shared" si="69"/>
        <v>0</v>
      </c>
      <c r="BS97" s="238">
        <f t="shared" si="70"/>
        <v>0</v>
      </c>
    </row>
    <row r="98" spans="1:71">
      <c r="A98" s="202"/>
      <c r="B98" s="210" t="str">
        <f t="shared" si="45"/>
        <v>Rural Connectors Local LTA Roads Nelson Marlborough Region</v>
      </c>
      <c r="C98" s="193">
        <f t="shared" si="71"/>
        <v>105.7</v>
      </c>
      <c r="D98" s="193">
        <f t="shared" si="72"/>
        <v>16.380000000000003</v>
      </c>
      <c r="E98" s="194">
        <f t="shared" si="46"/>
        <v>424.56681484169468</v>
      </c>
      <c r="F98" s="202"/>
      <c r="AA98" s="185" t="s">
        <v>412</v>
      </c>
      <c r="AB98" s="185" t="s">
        <v>435</v>
      </c>
      <c r="AC98" s="185" t="s">
        <v>401</v>
      </c>
      <c r="AD98" s="185" t="s">
        <v>331</v>
      </c>
      <c r="AE98" s="185" t="s">
        <v>403</v>
      </c>
      <c r="AF98" s="185" t="s">
        <v>405</v>
      </c>
      <c r="AG98" s="240">
        <f t="shared" si="73"/>
        <v>61.84</v>
      </c>
      <c r="AH98" s="240"/>
      <c r="AI98" s="240">
        <f t="shared" si="74"/>
        <v>60.31</v>
      </c>
      <c r="AJ98" s="240">
        <f t="shared" si="74"/>
        <v>1.53</v>
      </c>
      <c r="AK98" s="240">
        <f t="shared" si="74"/>
        <v>120.95</v>
      </c>
      <c r="AL98" s="240">
        <f t="shared" si="74"/>
        <v>43.84</v>
      </c>
      <c r="AM98" s="186">
        <v>131</v>
      </c>
      <c r="AN98" s="186" t="str">
        <f t="shared" si="47"/>
        <v>Nelson Marlborough RegionPeri-urban Roads</v>
      </c>
      <c r="AO98" s="186">
        <f t="shared" si="48"/>
        <v>43</v>
      </c>
      <c r="AP98" s="187" t="s">
        <v>1105</v>
      </c>
      <c r="AQ98" s="187" t="str">
        <f t="shared" si="49"/>
        <v>Nelson Marlborough Region</v>
      </c>
      <c r="AR98" s="187" t="str">
        <f t="shared" si="50"/>
        <v>Combined</v>
      </c>
      <c r="AS98" s="187" t="str">
        <f t="shared" si="51"/>
        <v>2019/20</v>
      </c>
      <c r="AT98" s="187" t="str">
        <f t="shared" si="52"/>
        <v>RURAL</v>
      </c>
      <c r="AU98" s="187" t="str">
        <f t="shared" si="53"/>
        <v>Peri-urban Roads</v>
      </c>
      <c r="AV98" s="187" cm="1">
        <f t="array" ref="AV98">IF($AO98=999,0,INDEX(AG$198:AG$313,$AO98))</f>
        <v>7.62</v>
      </c>
      <c r="AW98" s="187" cm="1">
        <f t="array" ref="AW98">IF($AO98=999,0,INDEX(AH$198:AH$313,$AO98))</f>
        <v>1.17E-2</v>
      </c>
      <c r="AX98" s="187" cm="1">
        <f t="array" ref="AX98">IF($AO98=999,0,INDEX(AI$198:AI$313,$AO98))</f>
        <v>7.62</v>
      </c>
      <c r="AY98" s="187" cm="1">
        <f t="array" ref="AY98">IF($AO98=999,0,INDEX(AJ$198:AJ$313,$AO98))</f>
        <v>0</v>
      </c>
      <c r="AZ98" s="187" cm="1">
        <f t="array" ref="AZ98">IF($AO98=999,0,INDEX(AK$198:AK$313,$AO98))</f>
        <v>15.25</v>
      </c>
      <c r="BA98" s="187" cm="1">
        <f t="array" ref="BA98">IF($AO98=999,0,INDEX(AL$198:AL$313,$AO98))</f>
        <v>27.46</v>
      </c>
      <c r="BB98" s="252" t="str">
        <f>INDEX(pMenus!$C$10:$C$23,MATCH(AU98,pMenus!$B$10:$B$23,0))</f>
        <v>Interregional Connectors</v>
      </c>
      <c r="BC98" s="221">
        <f t="shared" si="67"/>
        <v>4933.303390972379</v>
      </c>
      <c r="BD98" s="237">
        <f t="shared" si="68"/>
        <v>9873.0809333764773</v>
      </c>
      <c r="BE98" s="188" t="s">
        <v>591</v>
      </c>
      <c r="BF98" s="188" t="str">
        <f t="shared" si="54"/>
        <v>Nelson Marlborough Region</v>
      </c>
      <c r="BG98" s="188" t="str">
        <f t="shared" si="55"/>
        <v>Combined</v>
      </c>
      <c r="BH98" s="188" t="str">
        <f t="shared" si="56"/>
        <v>2019/20</v>
      </c>
      <c r="BI98" s="188" t="str">
        <f t="shared" si="57"/>
        <v>RURAL</v>
      </c>
      <c r="BJ98" s="188" t="str">
        <f t="shared" si="58"/>
        <v>Peri-urban Roads</v>
      </c>
      <c r="BK98" s="188">
        <f t="shared" si="59"/>
        <v>54.220000000000006</v>
      </c>
      <c r="BL98" s="188">
        <f t="shared" si="60"/>
        <v>-1.17E-2</v>
      </c>
      <c r="BM98" s="188">
        <f t="shared" si="61"/>
        <v>52.690000000000005</v>
      </c>
      <c r="BN98" s="188">
        <f t="shared" si="62"/>
        <v>1.53</v>
      </c>
      <c r="BO98" s="188">
        <f t="shared" si="63"/>
        <v>105.7</v>
      </c>
      <c r="BP98" s="188">
        <f t="shared" si="64"/>
        <v>16.380000000000003</v>
      </c>
      <c r="BQ98" s="253" t="str">
        <f>INDEX(pMenus!$D$10:$D$23,MATCH(BJ98,pMenus!$B$10:$B$23,0))</f>
        <v>Rural Connectors</v>
      </c>
      <c r="BR98" s="226">
        <f t="shared" si="69"/>
        <v>424.56681484169468</v>
      </c>
      <c r="BS98" s="238">
        <f t="shared" si="70"/>
        <v>827.67820598980325</v>
      </c>
    </row>
    <row r="99" spans="1:71">
      <c r="A99" s="202"/>
      <c r="B99" s="210" t="str">
        <f t="shared" si="45"/>
        <v>Rural Connectors Local LTA Roads Nelson Marlborough Region</v>
      </c>
      <c r="C99" s="193">
        <f t="shared" si="71"/>
        <v>1192.23</v>
      </c>
      <c r="D99" s="193">
        <f t="shared" si="72"/>
        <v>155.26000000000002</v>
      </c>
      <c r="E99" s="194">
        <f t="shared" si="46"/>
        <v>356.78506916760921</v>
      </c>
      <c r="F99" s="202"/>
      <c r="AA99" s="185" t="s">
        <v>412</v>
      </c>
      <c r="AB99" s="185" t="s">
        <v>435</v>
      </c>
      <c r="AC99" s="185" t="s">
        <v>401</v>
      </c>
      <c r="AD99" s="185" t="s">
        <v>331</v>
      </c>
      <c r="AE99" s="185" t="s">
        <v>403</v>
      </c>
      <c r="AF99" s="185" t="s">
        <v>406</v>
      </c>
      <c r="AG99" s="240">
        <f t="shared" si="73"/>
        <v>964.21</v>
      </c>
      <c r="AH99" s="240"/>
      <c r="AI99" s="240">
        <f t="shared" si="74"/>
        <v>940.40000000000009</v>
      </c>
      <c r="AJ99" s="240">
        <f t="shared" si="74"/>
        <v>23.81</v>
      </c>
      <c r="AK99" s="240">
        <f t="shared" si="74"/>
        <v>1926.0900000000001</v>
      </c>
      <c r="AL99" s="240">
        <f t="shared" si="74"/>
        <v>380.6</v>
      </c>
      <c r="AM99" s="186">
        <v>132</v>
      </c>
      <c r="AN99" s="186" t="str">
        <f t="shared" si="47"/>
        <v>Nelson Marlborough RegionRural Connectors</v>
      </c>
      <c r="AO99" s="186">
        <f t="shared" si="48"/>
        <v>44</v>
      </c>
      <c r="AP99" s="187" t="s">
        <v>1105</v>
      </c>
      <c r="AQ99" s="187" t="str">
        <f t="shared" si="49"/>
        <v>Nelson Marlborough Region</v>
      </c>
      <c r="AR99" s="187" t="str">
        <f t="shared" si="50"/>
        <v>Combined</v>
      </c>
      <c r="AS99" s="187" t="str">
        <f t="shared" si="51"/>
        <v>2019/20</v>
      </c>
      <c r="AT99" s="187" t="str">
        <f t="shared" si="52"/>
        <v>RURAL</v>
      </c>
      <c r="AU99" s="187" t="str">
        <f t="shared" si="53"/>
        <v>Rural Connectors</v>
      </c>
      <c r="AV99" s="187" cm="1">
        <f t="array" ref="AV99">IF($AO99=999,0,INDEX(AG$198:AG$313,$AO99))</f>
        <v>363.97</v>
      </c>
      <c r="AW99" s="187" cm="1">
        <f t="array" ref="AW99">IF($AO99=999,0,INDEX(AH$198:AH$313,$AO99))</f>
        <v>0.55869999999999997</v>
      </c>
      <c r="AX99" s="187" cm="1">
        <f t="array" ref="AX99">IF($AO99=999,0,INDEX(AI$198:AI$313,$AO99))</f>
        <v>363.97</v>
      </c>
      <c r="AY99" s="187" cm="1">
        <f t="array" ref="AY99">IF($AO99=999,0,INDEX(AJ$198:AJ$313,$AO99))</f>
        <v>0</v>
      </c>
      <c r="AZ99" s="187" cm="1">
        <f t="array" ref="AZ99">IF($AO99=999,0,INDEX(AK$198:AK$313,$AO99))</f>
        <v>733.86</v>
      </c>
      <c r="BA99" s="187" cm="1">
        <f t="array" ref="BA99">IF($AO99=999,0,INDEX(AL$198:AL$313,$AO99))</f>
        <v>225.34</v>
      </c>
      <c r="BB99" s="252" t="str">
        <f>INDEX(pMenus!$C$10:$C$23,MATCH(AU99,pMenus!$B$10:$B$23,0))</f>
        <v>Rural Connectors</v>
      </c>
      <c r="BC99" s="221">
        <f t="shared" si="67"/>
        <v>841.26381464270935</v>
      </c>
      <c r="BD99" s="237">
        <f t="shared" si="68"/>
        <v>1696.2108498329494</v>
      </c>
      <c r="BE99" s="188" t="s">
        <v>591</v>
      </c>
      <c r="BF99" s="188" t="str">
        <f t="shared" si="54"/>
        <v>Nelson Marlborough Region</v>
      </c>
      <c r="BG99" s="188" t="str">
        <f t="shared" si="55"/>
        <v>Combined</v>
      </c>
      <c r="BH99" s="188" t="str">
        <f t="shared" si="56"/>
        <v>2019/20</v>
      </c>
      <c r="BI99" s="188" t="str">
        <f t="shared" si="57"/>
        <v>RURAL</v>
      </c>
      <c r="BJ99" s="188" t="str">
        <f t="shared" si="58"/>
        <v>Rural Connectors</v>
      </c>
      <c r="BK99" s="188">
        <f t="shared" si="59"/>
        <v>600.24</v>
      </c>
      <c r="BL99" s="188">
        <f t="shared" si="60"/>
        <v>-0.55869999999999997</v>
      </c>
      <c r="BM99" s="188">
        <f t="shared" si="61"/>
        <v>576.43000000000006</v>
      </c>
      <c r="BN99" s="188">
        <f t="shared" si="62"/>
        <v>23.81</v>
      </c>
      <c r="BO99" s="188">
        <f t="shared" si="63"/>
        <v>1192.23</v>
      </c>
      <c r="BP99" s="188">
        <f t="shared" si="64"/>
        <v>155.26000000000002</v>
      </c>
      <c r="BQ99" s="253" t="str">
        <f>INDEX(pMenus!$D$10:$D$23,MATCH(BJ99,pMenus!$B$10:$B$23,0))</f>
        <v>Rural Connectors</v>
      </c>
      <c r="BR99" s="226">
        <f t="shared" si="69"/>
        <v>356.78506916760921</v>
      </c>
      <c r="BS99" s="238">
        <f t="shared" si="70"/>
        <v>708.66630516743078</v>
      </c>
    </row>
    <row r="100" spans="1:71">
      <c r="A100" s="202"/>
      <c r="B100" s="210" t="str">
        <f t="shared" si="45"/>
        <v>Rural Connectors Local LTA Roads Nelson Marlborough Region</v>
      </c>
      <c r="C100" s="193">
        <f t="shared" si="71"/>
        <v>3663.6000000000004</v>
      </c>
      <c r="D100" s="193">
        <f t="shared" si="72"/>
        <v>74.069999999999993</v>
      </c>
      <c r="E100" s="194">
        <f t="shared" si="46"/>
        <v>55.391283668881705</v>
      </c>
      <c r="F100" s="202"/>
      <c r="AA100" s="185" t="s">
        <v>412</v>
      </c>
      <c r="AB100" s="185" t="s">
        <v>435</v>
      </c>
      <c r="AC100" s="185" t="s">
        <v>401</v>
      </c>
      <c r="AD100" s="185" t="s">
        <v>331</v>
      </c>
      <c r="AE100" s="185" t="s">
        <v>403</v>
      </c>
      <c r="AF100" s="185" t="s">
        <v>414</v>
      </c>
      <c r="AG100" s="240">
        <f t="shared" si="73"/>
        <v>2106.85</v>
      </c>
      <c r="AH100" s="240"/>
      <c r="AI100" s="240">
        <f t="shared" si="74"/>
        <v>825.5</v>
      </c>
      <c r="AJ100" s="240">
        <f t="shared" si="74"/>
        <v>1281.3499999999999</v>
      </c>
      <c r="AK100" s="240">
        <f t="shared" si="74"/>
        <v>3663.6000000000004</v>
      </c>
      <c r="AL100" s="240">
        <f t="shared" si="74"/>
        <v>74.069999999999993</v>
      </c>
      <c r="AM100" s="186">
        <v>133</v>
      </c>
      <c r="AN100" s="186" t="str">
        <f t="shared" si="47"/>
        <v>Nelson Marlborough RegionRural Roads</v>
      </c>
      <c r="AO100" s="186">
        <f t="shared" si="48"/>
        <v>999</v>
      </c>
      <c r="AP100" s="187" t="s">
        <v>1105</v>
      </c>
      <c r="AQ100" s="187" t="str">
        <f t="shared" si="49"/>
        <v>Nelson Marlborough Region</v>
      </c>
      <c r="AR100" s="187" t="str">
        <f t="shared" si="50"/>
        <v>Combined</v>
      </c>
      <c r="AS100" s="187" t="str">
        <f t="shared" si="51"/>
        <v>2019/20</v>
      </c>
      <c r="AT100" s="187" t="str">
        <f t="shared" si="52"/>
        <v>RURAL</v>
      </c>
      <c r="AU100" s="187" t="str">
        <f t="shared" si="53"/>
        <v>Rural Roads</v>
      </c>
      <c r="AV100" s="187" cm="1">
        <f t="array" ref="AV100">IF($AO100=999,0,INDEX(AG$198:AG$313,$AO100))</f>
        <v>0</v>
      </c>
      <c r="AW100" s="187" cm="1">
        <f t="array" ref="AW100">IF($AO100=999,0,INDEX(AH$198:AH$313,$AO100))</f>
        <v>0</v>
      </c>
      <c r="AX100" s="187" cm="1">
        <f t="array" ref="AX100">IF($AO100=999,0,INDEX(AI$198:AI$313,$AO100))</f>
        <v>0</v>
      </c>
      <c r="AY100" s="187" cm="1">
        <f t="array" ref="AY100">IF($AO100=999,0,INDEX(AJ$198:AJ$313,$AO100))</f>
        <v>0</v>
      </c>
      <c r="AZ100" s="187" cm="1">
        <f t="array" ref="AZ100">IF($AO100=999,0,INDEX(AK$198:AK$313,$AO100))</f>
        <v>0</v>
      </c>
      <c r="BA100" s="187" cm="1">
        <f t="array" ref="BA100">IF($AO100=999,0,INDEX(AL$198:AL$313,$AO100))</f>
        <v>0</v>
      </c>
      <c r="BB100" s="252" t="str">
        <f>INDEX(pMenus!$C$10:$C$23,MATCH(AU100,pMenus!$B$10:$B$23,0))</f>
        <v>NA</v>
      </c>
      <c r="BC100" s="221">
        <f t="shared" si="67"/>
        <v>0</v>
      </c>
      <c r="BD100" s="237">
        <f t="shared" si="68"/>
        <v>0</v>
      </c>
      <c r="BE100" s="188" t="s">
        <v>591</v>
      </c>
      <c r="BF100" s="188" t="str">
        <f t="shared" si="54"/>
        <v>Nelson Marlborough Region</v>
      </c>
      <c r="BG100" s="188" t="str">
        <f t="shared" si="55"/>
        <v>Combined</v>
      </c>
      <c r="BH100" s="188" t="str">
        <f t="shared" si="56"/>
        <v>2019/20</v>
      </c>
      <c r="BI100" s="188" t="str">
        <f t="shared" si="57"/>
        <v>RURAL</v>
      </c>
      <c r="BJ100" s="188" t="str">
        <f t="shared" si="58"/>
        <v>Rural Roads</v>
      </c>
      <c r="BK100" s="188">
        <f t="shared" si="59"/>
        <v>2106.85</v>
      </c>
      <c r="BL100" s="188">
        <f t="shared" si="60"/>
        <v>0</v>
      </c>
      <c r="BM100" s="188">
        <f t="shared" si="61"/>
        <v>825.5</v>
      </c>
      <c r="BN100" s="188">
        <f t="shared" si="62"/>
        <v>1281.3499999999999</v>
      </c>
      <c r="BO100" s="188">
        <f t="shared" si="63"/>
        <v>3663.6000000000004</v>
      </c>
      <c r="BP100" s="188">
        <f t="shared" si="64"/>
        <v>74.069999999999993</v>
      </c>
      <c r="BQ100" s="253" t="str">
        <f>INDEX(pMenus!$D$10:$D$23,MATCH(BJ100,pMenus!$B$10:$B$23,0))</f>
        <v>Rural Connectors</v>
      </c>
      <c r="BR100" s="226">
        <f t="shared" si="69"/>
        <v>55.391283668881705</v>
      </c>
      <c r="BS100" s="238">
        <f t="shared" si="70"/>
        <v>96.319864655440597</v>
      </c>
    </row>
    <row r="101" spans="1:71">
      <c r="A101" s="202"/>
      <c r="B101" s="210" t="str">
        <f t="shared" si="45"/>
        <v>Rural Connectors Local LTA Roads Nelson Marlborough Region</v>
      </c>
      <c r="C101" s="193">
        <f t="shared" si="71"/>
        <v>17.819999999999997</v>
      </c>
      <c r="D101" s="193">
        <f t="shared" si="72"/>
        <v>2.4699999999999998</v>
      </c>
      <c r="E101" s="194">
        <f t="shared" si="46"/>
        <v>379.74878157526558</v>
      </c>
      <c r="F101" s="202"/>
      <c r="AA101" s="185" t="s">
        <v>412</v>
      </c>
      <c r="AB101" s="185" t="s">
        <v>435</v>
      </c>
      <c r="AC101" s="185" t="s">
        <v>401</v>
      </c>
      <c r="AD101" s="185" t="s">
        <v>331</v>
      </c>
      <c r="AE101" s="185" t="s">
        <v>403</v>
      </c>
      <c r="AF101" s="185" t="s">
        <v>415</v>
      </c>
      <c r="AG101" s="240">
        <f t="shared" si="73"/>
        <v>8.9</v>
      </c>
      <c r="AH101" s="240"/>
      <c r="AI101" s="240">
        <f t="shared" si="74"/>
        <v>8.7799999999999994</v>
      </c>
      <c r="AJ101" s="240">
        <f t="shared" si="74"/>
        <v>0.12</v>
      </c>
      <c r="AK101" s="240">
        <f t="shared" si="74"/>
        <v>17.819999999999997</v>
      </c>
      <c r="AL101" s="240">
        <f t="shared" si="74"/>
        <v>2.4699999999999998</v>
      </c>
      <c r="AM101" s="186">
        <v>134</v>
      </c>
      <c r="AN101" s="186" t="str">
        <f t="shared" si="47"/>
        <v>Nelson Marlborough RegionStopping Places</v>
      </c>
      <c r="AO101" s="186">
        <f t="shared" si="48"/>
        <v>999</v>
      </c>
      <c r="AP101" s="187" t="s">
        <v>1105</v>
      </c>
      <c r="AQ101" s="187" t="str">
        <f t="shared" si="49"/>
        <v>Nelson Marlborough Region</v>
      </c>
      <c r="AR101" s="187" t="str">
        <f t="shared" si="50"/>
        <v>Combined</v>
      </c>
      <c r="AS101" s="187" t="str">
        <f t="shared" si="51"/>
        <v>2019/20</v>
      </c>
      <c r="AT101" s="187" t="str">
        <f t="shared" si="52"/>
        <v>RURAL</v>
      </c>
      <c r="AU101" s="187" t="str">
        <f t="shared" si="53"/>
        <v>Stopping Places</v>
      </c>
      <c r="AV101" s="187" cm="1">
        <f t="array" ref="AV101">IF($AO101=999,0,INDEX(AG$198:AG$313,$AO101))</f>
        <v>0</v>
      </c>
      <c r="AW101" s="187" cm="1">
        <f t="array" ref="AW101">IF($AO101=999,0,INDEX(AH$198:AH$313,$AO101))</f>
        <v>0</v>
      </c>
      <c r="AX101" s="187" cm="1">
        <f t="array" ref="AX101">IF($AO101=999,0,INDEX(AI$198:AI$313,$AO101))</f>
        <v>0</v>
      </c>
      <c r="AY101" s="187" cm="1">
        <f t="array" ref="AY101">IF($AO101=999,0,INDEX(AJ$198:AJ$313,$AO101))</f>
        <v>0</v>
      </c>
      <c r="AZ101" s="187" cm="1">
        <f t="array" ref="AZ101">IF($AO101=999,0,INDEX(AK$198:AK$313,$AO101))</f>
        <v>0</v>
      </c>
      <c r="BA101" s="187" cm="1">
        <f t="array" ref="BA101">IF($AO101=999,0,INDEX(AL$198:AL$313,$AO101))</f>
        <v>0</v>
      </c>
      <c r="BB101" s="252" t="str">
        <f>INDEX(pMenus!$C$10:$C$23,MATCH(AU101,pMenus!$B$10:$B$23,0))</f>
        <v>Interregional Connectors</v>
      </c>
      <c r="BC101" s="221">
        <f t="shared" si="67"/>
        <v>0</v>
      </c>
      <c r="BD101" s="237">
        <f t="shared" si="68"/>
        <v>0</v>
      </c>
      <c r="BE101" s="188" t="s">
        <v>591</v>
      </c>
      <c r="BF101" s="188" t="str">
        <f t="shared" si="54"/>
        <v>Nelson Marlborough Region</v>
      </c>
      <c r="BG101" s="188" t="str">
        <f t="shared" si="55"/>
        <v>Combined</v>
      </c>
      <c r="BH101" s="188" t="str">
        <f t="shared" si="56"/>
        <v>2019/20</v>
      </c>
      <c r="BI101" s="188" t="str">
        <f t="shared" si="57"/>
        <v>RURAL</v>
      </c>
      <c r="BJ101" s="188" t="str">
        <f t="shared" si="58"/>
        <v>Stopping Places</v>
      </c>
      <c r="BK101" s="188">
        <f t="shared" si="59"/>
        <v>8.9</v>
      </c>
      <c r="BL101" s="188">
        <f t="shared" si="60"/>
        <v>0</v>
      </c>
      <c r="BM101" s="188">
        <f t="shared" si="61"/>
        <v>8.7799999999999994</v>
      </c>
      <c r="BN101" s="188">
        <f t="shared" si="62"/>
        <v>0.12</v>
      </c>
      <c r="BO101" s="188">
        <f t="shared" si="63"/>
        <v>17.819999999999997</v>
      </c>
      <c r="BP101" s="188">
        <f t="shared" si="64"/>
        <v>2.4699999999999998</v>
      </c>
      <c r="BQ101" s="253" t="str">
        <f>INDEX(pMenus!$D$10:$D$23,MATCH(BJ101,pMenus!$B$10:$B$23,0))</f>
        <v>Rural Connectors</v>
      </c>
      <c r="BR101" s="226">
        <f t="shared" si="69"/>
        <v>379.74878157526558</v>
      </c>
      <c r="BS101" s="238">
        <f t="shared" si="70"/>
        <v>760.35093119901478</v>
      </c>
    </row>
    <row r="102" spans="1:71">
      <c r="A102" s="202"/>
      <c r="B102" s="210" t="str">
        <f t="shared" si="45"/>
        <v>Activity Streets Local LTA Roads Nelson Marlborough Region</v>
      </c>
      <c r="C102" s="193">
        <f t="shared" si="71"/>
        <v>94.580000000000013</v>
      </c>
      <c r="D102" s="193">
        <f t="shared" si="72"/>
        <v>79.94</v>
      </c>
      <c r="E102" s="194">
        <f t="shared" si="46"/>
        <v>2315.6449421668108</v>
      </c>
      <c r="F102" s="202"/>
      <c r="AA102" s="185" t="s">
        <v>412</v>
      </c>
      <c r="AB102" s="185" t="s">
        <v>435</v>
      </c>
      <c r="AC102" s="185" t="s">
        <v>401</v>
      </c>
      <c r="AD102" s="185" t="s">
        <v>331</v>
      </c>
      <c r="AE102" s="185" t="s">
        <v>407</v>
      </c>
      <c r="AF102" s="185" t="s">
        <v>408</v>
      </c>
      <c r="AG102" s="240">
        <f t="shared" si="73"/>
        <v>57.67</v>
      </c>
      <c r="AH102" s="240"/>
      <c r="AI102" s="240">
        <f t="shared" si="74"/>
        <v>57.67</v>
      </c>
      <c r="AJ102" s="240">
        <f t="shared" si="74"/>
        <v>0</v>
      </c>
      <c r="AK102" s="240">
        <f t="shared" si="74"/>
        <v>111.18</v>
      </c>
      <c r="AL102" s="240">
        <f t="shared" si="74"/>
        <v>118.47</v>
      </c>
      <c r="AM102" s="186">
        <v>135</v>
      </c>
      <c r="AN102" s="186" t="str">
        <f t="shared" si="47"/>
        <v>Nelson Marlborough RegionActivity Streets</v>
      </c>
      <c r="AO102" s="186">
        <f t="shared" si="48"/>
        <v>45</v>
      </c>
      <c r="AP102" s="187" t="s">
        <v>1105</v>
      </c>
      <c r="AQ102" s="187" t="str">
        <f t="shared" si="49"/>
        <v>Nelson Marlborough Region</v>
      </c>
      <c r="AR102" s="187" t="str">
        <f t="shared" si="50"/>
        <v>Combined</v>
      </c>
      <c r="AS102" s="187" t="str">
        <f t="shared" si="51"/>
        <v>2019/20</v>
      </c>
      <c r="AT102" s="187" t="str">
        <f t="shared" si="52"/>
        <v>URBAN</v>
      </c>
      <c r="AU102" s="187" t="str">
        <f t="shared" si="53"/>
        <v>Activity Streets</v>
      </c>
      <c r="AV102" s="187" cm="1">
        <f t="array" ref="AV102">IF($AO102=999,0,INDEX(AG$198:AG$313,$AO102))</f>
        <v>9.3000000000000007</v>
      </c>
      <c r="AW102" s="187" cm="1">
        <f t="array" ref="AW102">IF($AO102=999,0,INDEX(AH$198:AH$313,$AO102))</f>
        <v>1.43E-2</v>
      </c>
      <c r="AX102" s="187" cm="1">
        <f t="array" ref="AX102">IF($AO102=999,0,INDEX(AI$198:AI$313,$AO102))</f>
        <v>9.3000000000000007</v>
      </c>
      <c r="AY102" s="187" cm="1">
        <f t="array" ref="AY102">IF($AO102=999,0,INDEX(AJ$198:AJ$313,$AO102))</f>
        <v>0</v>
      </c>
      <c r="AZ102" s="187" cm="1">
        <f t="array" ref="AZ102">IF($AO102=999,0,INDEX(AK$198:AK$313,$AO102))</f>
        <v>16.600000000000001</v>
      </c>
      <c r="BA102" s="187" cm="1">
        <f t="array" ref="BA102">IF($AO102=999,0,INDEX(AL$198:AL$313,$AO102))</f>
        <v>38.53</v>
      </c>
      <c r="BB102" s="252" t="str">
        <f>INDEX(pMenus!$C$10:$C$23,MATCH(AU102,pMenus!$B$10:$B$23,0))</f>
        <v>Urban Connectors</v>
      </c>
      <c r="BC102" s="221">
        <f t="shared" si="67"/>
        <v>6359.1351708202674</v>
      </c>
      <c r="BD102" s="237">
        <f t="shared" si="68"/>
        <v>11350.714390926498</v>
      </c>
      <c r="BE102" s="188" t="s">
        <v>591</v>
      </c>
      <c r="BF102" s="188" t="str">
        <f t="shared" si="54"/>
        <v>Nelson Marlborough Region</v>
      </c>
      <c r="BG102" s="188" t="str">
        <f t="shared" si="55"/>
        <v>Combined</v>
      </c>
      <c r="BH102" s="188" t="str">
        <f t="shared" si="56"/>
        <v>2019/20</v>
      </c>
      <c r="BI102" s="188" t="str">
        <f t="shared" si="57"/>
        <v>URBAN</v>
      </c>
      <c r="BJ102" s="188" t="str">
        <f t="shared" si="58"/>
        <v>Activity Streets</v>
      </c>
      <c r="BK102" s="188">
        <f t="shared" si="59"/>
        <v>48.370000000000005</v>
      </c>
      <c r="BL102" s="188">
        <f t="shared" si="60"/>
        <v>-1.43E-2</v>
      </c>
      <c r="BM102" s="188">
        <f t="shared" si="61"/>
        <v>48.370000000000005</v>
      </c>
      <c r="BN102" s="188">
        <f t="shared" si="62"/>
        <v>0</v>
      </c>
      <c r="BO102" s="188">
        <f t="shared" si="63"/>
        <v>94.580000000000013</v>
      </c>
      <c r="BP102" s="188">
        <f t="shared" si="64"/>
        <v>79.94</v>
      </c>
      <c r="BQ102" s="253" t="str">
        <f>INDEX(pMenus!$D$10:$D$23,MATCH(BJ102,pMenus!$B$10:$B$23,0))</f>
        <v>Activity Streets</v>
      </c>
      <c r="BR102" s="226">
        <f t="shared" si="69"/>
        <v>2315.6449421668108</v>
      </c>
      <c r="BS102" s="238">
        <f t="shared" si="70"/>
        <v>4527.8829570009711</v>
      </c>
    </row>
    <row r="103" spans="1:71">
      <c r="A103" s="202"/>
      <c r="B103" s="210" t="str">
        <f t="shared" si="45"/>
        <v>Rural Connectors Local LTA Roads Nelson Marlborough Region</v>
      </c>
      <c r="C103" s="193">
        <f t="shared" si="71"/>
        <v>0.74</v>
      </c>
      <c r="D103" s="193">
        <f t="shared" si="72"/>
        <v>0.27</v>
      </c>
      <c r="E103" s="194">
        <f t="shared" si="46"/>
        <v>999.62976675305458</v>
      </c>
      <c r="F103" s="202"/>
      <c r="AA103" s="185" t="s">
        <v>412</v>
      </c>
      <c r="AB103" s="185" t="s">
        <v>435</v>
      </c>
      <c r="AC103" s="185" t="s">
        <v>401</v>
      </c>
      <c r="AD103" s="185" t="s">
        <v>331</v>
      </c>
      <c r="AE103" s="185" t="s">
        <v>407</v>
      </c>
      <c r="AF103" s="185" t="s">
        <v>417</v>
      </c>
      <c r="AG103" s="240">
        <f t="shared" si="73"/>
        <v>0.45</v>
      </c>
      <c r="AH103" s="240"/>
      <c r="AI103" s="240">
        <f t="shared" si="74"/>
        <v>0.45</v>
      </c>
      <c r="AJ103" s="240">
        <f t="shared" si="74"/>
        <v>0</v>
      </c>
      <c r="AK103" s="240">
        <f t="shared" si="74"/>
        <v>0.74</v>
      </c>
      <c r="AL103" s="240">
        <f t="shared" si="74"/>
        <v>0.27</v>
      </c>
      <c r="AM103" s="186">
        <v>136</v>
      </c>
      <c r="AN103" s="186" t="str">
        <f t="shared" si="47"/>
        <v>Nelson Marlborough RegionCivic Spaces</v>
      </c>
      <c r="AO103" s="186">
        <f t="shared" si="48"/>
        <v>999</v>
      </c>
      <c r="AP103" s="187" t="s">
        <v>1105</v>
      </c>
      <c r="AQ103" s="187" t="str">
        <f t="shared" si="49"/>
        <v>Nelson Marlborough Region</v>
      </c>
      <c r="AR103" s="187" t="str">
        <f t="shared" si="50"/>
        <v>Combined</v>
      </c>
      <c r="AS103" s="187" t="str">
        <f t="shared" si="51"/>
        <v>2019/20</v>
      </c>
      <c r="AT103" s="187" t="str">
        <f t="shared" si="52"/>
        <v>URBAN</v>
      </c>
      <c r="AU103" s="187" t="str">
        <f t="shared" si="53"/>
        <v>Civic Spaces</v>
      </c>
      <c r="AV103" s="187" cm="1">
        <f t="array" ref="AV103">IF($AO103=999,0,INDEX(AG$198:AG$313,$AO103))</f>
        <v>0</v>
      </c>
      <c r="AW103" s="187" cm="1">
        <f t="array" ref="AW103">IF($AO103=999,0,INDEX(AH$198:AH$313,$AO103))</f>
        <v>0</v>
      </c>
      <c r="AX103" s="187" cm="1">
        <f t="array" ref="AX103">IF($AO103=999,0,INDEX(AI$198:AI$313,$AO103))</f>
        <v>0</v>
      </c>
      <c r="AY103" s="187" cm="1">
        <f t="array" ref="AY103">IF($AO103=999,0,INDEX(AJ$198:AJ$313,$AO103))</f>
        <v>0</v>
      </c>
      <c r="AZ103" s="187" cm="1">
        <f t="array" ref="AZ103">IF($AO103=999,0,INDEX(AK$198:AK$313,$AO103))</f>
        <v>0</v>
      </c>
      <c r="BA103" s="187" cm="1">
        <f t="array" ref="BA103">IF($AO103=999,0,INDEX(AL$198:AL$313,$AO103))</f>
        <v>0</v>
      </c>
      <c r="BB103" s="252" t="str">
        <f>INDEX(pMenus!$C$10:$C$23,MATCH(AU103,pMenus!$B$10:$B$23,0))</f>
        <v>NA</v>
      </c>
      <c r="BC103" s="221">
        <f t="shared" si="67"/>
        <v>0</v>
      </c>
      <c r="BD103" s="237">
        <f t="shared" si="68"/>
        <v>0</v>
      </c>
      <c r="BE103" s="188" t="s">
        <v>591</v>
      </c>
      <c r="BF103" s="188" t="str">
        <f t="shared" si="54"/>
        <v>Nelson Marlborough Region</v>
      </c>
      <c r="BG103" s="188" t="str">
        <f t="shared" si="55"/>
        <v>Combined</v>
      </c>
      <c r="BH103" s="188" t="str">
        <f t="shared" si="56"/>
        <v>2019/20</v>
      </c>
      <c r="BI103" s="188" t="str">
        <f t="shared" si="57"/>
        <v>URBAN</v>
      </c>
      <c r="BJ103" s="188" t="str">
        <f t="shared" si="58"/>
        <v>Civic Spaces</v>
      </c>
      <c r="BK103" s="188">
        <f t="shared" si="59"/>
        <v>0.45</v>
      </c>
      <c r="BL103" s="188">
        <f t="shared" si="60"/>
        <v>0</v>
      </c>
      <c r="BM103" s="188">
        <f t="shared" si="61"/>
        <v>0.45</v>
      </c>
      <c r="BN103" s="188">
        <f t="shared" si="62"/>
        <v>0</v>
      </c>
      <c r="BO103" s="188">
        <f t="shared" si="63"/>
        <v>0.74</v>
      </c>
      <c r="BP103" s="188">
        <f t="shared" si="64"/>
        <v>0.27</v>
      </c>
      <c r="BQ103" s="253" t="str">
        <f>INDEX(pMenus!$D$10:$D$23,MATCH(BJ103,pMenus!$B$10:$B$23,0))</f>
        <v>Rural Connectors</v>
      </c>
      <c r="BR103" s="226">
        <f t="shared" si="69"/>
        <v>999.62976675305458</v>
      </c>
      <c r="BS103" s="238">
        <f t="shared" si="70"/>
        <v>1643.8356164383561</v>
      </c>
    </row>
    <row r="104" spans="1:71">
      <c r="A104" s="202"/>
      <c r="B104" s="210" t="str">
        <f t="shared" si="45"/>
        <v>Rural Connectors Local LTA Roads Nelson Marlborough Region</v>
      </c>
      <c r="C104" s="193">
        <f t="shared" si="71"/>
        <v>917.58999999999992</v>
      </c>
      <c r="D104" s="193">
        <f t="shared" si="72"/>
        <v>89.58</v>
      </c>
      <c r="E104" s="194">
        <f t="shared" si="46"/>
        <v>267.46657824763412</v>
      </c>
      <c r="F104" s="202"/>
      <c r="AA104" s="185" t="s">
        <v>412</v>
      </c>
      <c r="AB104" s="185" t="s">
        <v>435</v>
      </c>
      <c r="AC104" s="185" t="s">
        <v>401</v>
      </c>
      <c r="AD104" s="185" t="s">
        <v>331</v>
      </c>
      <c r="AE104" s="185" t="s">
        <v>407</v>
      </c>
      <c r="AF104" s="185" t="s">
        <v>418</v>
      </c>
      <c r="AG104" s="240">
        <f t="shared" si="73"/>
        <v>474.40999999999997</v>
      </c>
      <c r="AH104" s="240"/>
      <c r="AI104" s="240">
        <f t="shared" si="74"/>
        <v>470.64</v>
      </c>
      <c r="AJ104" s="240">
        <f t="shared" si="74"/>
        <v>3.77</v>
      </c>
      <c r="AK104" s="240">
        <f t="shared" si="74"/>
        <v>917.58999999999992</v>
      </c>
      <c r="AL104" s="240">
        <f t="shared" si="74"/>
        <v>89.58</v>
      </c>
      <c r="AM104" s="186">
        <v>137</v>
      </c>
      <c r="AN104" s="186" t="str">
        <f t="shared" si="47"/>
        <v>Nelson Marlborough RegionLocal Streets</v>
      </c>
      <c r="AO104" s="186">
        <f t="shared" si="48"/>
        <v>999</v>
      </c>
      <c r="AP104" s="187" t="s">
        <v>1105</v>
      </c>
      <c r="AQ104" s="187" t="str">
        <f t="shared" si="49"/>
        <v>Nelson Marlborough Region</v>
      </c>
      <c r="AR104" s="187" t="str">
        <f t="shared" si="50"/>
        <v>Combined</v>
      </c>
      <c r="AS104" s="187" t="str">
        <f t="shared" si="51"/>
        <v>2019/20</v>
      </c>
      <c r="AT104" s="187" t="str">
        <f t="shared" si="52"/>
        <v>URBAN</v>
      </c>
      <c r="AU104" s="187" t="str">
        <f t="shared" si="53"/>
        <v>Local Streets</v>
      </c>
      <c r="AV104" s="187" cm="1">
        <f t="array" ref="AV104">IF($AO104=999,0,INDEX(AG$198:AG$313,$AO104))</f>
        <v>0</v>
      </c>
      <c r="AW104" s="187" cm="1">
        <f t="array" ref="AW104">IF($AO104=999,0,INDEX(AH$198:AH$313,$AO104))</f>
        <v>0</v>
      </c>
      <c r="AX104" s="187" cm="1">
        <f t="array" ref="AX104">IF($AO104=999,0,INDEX(AI$198:AI$313,$AO104))</f>
        <v>0</v>
      </c>
      <c r="AY104" s="187" cm="1">
        <f t="array" ref="AY104">IF($AO104=999,0,INDEX(AJ$198:AJ$313,$AO104))</f>
        <v>0</v>
      </c>
      <c r="AZ104" s="187" cm="1">
        <f t="array" ref="AZ104">IF($AO104=999,0,INDEX(AK$198:AK$313,$AO104))</f>
        <v>0</v>
      </c>
      <c r="BA104" s="187" cm="1">
        <f t="array" ref="BA104">IF($AO104=999,0,INDEX(AL$198:AL$313,$AO104))</f>
        <v>0</v>
      </c>
      <c r="BB104" s="252" t="str">
        <f>INDEX(pMenus!$C$10:$C$23,MATCH(AU104,pMenus!$B$10:$B$23,0))</f>
        <v>NA</v>
      </c>
      <c r="BC104" s="221">
        <f t="shared" si="67"/>
        <v>0</v>
      </c>
      <c r="BD104" s="237">
        <f t="shared" si="68"/>
        <v>0</v>
      </c>
      <c r="BE104" s="188" t="s">
        <v>591</v>
      </c>
      <c r="BF104" s="188" t="str">
        <f t="shared" si="54"/>
        <v>Nelson Marlborough Region</v>
      </c>
      <c r="BG104" s="188" t="str">
        <f t="shared" si="55"/>
        <v>Combined</v>
      </c>
      <c r="BH104" s="188" t="str">
        <f t="shared" si="56"/>
        <v>2019/20</v>
      </c>
      <c r="BI104" s="188" t="str">
        <f t="shared" si="57"/>
        <v>URBAN</v>
      </c>
      <c r="BJ104" s="188" t="str">
        <f t="shared" si="58"/>
        <v>Local Streets</v>
      </c>
      <c r="BK104" s="188">
        <f t="shared" si="59"/>
        <v>474.40999999999997</v>
      </c>
      <c r="BL104" s="188">
        <f t="shared" si="60"/>
        <v>0</v>
      </c>
      <c r="BM104" s="188">
        <f t="shared" si="61"/>
        <v>470.64</v>
      </c>
      <c r="BN104" s="188">
        <f t="shared" si="62"/>
        <v>3.77</v>
      </c>
      <c r="BO104" s="188">
        <f t="shared" si="63"/>
        <v>917.58999999999992</v>
      </c>
      <c r="BP104" s="188">
        <f t="shared" si="64"/>
        <v>89.58</v>
      </c>
      <c r="BQ104" s="253" t="str">
        <f>INDEX(pMenus!$D$10:$D$23,MATCH(BJ104,pMenus!$B$10:$B$23,0))</f>
        <v>Rural Connectors</v>
      </c>
      <c r="BR104" s="226">
        <f t="shared" si="69"/>
        <v>267.46657824763412</v>
      </c>
      <c r="BS104" s="238">
        <f t="shared" si="70"/>
        <v>517.32606297136772</v>
      </c>
    </row>
    <row r="105" spans="1:71">
      <c r="A105" s="202"/>
      <c r="B105" s="210" t="str">
        <f t="shared" si="45"/>
        <v>Urban Connectors Local LTA Roads Nelson Marlborough Region</v>
      </c>
      <c r="C105" s="193">
        <f t="shared" si="71"/>
        <v>4.8100000000000005</v>
      </c>
      <c r="D105" s="193">
        <f t="shared" si="72"/>
        <v>5.85</v>
      </c>
      <c r="E105" s="194">
        <f t="shared" si="46"/>
        <v>3332.0992225101809</v>
      </c>
      <c r="F105" s="202"/>
      <c r="AA105" s="185" t="s">
        <v>412</v>
      </c>
      <c r="AB105" s="185" t="s">
        <v>435</v>
      </c>
      <c r="AC105" s="185" t="s">
        <v>401</v>
      </c>
      <c r="AD105" s="185" t="s">
        <v>331</v>
      </c>
      <c r="AE105" s="185" t="s">
        <v>407</v>
      </c>
      <c r="AF105" s="185" t="s">
        <v>409</v>
      </c>
      <c r="AG105" s="240">
        <f t="shared" si="73"/>
        <v>2.93</v>
      </c>
      <c r="AH105" s="240"/>
      <c r="AI105" s="240">
        <f t="shared" si="74"/>
        <v>2.93</v>
      </c>
      <c r="AJ105" s="240">
        <f t="shared" si="74"/>
        <v>0</v>
      </c>
      <c r="AK105" s="240">
        <f t="shared" si="74"/>
        <v>5.87</v>
      </c>
      <c r="AL105" s="240">
        <f t="shared" si="74"/>
        <v>7.9399999999999995</v>
      </c>
      <c r="AM105" s="186">
        <v>138</v>
      </c>
      <c r="AN105" s="186" t="str">
        <f t="shared" si="47"/>
        <v>Nelson Marlborough RegionMain Streets</v>
      </c>
      <c r="AO105" s="186">
        <f t="shared" si="48"/>
        <v>46</v>
      </c>
      <c r="AP105" s="187" t="s">
        <v>1105</v>
      </c>
      <c r="AQ105" s="187" t="str">
        <f t="shared" si="49"/>
        <v>Nelson Marlborough Region</v>
      </c>
      <c r="AR105" s="187" t="str">
        <f t="shared" si="50"/>
        <v>Combined</v>
      </c>
      <c r="AS105" s="187" t="str">
        <f t="shared" si="51"/>
        <v>2019/20</v>
      </c>
      <c r="AT105" s="187" t="str">
        <f t="shared" si="52"/>
        <v>URBAN</v>
      </c>
      <c r="AU105" s="187" t="str">
        <f t="shared" si="53"/>
        <v>Main Streets</v>
      </c>
      <c r="AV105" s="187" cm="1">
        <f t="array" ref="AV105">IF($AO105=999,0,INDEX(AG$198:AG$313,$AO105))</f>
        <v>0.53</v>
      </c>
      <c r="AW105" s="187" cm="1">
        <f t="array" ref="AW105">IF($AO105=999,0,INDEX(AH$198:AH$313,$AO105))</f>
        <v>8.0000000000000004E-4</v>
      </c>
      <c r="AX105" s="187" cm="1">
        <f t="array" ref="AX105">IF($AO105=999,0,INDEX(AI$198:AI$313,$AO105))</f>
        <v>0.53</v>
      </c>
      <c r="AY105" s="187" cm="1">
        <f t="array" ref="AY105">IF($AO105=999,0,INDEX(AJ$198:AJ$313,$AO105))</f>
        <v>0</v>
      </c>
      <c r="AZ105" s="187" cm="1">
        <f t="array" ref="AZ105">IF($AO105=999,0,INDEX(AK$198:AK$313,$AO105))</f>
        <v>1.06</v>
      </c>
      <c r="BA105" s="187" cm="1">
        <f t="array" ref="BA105">IF($AO105=999,0,INDEX(AL$198:AL$313,$AO105))</f>
        <v>2.09</v>
      </c>
      <c r="BB105" s="252" t="str">
        <f>INDEX(pMenus!$C$10:$C$23,MATCH(AU105,pMenus!$B$10:$B$23,0))</f>
        <v>Urban Connectors</v>
      </c>
      <c r="BC105" s="221">
        <f t="shared" si="67"/>
        <v>5401.9126389247858</v>
      </c>
      <c r="BD105" s="237">
        <f t="shared" si="68"/>
        <v>10803.825277849572</v>
      </c>
      <c r="BE105" s="188" t="s">
        <v>591</v>
      </c>
      <c r="BF105" s="188" t="str">
        <f t="shared" si="54"/>
        <v>Nelson Marlborough Region</v>
      </c>
      <c r="BG105" s="188" t="str">
        <f t="shared" si="55"/>
        <v>Combined</v>
      </c>
      <c r="BH105" s="188" t="str">
        <f t="shared" si="56"/>
        <v>2019/20</v>
      </c>
      <c r="BI105" s="188" t="str">
        <f t="shared" si="57"/>
        <v>URBAN</v>
      </c>
      <c r="BJ105" s="188" t="str">
        <f t="shared" si="58"/>
        <v>Main Streets</v>
      </c>
      <c r="BK105" s="188">
        <f t="shared" si="59"/>
        <v>2.4000000000000004</v>
      </c>
      <c r="BL105" s="188">
        <f t="shared" si="60"/>
        <v>-8.0000000000000004E-4</v>
      </c>
      <c r="BM105" s="188">
        <f t="shared" si="61"/>
        <v>2.4000000000000004</v>
      </c>
      <c r="BN105" s="188">
        <f t="shared" si="62"/>
        <v>0</v>
      </c>
      <c r="BO105" s="188">
        <f t="shared" si="63"/>
        <v>4.8100000000000005</v>
      </c>
      <c r="BP105" s="188">
        <f t="shared" si="64"/>
        <v>5.85</v>
      </c>
      <c r="BQ105" s="253" t="str">
        <f>INDEX(pMenus!$D$10:$D$23,MATCH(BJ105,pMenus!$B$10:$B$23,0))</f>
        <v>Urban Connectors</v>
      </c>
      <c r="BR105" s="226">
        <f t="shared" si="69"/>
        <v>3332.0992225101809</v>
      </c>
      <c r="BS105" s="238">
        <f t="shared" si="70"/>
        <v>6678.0821917808207</v>
      </c>
    </row>
    <row r="106" spans="1:71">
      <c r="A106" s="202"/>
      <c r="B106" s="210" t="str">
        <f t="shared" si="45"/>
        <v>Urban Connectors Local LTA Roads Nelson Marlborough Region</v>
      </c>
      <c r="C106" s="193">
        <f t="shared" si="71"/>
        <v>0</v>
      </c>
      <c r="D106" s="193">
        <f t="shared" si="72"/>
        <v>0</v>
      </c>
      <c r="E106" s="194">
        <f t="shared" si="46"/>
        <v>0</v>
      </c>
      <c r="F106" s="202"/>
      <c r="AA106" s="185" t="s">
        <v>412</v>
      </c>
      <c r="AB106" s="185" t="s">
        <v>435</v>
      </c>
      <c r="AC106" s="185" t="s">
        <v>401</v>
      </c>
      <c r="AD106" s="185" t="s">
        <v>331</v>
      </c>
      <c r="AE106" s="185" t="s">
        <v>407</v>
      </c>
      <c r="AF106" s="185" t="s">
        <v>410</v>
      </c>
      <c r="AG106" s="240">
        <f t="shared" si="73"/>
        <v>12.84</v>
      </c>
      <c r="AH106" s="240"/>
      <c r="AI106" s="240">
        <f t="shared" si="74"/>
        <v>12.84</v>
      </c>
      <c r="AJ106" s="240">
        <f t="shared" si="74"/>
        <v>0</v>
      </c>
      <c r="AK106" s="240">
        <f t="shared" si="74"/>
        <v>20.37</v>
      </c>
      <c r="AL106" s="240">
        <f t="shared" si="74"/>
        <v>61.76</v>
      </c>
      <c r="AM106" s="186">
        <v>139</v>
      </c>
      <c r="AN106" s="186" t="str">
        <f t="shared" si="47"/>
        <v>Nelson Marlborough RegionTransit Corridors</v>
      </c>
      <c r="AO106" s="186">
        <f t="shared" si="48"/>
        <v>47</v>
      </c>
      <c r="AP106" s="187" t="s">
        <v>1105</v>
      </c>
      <c r="AQ106" s="187" t="str">
        <f t="shared" si="49"/>
        <v>Nelson Marlborough Region</v>
      </c>
      <c r="AR106" s="187" t="str">
        <f t="shared" si="50"/>
        <v>Combined</v>
      </c>
      <c r="AS106" s="187" t="str">
        <f t="shared" si="51"/>
        <v>2019/20</v>
      </c>
      <c r="AT106" s="187" t="str">
        <f t="shared" si="52"/>
        <v>URBAN</v>
      </c>
      <c r="AU106" s="187" t="str">
        <f t="shared" si="53"/>
        <v>Transit Corridors</v>
      </c>
      <c r="AV106" s="187" cm="1">
        <f t="array" ref="AV106">IF($AO106=999,0,INDEX(AG$198:AG$313,$AO106))</f>
        <v>12.84</v>
      </c>
      <c r="AW106" s="187" cm="1">
        <f t="array" ref="AW106">IF($AO106=999,0,INDEX(AH$198:AH$313,$AO106))</f>
        <v>1.9699999999999999E-2</v>
      </c>
      <c r="AX106" s="187" cm="1">
        <f t="array" ref="AX106">IF($AO106=999,0,INDEX(AI$198:AI$313,$AO106))</f>
        <v>12.84</v>
      </c>
      <c r="AY106" s="187" cm="1">
        <f t="array" ref="AY106">IF($AO106=999,0,INDEX(AJ$198:AJ$313,$AO106))</f>
        <v>0</v>
      </c>
      <c r="AZ106" s="187" cm="1">
        <f t="array" ref="AZ106">IF($AO106=999,0,INDEX(AK$198:AK$313,$AO106))</f>
        <v>20.37</v>
      </c>
      <c r="BA106" s="187" cm="1">
        <f t="array" ref="BA106">IF($AO106=999,0,INDEX(AL$198:AL$313,$AO106))</f>
        <v>61.76</v>
      </c>
      <c r="BB106" s="252" t="str">
        <f>INDEX(pMenus!$C$10:$C$23,MATCH(AU106,pMenus!$B$10:$B$23,0))</f>
        <v>Transit Corridors</v>
      </c>
      <c r="BC106" s="221">
        <f t="shared" si="67"/>
        <v>8306.6018385888456</v>
      </c>
      <c r="BD106" s="237">
        <f t="shared" si="68"/>
        <v>13177.99684206034</v>
      </c>
      <c r="BE106" s="188" t="s">
        <v>591</v>
      </c>
      <c r="BF106" s="188" t="str">
        <f t="shared" si="54"/>
        <v>Nelson Marlborough Region</v>
      </c>
      <c r="BG106" s="188" t="str">
        <f t="shared" si="55"/>
        <v>Combined</v>
      </c>
      <c r="BH106" s="188" t="str">
        <f t="shared" si="56"/>
        <v>2019/20</v>
      </c>
      <c r="BI106" s="188" t="str">
        <f t="shared" si="57"/>
        <v>URBAN</v>
      </c>
      <c r="BJ106" s="188" t="str">
        <f t="shared" si="58"/>
        <v>Transit Corridors</v>
      </c>
      <c r="BK106" s="188">
        <f t="shared" si="59"/>
        <v>0</v>
      </c>
      <c r="BL106" s="188">
        <f t="shared" si="60"/>
        <v>-1.9699999999999999E-2</v>
      </c>
      <c r="BM106" s="188">
        <f t="shared" si="61"/>
        <v>0</v>
      </c>
      <c r="BN106" s="188">
        <f t="shared" si="62"/>
        <v>0</v>
      </c>
      <c r="BO106" s="188">
        <f t="shared" si="63"/>
        <v>0</v>
      </c>
      <c r="BP106" s="188">
        <f t="shared" si="64"/>
        <v>0</v>
      </c>
      <c r="BQ106" s="253" t="str">
        <f>INDEX(pMenus!$D$10:$D$23,MATCH(BJ106,pMenus!$B$10:$B$23,0))</f>
        <v>Urban Connectors</v>
      </c>
      <c r="BR106" s="226">
        <f t="shared" si="69"/>
        <v>0</v>
      </c>
      <c r="BS106" s="238">
        <f t="shared" si="70"/>
        <v>0</v>
      </c>
    </row>
    <row r="107" spans="1:71">
      <c r="A107" s="202"/>
      <c r="B107" s="210" t="str">
        <f t="shared" si="45"/>
        <v>Urban Connectors Local LTA Roads Nelson Marlborough Region</v>
      </c>
      <c r="C107" s="193">
        <f t="shared" si="71"/>
        <v>187.93</v>
      </c>
      <c r="D107" s="193">
        <f t="shared" si="72"/>
        <v>186.99999999999997</v>
      </c>
      <c r="E107" s="194">
        <f t="shared" si="46"/>
        <v>2726.1680791959111</v>
      </c>
      <c r="F107" s="202"/>
      <c r="AA107" s="185" t="s">
        <v>412</v>
      </c>
      <c r="AB107" s="185" t="s">
        <v>435</v>
      </c>
      <c r="AC107" s="185" t="s">
        <v>401</v>
      </c>
      <c r="AD107" s="185" t="s">
        <v>331</v>
      </c>
      <c r="AE107" s="185" t="s">
        <v>407</v>
      </c>
      <c r="AF107" s="185" t="s">
        <v>411</v>
      </c>
      <c r="AG107" s="240">
        <f t="shared" si="73"/>
        <v>130.66999999999999</v>
      </c>
      <c r="AH107" s="240"/>
      <c r="AI107" s="240">
        <f t="shared" si="74"/>
        <v>130.66999999999999</v>
      </c>
      <c r="AJ107" s="240">
        <f t="shared" si="74"/>
        <v>0</v>
      </c>
      <c r="AK107" s="240">
        <f t="shared" si="74"/>
        <v>261.74</v>
      </c>
      <c r="AL107" s="240">
        <f t="shared" si="74"/>
        <v>314.09999999999997</v>
      </c>
      <c r="AM107" s="186">
        <v>140</v>
      </c>
      <c r="AN107" s="186" t="str">
        <f t="shared" si="47"/>
        <v>Nelson Marlborough RegionUrban Connectors</v>
      </c>
      <c r="AO107" s="186">
        <f t="shared" si="48"/>
        <v>48</v>
      </c>
      <c r="AP107" s="187" t="s">
        <v>1105</v>
      </c>
      <c r="AQ107" s="187" t="str">
        <f t="shared" si="49"/>
        <v>Nelson Marlborough Region</v>
      </c>
      <c r="AR107" s="187" t="str">
        <f t="shared" si="50"/>
        <v>Combined</v>
      </c>
      <c r="AS107" s="187" t="str">
        <f t="shared" si="51"/>
        <v>2019/20</v>
      </c>
      <c r="AT107" s="187" t="str">
        <f t="shared" si="52"/>
        <v>URBAN</v>
      </c>
      <c r="AU107" s="187" t="str">
        <f t="shared" si="53"/>
        <v>Urban Connectors</v>
      </c>
      <c r="AV107" s="187" cm="1">
        <f t="array" ref="AV107">IF($AO107=999,0,INDEX(AG$198:AG$313,$AO107))</f>
        <v>36.270000000000003</v>
      </c>
      <c r="AW107" s="187" cm="1">
        <f t="array" ref="AW107">IF($AO107=999,0,INDEX(AH$198:AH$313,$AO107))</f>
        <v>5.57E-2</v>
      </c>
      <c r="AX107" s="187" cm="1">
        <f t="array" ref="AX107">IF($AO107=999,0,INDEX(AI$198:AI$313,$AO107))</f>
        <v>36.270000000000003</v>
      </c>
      <c r="AY107" s="187" cm="1">
        <f t="array" ref="AY107">IF($AO107=999,0,INDEX(AJ$198:AJ$313,$AO107))</f>
        <v>0</v>
      </c>
      <c r="AZ107" s="187" cm="1">
        <f t="array" ref="AZ107">IF($AO107=999,0,INDEX(AK$198:AK$313,$AO107))</f>
        <v>73.81</v>
      </c>
      <c r="BA107" s="187" cm="1">
        <f t="array" ref="BA107">IF($AO107=999,0,INDEX(AL$198:AL$313,$AO107))</f>
        <v>127.1</v>
      </c>
      <c r="BB107" s="252" t="str">
        <f>INDEX(pMenus!$C$10:$C$23,MATCH(AU107,pMenus!$B$10:$B$23,0))</f>
        <v>Urban Connectors</v>
      </c>
      <c r="BC107" s="221">
        <f t="shared" si="67"/>
        <v>4717.7777819020694</v>
      </c>
      <c r="BD107" s="237">
        <f t="shared" si="68"/>
        <v>9600.749326776724</v>
      </c>
      <c r="BE107" s="188" t="s">
        <v>591</v>
      </c>
      <c r="BF107" s="188" t="str">
        <f t="shared" si="54"/>
        <v>Nelson Marlborough Region</v>
      </c>
      <c r="BG107" s="188" t="str">
        <f t="shared" si="55"/>
        <v>Combined</v>
      </c>
      <c r="BH107" s="188" t="str">
        <f t="shared" si="56"/>
        <v>2019/20</v>
      </c>
      <c r="BI107" s="188" t="str">
        <f t="shared" si="57"/>
        <v>URBAN</v>
      </c>
      <c r="BJ107" s="188" t="str">
        <f t="shared" si="58"/>
        <v>Urban Connectors</v>
      </c>
      <c r="BK107" s="188">
        <f t="shared" si="59"/>
        <v>94.399999999999977</v>
      </c>
      <c r="BL107" s="188">
        <f t="shared" si="60"/>
        <v>-5.57E-2</v>
      </c>
      <c r="BM107" s="188">
        <f t="shared" si="61"/>
        <v>94.399999999999977</v>
      </c>
      <c r="BN107" s="188">
        <f t="shared" si="62"/>
        <v>0</v>
      </c>
      <c r="BO107" s="188">
        <f t="shared" si="63"/>
        <v>187.93</v>
      </c>
      <c r="BP107" s="188">
        <f t="shared" si="64"/>
        <v>186.99999999999997</v>
      </c>
      <c r="BQ107" s="253" t="str">
        <f>INDEX(pMenus!$D$10:$D$23,MATCH(BJ107,pMenus!$B$10:$B$23,0))</f>
        <v>Urban Connectors</v>
      </c>
      <c r="BR107" s="226">
        <f t="shared" si="69"/>
        <v>2726.1680791959111</v>
      </c>
      <c r="BS107" s="238">
        <f t="shared" si="70"/>
        <v>5427.2115161365227</v>
      </c>
    </row>
    <row r="108" spans="1:71">
      <c r="A108" s="202"/>
      <c r="B108" s="210" t="str">
        <f t="shared" si="45"/>
        <v>NA Local LTA Roads Northland Region</v>
      </c>
      <c r="C108" s="193">
        <f t="shared" si="71"/>
        <v>7771.11</v>
      </c>
      <c r="D108" s="193">
        <f t="shared" si="72"/>
        <v>458.41</v>
      </c>
      <c r="E108" s="194">
        <f t="shared" si="46"/>
        <v>161.61369588375126</v>
      </c>
      <c r="F108" s="202"/>
      <c r="AA108" s="185" t="s">
        <v>412</v>
      </c>
      <c r="AB108" s="185" t="s">
        <v>427</v>
      </c>
      <c r="AC108" s="185" t="s">
        <v>401</v>
      </c>
      <c r="AD108" s="185" t="s">
        <v>331</v>
      </c>
      <c r="AE108" s="185"/>
      <c r="AF108" s="185" t="s">
        <v>402</v>
      </c>
      <c r="AG108" s="185">
        <v>4111.49</v>
      </c>
      <c r="AH108" s="185">
        <v>0.61709999999999998</v>
      </c>
      <c r="AI108" s="185">
        <v>1355.61</v>
      </c>
      <c r="AJ108" s="185">
        <v>2755.88</v>
      </c>
      <c r="AK108" s="185">
        <v>7798.33</v>
      </c>
      <c r="AL108" s="185">
        <v>483.72</v>
      </c>
      <c r="AM108" s="186">
        <v>158</v>
      </c>
      <c r="AN108" s="186" t="str">
        <f t="shared" si="47"/>
        <v>Northland RegionUnclassified</v>
      </c>
      <c r="AO108" s="186">
        <f t="shared" si="48"/>
        <v>49</v>
      </c>
      <c r="AP108" s="187" t="s">
        <v>1105</v>
      </c>
      <c r="AQ108" s="187" t="str">
        <f t="shared" si="49"/>
        <v>Northland Region</v>
      </c>
      <c r="AR108" s="187" t="str">
        <f t="shared" si="50"/>
        <v>Combined</v>
      </c>
      <c r="AS108" s="187" t="str">
        <f t="shared" si="51"/>
        <v>2019/20</v>
      </c>
      <c r="AT108" s="187">
        <f t="shared" si="52"/>
        <v>0</v>
      </c>
      <c r="AU108" s="187" t="str">
        <f t="shared" si="53"/>
        <v>Unclassified</v>
      </c>
      <c r="AV108" s="187" cm="1">
        <f t="array" ref="AV108">IF($AO108=999,0,INDEX(AG$198:AG$313,$AO108))</f>
        <v>13.64</v>
      </c>
      <c r="AW108" s="187" cm="1">
        <f t="array" ref="AW108">IF($AO108=999,0,INDEX(AH$198:AH$313,$AO108))</f>
        <v>1.6199999999999999E-2</v>
      </c>
      <c r="AX108" s="187" cm="1">
        <f t="array" ref="AX108">IF($AO108=999,0,INDEX(AI$198:AI$313,$AO108))</f>
        <v>13.64</v>
      </c>
      <c r="AY108" s="187" cm="1">
        <f t="array" ref="AY108">IF($AO108=999,0,INDEX(AJ$198:AJ$313,$AO108))</f>
        <v>0</v>
      </c>
      <c r="AZ108" s="187" cm="1">
        <f t="array" ref="AZ108">IF($AO108=999,0,INDEX(AK$198:AK$313,$AO108))</f>
        <v>27.22</v>
      </c>
      <c r="BA108" s="187" cm="1">
        <f t="array" ref="BA108">IF($AO108=999,0,INDEX(AL$198:AL$313,$AO108))</f>
        <v>25.31</v>
      </c>
      <c r="BB108" s="252" t="str">
        <f>INDEX(pMenus!$C$10:$C$23,MATCH(AU108,pMenus!$B$10:$B$23,0))</f>
        <v>NA</v>
      </c>
      <c r="BC108" s="221">
        <f t="shared" si="67"/>
        <v>2547.4822098980403</v>
      </c>
      <c r="BD108" s="237">
        <f t="shared" si="68"/>
        <v>5083.7584863214552</v>
      </c>
      <c r="BE108" s="188" t="s">
        <v>591</v>
      </c>
      <c r="BF108" s="188" t="str">
        <f t="shared" si="54"/>
        <v>Northland Region</v>
      </c>
      <c r="BG108" s="188" t="str">
        <f t="shared" si="55"/>
        <v>Combined</v>
      </c>
      <c r="BH108" s="188" t="str">
        <f t="shared" si="56"/>
        <v>2019/20</v>
      </c>
      <c r="BI108" s="188">
        <f t="shared" si="57"/>
        <v>0</v>
      </c>
      <c r="BJ108" s="188" t="str">
        <f t="shared" si="58"/>
        <v>Unclassified</v>
      </c>
      <c r="BK108" s="188">
        <f t="shared" si="59"/>
        <v>4097.8499999999995</v>
      </c>
      <c r="BL108" s="188">
        <f t="shared" si="60"/>
        <v>0.60089999999999999</v>
      </c>
      <c r="BM108" s="188">
        <f t="shared" si="61"/>
        <v>1341.9699999999998</v>
      </c>
      <c r="BN108" s="188">
        <f t="shared" si="62"/>
        <v>2755.88</v>
      </c>
      <c r="BO108" s="188">
        <f t="shared" si="63"/>
        <v>7771.11</v>
      </c>
      <c r="BP108" s="188">
        <f t="shared" si="64"/>
        <v>458.41</v>
      </c>
      <c r="BQ108" s="253" t="str">
        <f>INDEX(pMenus!$D$10:$D$23,MATCH(BJ108,pMenus!$B$10:$B$23,0))</f>
        <v>NA</v>
      </c>
      <c r="BR108" s="226">
        <f t="shared" si="69"/>
        <v>161.61369588375126</v>
      </c>
      <c r="BS108" s="238">
        <f t="shared" si="70"/>
        <v>306.48213287923625</v>
      </c>
    </row>
    <row r="109" spans="1:71">
      <c r="A109" s="202"/>
      <c r="B109" s="210" t="str">
        <f t="shared" si="45"/>
        <v>Interregional Connectors Local LTA Roads Northland Region</v>
      </c>
      <c r="C109" s="193">
        <f t="shared" si="71"/>
        <v>0</v>
      </c>
      <c r="D109" s="193">
        <f t="shared" si="72"/>
        <v>0</v>
      </c>
      <c r="E109" s="194">
        <f t="shared" si="46"/>
        <v>0</v>
      </c>
      <c r="F109" s="202"/>
      <c r="AA109" s="185" t="s">
        <v>412</v>
      </c>
      <c r="AB109" s="185" t="s">
        <v>427</v>
      </c>
      <c r="AC109" s="185" t="s">
        <v>401</v>
      </c>
      <c r="AD109" s="185" t="s">
        <v>331</v>
      </c>
      <c r="AE109" s="185" t="s">
        <v>403</v>
      </c>
      <c r="AF109" s="185" t="s">
        <v>404</v>
      </c>
      <c r="AG109" s="185">
        <v>119.45</v>
      </c>
      <c r="AH109" s="185">
        <v>1.7899999999999999E-2</v>
      </c>
      <c r="AI109" s="185">
        <v>119.45</v>
      </c>
      <c r="AJ109" s="185">
        <v>0</v>
      </c>
      <c r="AK109" s="185">
        <v>271.3</v>
      </c>
      <c r="AL109" s="185">
        <v>471.56</v>
      </c>
      <c r="AM109" s="186">
        <v>159</v>
      </c>
      <c r="AN109" s="186" t="str">
        <f t="shared" si="47"/>
        <v>Northland RegionInterregional Connectors</v>
      </c>
      <c r="AO109" s="186">
        <f t="shared" si="48"/>
        <v>50</v>
      </c>
      <c r="AP109" s="187" t="s">
        <v>1105</v>
      </c>
      <c r="AQ109" s="187" t="str">
        <f t="shared" si="49"/>
        <v>Northland Region</v>
      </c>
      <c r="AR109" s="187" t="str">
        <f t="shared" si="50"/>
        <v>Combined</v>
      </c>
      <c r="AS109" s="187" t="str">
        <f t="shared" si="51"/>
        <v>2019/20</v>
      </c>
      <c r="AT109" s="187" t="str">
        <f t="shared" si="52"/>
        <v>RURAL</v>
      </c>
      <c r="AU109" s="187" t="str">
        <f t="shared" si="53"/>
        <v>Interregional Connectors</v>
      </c>
      <c r="AV109" s="187" cm="1">
        <f t="array" ref="AV109">IF($AO109=999,0,INDEX(AG$198:AG$313,$AO109))</f>
        <v>119.45</v>
      </c>
      <c r="AW109" s="187" cm="1">
        <f t="array" ref="AW109">IF($AO109=999,0,INDEX(AH$198:AH$313,$AO109))</f>
        <v>0.14219999999999999</v>
      </c>
      <c r="AX109" s="187" cm="1">
        <f t="array" ref="AX109">IF($AO109=999,0,INDEX(AI$198:AI$313,$AO109))</f>
        <v>119.45</v>
      </c>
      <c r="AY109" s="187" cm="1">
        <f t="array" ref="AY109">IF($AO109=999,0,INDEX(AJ$198:AJ$313,$AO109))</f>
        <v>0</v>
      </c>
      <c r="AZ109" s="187" cm="1">
        <f t="array" ref="AZ109">IF($AO109=999,0,INDEX(AK$198:AK$313,$AO109))</f>
        <v>271.3</v>
      </c>
      <c r="BA109" s="187" cm="1">
        <f t="array" ref="BA109">IF($AO109=999,0,INDEX(AL$198:AL$313,$AO109))</f>
        <v>471.56</v>
      </c>
      <c r="BB109" s="252" t="str">
        <f>INDEX(pMenus!$C$10:$C$23,MATCH(AU109,pMenus!$B$10:$B$23,0))</f>
        <v>Interregional Connectors</v>
      </c>
      <c r="BC109" s="221">
        <f t="shared" si="67"/>
        <v>4762.0538351620053</v>
      </c>
      <c r="BD109" s="237">
        <f t="shared" si="68"/>
        <v>10815.782381577665</v>
      </c>
      <c r="BE109" s="188" t="s">
        <v>591</v>
      </c>
      <c r="BF109" s="188" t="str">
        <f t="shared" si="54"/>
        <v>Northland Region</v>
      </c>
      <c r="BG109" s="188" t="str">
        <f t="shared" si="55"/>
        <v>Combined</v>
      </c>
      <c r="BH109" s="188" t="str">
        <f t="shared" si="56"/>
        <v>2019/20</v>
      </c>
      <c r="BI109" s="188" t="str">
        <f t="shared" si="57"/>
        <v>RURAL</v>
      </c>
      <c r="BJ109" s="188" t="str">
        <f t="shared" si="58"/>
        <v>Interregional Connectors</v>
      </c>
      <c r="BK109" s="188">
        <f t="shared" si="59"/>
        <v>0</v>
      </c>
      <c r="BL109" s="188">
        <f t="shared" si="60"/>
        <v>-0.12429999999999999</v>
      </c>
      <c r="BM109" s="188">
        <f t="shared" si="61"/>
        <v>0</v>
      </c>
      <c r="BN109" s="188">
        <f t="shared" si="62"/>
        <v>0</v>
      </c>
      <c r="BO109" s="188">
        <f t="shared" si="63"/>
        <v>0</v>
      </c>
      <c r="BP109" s="188">
        <f t="shared" si="64"/>
        <v>0</v>
      </c>
      <c r="BQ109" s="253" t="str">
        <f>INDEX(pMenus!$D$10:$D$23,MATCH(BJ109,pMenus!$B$10:$B$23,0))</f>
        <v>Interregional Connectors</v>
      </c>
      <c r="BR109" s="226">
        <f t="shared" si="69"/>
        <v>0</v>
      </c>
      <c r="BS109" s="238">
        <f t="shared" si="70"/>
        <v>0</v>
      </c>
    </row>
    <row r="110" spans="1:71">
      <c r="A110" s="202"/>
      <c r="B110" s="210" t="str">
        <f t="shared" si="45"/>
        <v>Rural Connectors Local LTA Roads Northland Region</v>
      </c>
      <c r="C110" s="193">
        <f t="shared" si="71"/>
        <v>117.72999999999999</v>
      </c>
      <c r="D110" s="193">
        <f t="shared" si="72"/>
        <v>19.54</v>
      </c>
      <c r="E110" s="194">
        <f t="shared" si="46"/>
        <v>454.72051792527367</v>
      </c>
      <c r="F110" s="202"/>
      <c r="AA110" s="185" t="s">
        <v>412</v>
      </c>
      <c r="AB110" s="185" t="s">
        <v>427</v>
      </c>
      <c r="AC110" s="185" t="s">
        <v>401</v>
      </c>
      <c r="AD110" s="185" t="s">
        <v>331</v>
      </c>
      <c r="AE110" s="185" t="s">
        <v>403</v>
      </c>
      <c r="AF110" s="185" t="s">
        <v>405</v>
      </c>
      <c r="AG110" s="185">
        <v>77.650000000000006</v>
      </c>
      <c r="AH110" s="185">
        <v>1.17E-2</v>
      </c>
      <c r="AI110" s="185">
        <v>70.739999999999995</v>
      </c>
      <c r="AJ110" s="185">
        <v>6.92</v>
      </c>
      <c r="AK110" s="185">
        <v>153.88</v>
      </c>
      <c r="AL110" s="185">
        <v>42.26</v>
      </c>
      <c r="AM110" s="186">
        <v>160</v>
      </c>
      <c r="AN110" s="186" t="str">
        <f t="shared" si="47"/>
        <v>Northland RegionPeri-urban Roads</v>
      </c>
      <c r="AO110" s="186">
        <f t="shared" si="48"/>
        <v>51</v>
      </c>
      <c r="AP110" s="187" t="s">
        <v>1105</v>
      </c>
      <c r="AQ110" s="187" t="str">
        <f t="shared" si="49"/>
        <v>Northland Region</v>
      </c>
      <c r="AR110" s="187" t="str">
        <f t="shared" si="50"/>
        <v>Combined</v>
      </c>
      <c r="AS110" s="187" t="str">
        <f t="shared" si="51"/>
        <v>2019/20</v>
      </c>
      <c r="AT110" s="187" t="str">
        <f t="shared" si="52"/>
        <v>RURAL</v>
      </c>
      <c r="AU110" s="187" t="str">
        <f t="shared" si="53"/>
        <v>Peri-urban Roads</v>
      </c>
      <c r="AV110" s="187" cm="1">
        <f t="array" ref="AV110">IF($AO110=999,0,INDEX(AG$198:AG$313,$AO110))</f>
        <v>17.75</v>
      </c>
      <c r="AW110" s="187" cm="1">
        <f t="array" ref="AW110">IF($AO110=999,0,INDEX(AH$198:AH$313,$AO110))</f>
        <v>2.1100000000000001E-2</v>
      </c>
      <c r="AX110" s="187" cm="1">
        <f t="array" ref="AX110">IF($AO110=999,0,INDEX(AI$198:AI$313,$AO110))</f>
        <v>17.75</v>
      </c>
      <c r="AY110" s="187" cm="1">
        <f t="array" ref="AY110">IF($AO110=999,0,INDEX(AJ$198:AJ$313,$AO110))</f>
        <v>0</v>
      </c>
      <c r="AZ110" s="187" cm="1">
        <f t="array" ref="AZ110">IF($AO110=999,0,INDEX(AK$198:AK$313,$AO110))</f>
        <v>36.15</v>
      </c>
      <c r="BA110" s="187" cm="1">
        <f t="array" ref="BA110">IF($AO110=999,0,INDEX(AL$198:AL$313,$AO110))</f>
        <v>22.72</v>
      </c>
      <c r="BB110" s="252" t="str">
        <f>INDEX(pMenus!$C$10:$C$23,MATCH(AU110,pMenus!$B$10:$B$23,0))</f>
        <v>Interregional Connectors</v>
      </c>
      <c r="BC110" s="221">
        <f t="shared" si="67"/>
        <v>1721.8969665965631</v>
      </c>
      <c r="BD110" s="237">
        <f t="shared" si="68"/>
        <v>3506.8493150684931</v>
      </c>
      <c r="BE110" s="188" t="s">
        <v>591</v>
      </c>
      <c r="BF110" s="188" t="str">
        <f t="shared" si="54"/>
        <v>Northland Region</v>
      </c>
      <c r="BG110" s="188" t="str">
        <f t="shared" si="55"/>
        <v>Combined</v>
      </c>
      <c r="BH110" s="188" t="str">
        <f t="shared" si="56"/>
        <v>2019/20</v>
      </c>
      <c r="BI110" s="188" t="str">
        <f t="shared" si="57"/>
        <v>RURAL</v>
      </c>
      <c r="BJ110" s="188" t="str">
        <f t="shared" si="58"/>
        <v>Peri-urban Roads</v>
      </c>
      <c r="BK110" s="188">
        <f t="shared" si="59"/>
        <v>59.900000000000006</v>
      </c>
      <c r="BL110" s="188">
        <f t="shared" si="60"/>
        <v>-9.4000000000000004E-3</v>
      </c>
      <c r="BM110" s="188">
        <f t="shared" si="61"/>
        <v>52.989999999999995</v>
      </c>
      <c r="BN110" s="188">
        <f t="shared" si="62"/>
        <v>6.92</v>
      </c>
      <c r="BO110" s="188">
        <f t="shared" si="63"/>
        <v>117.72999999999999</v>
      </c>
      <c r="BP110" s="188">
        <f t="shared" si="64"/>
        <v>19.54</v>
      </c>
      <c r="BQ110" s="253" t="str">
        <f>INDEX(pMenus!$D$10:$D$23,MATCH(BJ110,pMenus!$B$10:$B$23,0))</f>
        <v>Rural Connectors</v>
      </c>
      <c r="BR110" s="226">
        <f t="shared" si="69"/>
        <v>454.72051792527367</v>
      </c>
      <c r="BS110" s="238">
        <f t="shared" si="70"/>
        <v>893.72698790221136</v>
      </c>
    </row>
    <row r="111" spans="1:71">
      <c r="A111" s="202"/>
      <c r="B111" s="210" t="str">
        <f t="shared" si="45"/>
        <v>Rural Connectors Local LTA Roads Northland Region</v>
      </c>
      <c r="C111" s="193">
        <f t="shared" si="71"/>
        <v>862.62000000000012</v>
      </c>
      <c r="D111" s="193">
        <f t="shared" si="72"/>
        <v>159.16999999999996</v>
      </c>
      <c r="E111" s="194">
        <f t="shared" si="46"/>
        <v>505.53220627949941</v>
      </c>
      <c r="F111" s="202"/>
      <c r="AA111" s="185" t="s">
        <v>412</v>
      </c>
      <c r="AB111" s="185" t="s">
        <v>427</v>
      </c>
      <c r="AC111" s="185" t="s">
        <v>401</v>
      </c>
      <c r="AD111" s="185" t="s">
        <v>331</v>
      </c>
      <c r="AE111" s="185" t="s">
        <v>403</v>
      </c>
      <c r="AF111" s="185" t="s">
        <v>406</v>
      </c>
      <c r="AG111" s="185">
        <v>1049.49</v>
      </c>
      <c r="AH111" s="185">
        <v>0.1575</v>
      </c>
      <c r="AI111" s="185">
        <v>1046.3800000000001</v>
      </c>
      <c r="AJ111" s="185">
        <v>3.1</v>
      </c>
      <c r="AK111" s="185">
        <v>2104.19</v>
      </c>
      <c r="AL111" s="185">
        <v>671.18</v>
      </c>
      <c r="AM111" s="186">
        <v>161</v>
      </c>
      <c r="AN111" s="186" t="str">
        <f t="shared" si="47"/>
        <v>Northland RegionRural Connectors</v>
      </c>
      <c r="AO111" s="186">
        <f t="shared" si="48"/>
        <v>52</v>
      </c>
      <c r="AP111" s="187" t="s">
        <v>1105</v>
      </c>
      <c r="AQ111" s="187" t="str">
        <f t="shared" si="49"/>
        <v>Northland Region</v>
      </c>
      <c r="AR111" s="187" t="str">
        <f t="shared" si="50"/>
        <v>Combined</v>
      </c>
      <c r="AS111" s="187" t="str">
        <f t="shared" si="51"/>
        <v>2019/20</v>
      </c>
      <c r="AT111" s="187" t="str">
        <f t="shared" si="52"/>
        <v>RURAL</v>
      </c>
      <c r="AU111" s="187" t="str">
        <f t="shared" si="53"/>
        <v>Rural Connectors</v>
      </c>
      <c r="AV111" s="187" cm="1">
        <f t="array" ref="AV111">IF($AO111=999,0,INDEX(AG$198:AG$313,$AO111))</f>
        <v>617.47</v>
      </c>
      <c r="AW111" s="187" cm="1">
        <f t="array" ref="AW111">IF($AO111=999,0,INDEX(AH$198:AH$313,$AO111))</f>
        <v>0.7349</v>
      </c>
      <c r="AX111" s="187" cm="1">
        <f t="array" ref="AX111">IF($AO111=999,0,INDEX(AI$198:AI$313,$AO111))</f>
        <v>617.47</v>
      </c>
      <c r="AY111" s="187" cm="1">
        <f t="array" ref="AY111">IF($AO111=999,0,INDEX(AJ$198:AJ$313,$AO111))</f>
        <v>0</v>
      </c>
      <c r="AZ111" s="187" cm="1">
        <f t="array" ref="AZ111">IF($AO111=999,0,INDEX(AK$198:AK$313,$AO111))</f>
        <v>1241.57</v>
      </c>
      <c r="BA111" s="187" cm="1">
        <f t="array" ref="BA111">IF($AO111=999,0,INDEX(AL$198:AL$313,$AO111))</f>
        <v>512.01</v>
      </c>
      <c r="BB111" s="252" t="str">
        <f>INDEX(pMenus!$C$10:$C$23,MATCH(AU111,pMenus!$B$10:$B$23,0))</f>
        <v>Rural Connectors</v>
      </c>
      <c r="BC111" s="221">
        <f t="shared" si="67"/>
        <v>1129.8332943673504</v>
      </c>
      <c r="BD111" s="237">
        <f t="shared" si="68"/>
        <v>2271.7980198028586</v>
      </c>
      <c r="BE111" s="188" t="s">
        <v>591</v>
      </c>
      <c r="BF111" s="188" t="str">
        <f t="shared" si="54"/>
        <v>Northland Region</v>
      </c>
      <c r="BG111" s="188" t="str">
        <f t="shared" si="55"/>
        <v>Combined</v>
      </c>
      <c r="BH111" s="188" t="str">
        <f t="shared" si="56"/>
        <v>2019/20</v>
      </c>
      <c r="BI111" s="188" t="str">
        <f t="shared" si="57"/>
        <v>RURAL</v>
      </c>
      <c r="BJ111" s="188" t="str">
        <f t="shared" si="58"/>
        <v>Rural Connectors</v>
      </c>
      <c r="BK111" s="188">
        <f t="shared" si="59"/>
        <v>432.02</v>
      </c>
      <c r="BL111" s="188">
        <f t="shared" si="60"/>
        <v>-0.57740000000000002</v>
      </c>
      <c r="BM111" s="188">
        <f t="shared" si="61"/>
        <v>428.91000000000008</v>
      </c>
      <c r="BN111" s="188">
        <f t="shared" si="62"/>
        <v>3.1</v>
      </c>
      <c r="BO111" s="188">
        <f t="shared" si="63"/>
        <v>862.62000000000012</v>
      </c>
      <c r="BP111" s="188">
        <f t="shared" si="64"/>
        <v>159.16999999999996</v>
      </c>
      <c r="BQ111" s="253" t="str">
        <f>INDEX(pMenus!$D$10:$D$23,MATCH(BJ111,pMenus!$B$10:$B$23,0))</f>
        <v>Rural Connectors</v>
      </c>
      <c r="BR111" s="226">
        <f t="shared" si="69"/>
        <v>505.53220627949941</v>
      </c>
      <c r="BS111" s="238">
        <f t="shared" si="70"/>
        <v>1009.40278640068</v>
      </c>
    </row>
    <row r="112" spans="1:71">
      <c r="A112" s="202"/>
      <c r="B112" s="210" t="str">
        <f t="shared" ref="B112:B143" si="75">CONCATENATE(BQ112,$E$14, BE112,$E$14, BF112)</f>
        <v>Rural Connectors Local LTA Roads Northland Region</v>
      </c>
      <c r="C112" s="193">
        <f t="shared" si="71"/>
        <v>1605.59</v>
      </c>
      <c r="D112" s="193">
        <f t="shared" si="72"/>
        <v>37.65</v>
      </c>
      <c r="E112" s="194">
        <f t="shared" si="46"/>
        <v>64.244723080927784</v>
      </c>
      <c r="F112" s="202"/>
      <c r="AA112" s="185" t="s">
        <v>412</v>
      </c>
      <c r="AB112" s="185" t="s">
        <v>427</v>
      </c>
      <c r="AC112" s="185" t="s">
        <v>401</v>
      </c>
      <c r="AD112" s="185" t="s">
        <v>331</v>
      </c>
      <c r="AE112" s="185" t="s">
        <v>403</v>
      </c>
      <c r="AF112" s="185" t="s">
        <v>414</v>
      </c>
      <c r="AG112" s="185">
        <v>893.39</v>
      </c>
      <c r="AH112" s="185">
        <v>0.1341</v>
      </c>
      <c r="AI112" s="185">
        <v>224.78</v>
      </c>
      <c r="AJ112" s="185">
        <v>668.61</v>
      </c>
      <c r="AK112" s="185">
        <v>1605.59</v>
      </c>
      <c r="AL112" s="185">
        <v>37.65</v>
      </c>
      <c r="AM112" s="186">
        <v>162</v>
      </c>
      <c r="AN112" s="186" t="str">
        <f t="shared" si="47"/>
        <v>Northland RegionRural Roads</v>
      </c>
      <c r="AO112" s="186">
        <f t="shared" ref="AO112:AO143" si="76">IFERROR(MATCH($AN112,$AN$198:$AN$313,0),999)</f>
        <v>999</v>
      </c>
      <c r="AP112" s="187" t="s">
        <v>1105</v>
      </c>
      <c r="AQ112" s="187" t="str">
        <f t="shared" ref="AQ112:AQ143" si="77">AB112</f>
        <v>Northland Region</v>
      </c>
      <c r="AR112" s="187" t="str">
        <f t="shared" ref="AR112:AR143" si="78">AC112</f>
        <v>Combined</v>
      </c>
      <c r="AS112" s="187" t="str">
        <f t="shared" ref="AS112:AS143" si="79">AD112</f>
        <v>2019/20</v>
      </c>
      <c r="AT112" s="187" t="str">
        <f t="shared" ref="AT112:AT143" si="80">AE112</f>
        <v>RURAL</v>
      </c>
      <c r="AU112" s="187" t="str">
        <f t="shared" ref="AU112:AU143" si="81">AF112</f>
        <v>Rural Roads</v>
      </c>
      <c r="AV112" s="187" cm="1">
        <f t="array" ref="AV112">IF($AO112=999,0,INDEX(AG$198:AG$313,$AO112))</f>
        <v>0</v>
      </c>
      <c r="AW112" s="187" cm="1">
        <f t="array" ref="AW112">IF($AO112=999,0,INDEX(AH$198:AH$313,$AO112))</f>
        <v>0</v>
      </c>
      <c r="AX112" s="187" cm="1">
        <f t="array" ref="AX112">IF($AO112=999,0,INDEX(AI$198:AI$313,$AO112))</f>
        <v>0</v>
      </c>
      <c r="AY112" s="187" cm="1">
        <f t="array" ref="AY112">IF($AO112=999,0,INDEX(AJ$198:AJ$313,$AO112))</f>
        <v>0</v>
      </c>
      <c r="AZ112" s="187" cm="1">
        <f t="array" ref="AZ112">IF($AO112=999,0,INDEX(AK$198:AK$313,$AO112))</f>
        <v>0</v>
      </c>
      <c r="BA112" s="187" cm="1">
        <f t="array" ref="BA112">IF($AO112=999,0,INDEX(AL$198:AL$313,$AO112))</f>
        <v>0</v>
      </c>
      <c r="BB112" s="252" t="str">
        <f>INDEX(pMenus!$C$10:$C$23,MATCH(AU112,pMenus!$B$10:$B$23,0))</f>
        <v>NA</v>
      </c>
      <c r="BC112" s="221">
        <f t="shared" si="67"/>
        <v>0</v>
      </c>
      <c r="BD112" s="237">
        <f t="shared" si="68"/>
        <v>0</v>
      </c>
      <c r="BE112" s="188" t="s">
        <v>591</v>
      </c>
      <c r="BF112" s="188" t="str">
        <f t="shared" ref="BF112:BF143" si="82">AB112</f>
        <v>Northland Region</v>
      </c>
      <c r="BG112" s="188" t="str">
        <f t="shared" ref="BG112:BG143" si="83">AC112</f>
        <v>Combined</v>
      </c>
      <c r="BH112" s="188" t="str">
        <f t="shared" ref="BH112:BH143" si="84">AD112</f>
        <v>2019/20</v>
      </c>
      <c r="BI112" s="188" t="str">
        <f t="shared" ref="BI112:BI143" si="85">AE112</f>
        <v>RURAL</v>
      </c>
      <c r="BJ112" s="188" t="str">
        <f t="shared" ref="BJ112:BJ143" si="86">AF112</f>
        <v>Rural Roads</v>
      </c>
      <c r="BK112" s="188">
        <f t="shared" ref="BK112:BK143" si="87">AG112-AV112</f>
        <v>893.39</v>
      </c>
      <c r="BL112" s="188">
        <f t="shared" ref="BL112:BL143" si="88">AH112-AW112</f>
        <v>0.1341</v>
      </c>
      <c r="BM112" s="188">
        <f t="shared" ref="BM112:BM143" si="89">AI112-AX112</f>
        <v>224.78</v>
      </c>
      <c r="BN112" s="188">
        <f t="shared" ref="BN112:BN143" si="90">AJ112-AY112</f>
        <v>668.61</v>
      </c>
      <c r="BO112" s="188">
        <f t="shared" ref="BO112:BO143" si="91">AK112-AZ112</f>
        <v>1605.59</v>
      </c>
      <c r="BP112" s="188">
        <f t="shared" ref="BP112:BP143" si="92">AL112-BA112</f>
        <v>37.65</v>
      </c>
      <c r="BQ112" s="253" t="str">
        <f>INDEX(pMenus!$D$10:$D$23,MATCH(BJ112,pMenus!$B$10:$B$23,0))</f>
        <v>Rural Connectors</v>
      </c>
      <c r="BR112" s="226">
        <f t="shared" si="69"/>
        <v>64.244723080927784</v>
      </c>
      <c r="BS112" s="238">
        <f t="shared" si="70"/>
        <v>115.45986067843478</v>
      </c>
    </row>
    <row r="113" spans="1:71">
      <c r="A113" s="202"/>
      <c r="B113" s="210" t="str">
        <f t="shared" si="75"/>
        <v>Rural Connectors Local LTA Roads Northland Region</v>
      </c>
      <c r="C113" s="193">
        <f t="shared" si="71"/>
        <v>0.65999999999999992</v>
      </c>
      <c r="D113" s="193">
        <f t="shared" si="72"/>
        <v>1.0000000000000009E-2</v>
      </c>
      <c r="E113" s="194">
        <f t="shared" si="46"/>
        <v>41.511000415110047</v>
      </c>
      <c r="F113" s="202"/>
      <c r="AA113" s="185" t="s">
        <v>412</v>
      </c>
      <c r="AB113" s="185" t="s">
        <v>427</v>
      </c>
      <c r="AC113" s="185" t="s">
        <v>401</v>
      </c>
      <c r="AD113" s="185" t="s">
        <v>331</v>
      </c>
      <c r="AE113" s="185" t="s">
        <v>403</v>
      </c>
      <c r="AF113" s="185" t="s">
        <v>415</v>
      </c>
      <c r="AG113" s="185">
        <v>1.4</v>
      </c>
      <c r="AH113" s="185">
        <v>2.0000000000000001E-4</v>
      </c>
      <c r="AI113" s="185">
        <v>1.2</v>
      </c>
      <c r="AJ113" s="185">
        <v>0.2</v>
      </c>
      <c r="AK113" s="185">
        <v>2.57</v>
      </c>
      <c r="AL113" s="185">
        <v>0.23</v>
      </c>
      <c r="AM113" s="186">
        <v>163</v>
      </c>
      <c r="AN113" s="186" t="str">
        <f t="shared" si="47"/>
        <v>Northland RegionStopping Places</v>
      </c>
      <c r="AO113" s="186">
        <f t="shared" si="76"/>
        <v>53</v>
      </c>
      <c r="AP113" s="187" t="s">
        <v>1105</v>
      </c>
      <c r="AQ113" s="187" t="str">
        <f t="shared" si="77"/>
        <v>Northland Region</v>
      </c>
      <c r="AR113" s="187" t="str">
        <f t="shared" si="78"/>
        <v>Combined</v>
      </c>
      <c r="AS113" s="187" t="str">
        <f t="shared" si="79"/>
        <v>2019/20</v>
      </c>
      <c r="AT113" s="187" t="str">
        <f t="shared" si="80"/>
        <v>RURAL</v>
      </c>
      <c r="AU113" s="187" t="str">
        <f t="shared" si="81"/>
        <v>Stopping Places</v>
      </c>
      <c r="AV113" s="187" cm="1">
        <f t="array" ref="AV113">IF($AO113=999,0,INDEX(AG$198:AG$313,$AO113))</f>
        <v>0.98</v>
      </c>
      <c r="AW113" s="187" cm="1">
        <f t="array" ref="AW113">IF($AO113=999,0,INDEX(AH$198:AH$313,$AO113))</f>
        <v>1.1999999999999999E-3</v>
      </c>
      <c r="AX113" s="187" cm="1">
        <f t="array" ref="AX113">IF($AO113=999,0,INDEX(AI$198:AI$313,$AO113))</f>
        <v>0.98</v>
      </c>
      <c r="AY113" s="187" cm="1">
        <f t="array" ref="AY113">IF($AO113=999,0,INDEX(AJ$198:AJ$313,$AO113))</f>
        <v>0</v>
      </c>
      <c r="AZ113" s="187" cm="1">
        <f t="array" ref="AZ113">IF($AO113=999,0,INDEX(AK$198:AK$313,$AO113))</f>
        <v>1.91</v>
      </c>
      <c r="BA113" s="187" cm="1">
        <f t="array" ref="BA113">IF($AO113=999,0,INDEX(AL$198:AL$313,$AO113))</f>
        <v>0.22</v>
      </c>
      <c r="BB113" s="252" t="str">
        <f>INDEX(pMenus!$C$10:$C$23,MATCH(AU113,pMenus!$B$10:$B$23,0))</f>
        <v>Interregional Connectors</v>
      </c>
      <c r="BC113" s="221">
        <f t="shared" si="67"/>
        <v>315.57053718711899</v>
      </c>
      <c r="BD113" s="237">
        <f t="shared" si="68"/>
        <v>615.04053676265028</v>
      </c>
      <c r="BE113" s="188" t="s">
        <v>591</v>
      </c>
      <c r="BF113" s="188" t="str">
        <f t="shared" si="82"/>
        <v>Northland Region</v>
      </c>
      <c r="BG113" s="188" t="str">
        <f t="shared" si="83"/>
        <v>Combined</v>
      </c>
      <c r="BH113" s="188" t="str">
        <f t="shared" si="84"/>
        <v>2019/20</v>
      </c>
      <c r="BI113" s="188" t="str">
        <f t="shared" si="85"/>
        <v>RURAL</v>
      </c>
      <c r="BJ113" s="188" t="str">
        <f t="shared" si="86"/>
        <v>Stopping Places</v>
      </c>
      <c r="BK113" s="188">
        <f t="shared" si="87"/>
        <v>0.41999999999999993</v>
      </c>
      <c r="BL113" s="188">
        <f t="shared" si="88"/>
        <v>-9.999999999999998E-4</v>
      </c>
      <c r="BM113" s="188">
        <f t="shared" si="89"/>
        <v>0.21999999999999997</v>
      </c>
      <c r="BN113" s="188">
        <f t="shared" si="90"/>
        <v>0.2</v>
      </c>
      <c r="BO113" s="188">
        <f t="shared" si="91"/>
        <v>0.65999999999999992</v>
      </c>
      <c r="BP113" s="188">
        <f t="shared" si="92"/>
        <v>1.0000000000000009E-2</v>
      </c>
      <c r="BQ113" s="253" t="str">
        <f>INDEX(pMenus!$D$10:$D$23,MATCH(BJ113,pMenus!$B$10:$B$23,0))</f>
        <v>Rural Connectors</v>
      </c>
      <c r="BR113" s="226">
        <f t="shared" si="69"/>
        <v>41.511000415110047</v>
      </c>
      <c r="BS113" s="238">
        <f t="shared" si="70"/>
        <v>65.231572080887219</v>
      </c>
    </row>
    <row r="114" spans="1:71">
      <c r="A114" s="202"/>
      <c r="B114" s="210" t="str">
        <f t="shared" si="75"/>
        <v>Activity Streets Local LTA Roads Northland Region</v>
      </c>
      <c r="C114" s="193">
        <f t="shared" si="71"/>
        <v>40.14</v>
      </c>
      <c r="D114" s="193">
        <f t="shared" si="72"/>
        <v>39.049999999999997</v>
      </c>
      <c r="E114" s="194">
        <f t="shared" si="46"/>
        <v>2665.3288831555305</v>
      </c>
      <c r="F114" s="202"/>
      <c r="AA114" s="185" t="s">
        <v>412</v>
      </c>
      <c r="AB114" s="185" t="s">
        <v>427</v>
      </c>
      <c r="AC114" s="185" t="s">
        <v>401</v>
      </c>
      <c r="AD114" s="185" t="s">
        <v>331</v>
      </c>
      <c r="AE114" s="185" t="s">
        <v>407</v>
      </c>
      <c r="AF114" s="185" t="s">
        <v>408</v>
      </c>
      <c r="AG114" s="185">
        <v>27.86</v>
      </c>
      <c r="AH114" s="185">
        <v>4.1999999999999997E-3</v>
      </c>
      <c r="AI114" s="185">
        <v>27.86</v>
      </c>
      <c r="AJ114" s="185">
        <v>0</v>
      </c>
      <c r="AK114" s="185">
        <v>56.1</v>
      </c>
      <c r="AL114" s="185">
        <v>56.55</v>
      </c>
      <c r="AM114" s="186">
        <v>164</v>
      </c>
      <c r="AN114" s="186" t="str">
        <f t="shared" si="47"/>
        <v>Northland RegionActivity Streets</v>
      </c>
      <c r="AO114" s="186">
        <f t="shared" si="76"/>
        <v>54</v>
      </c>
      <c r="AP114" s="187" t="s">
        <v>1105</v>
      </c>
      <c r="AQ114" s="187" t="str">
        <f t="shared" si="77"/>
        <v>Northland Region</v>
      </c>
      <c r="AR114" s="187" t="str">
        <f t="shared" si="78"/>
        <v>Combined</v>
      </c>
      <c r="AS114" s="187" t="str">
        <f t="shared" si="79"/>
        <v>2019/20</v>
      </c>
      <c r="AT114" s="187" t="str">
        <f t="shared" si="80"/>
        <v>URBAN</v>
      </c>
      <c r="AU114" s="187" t="str">
        <f t="shared" si="81"/>
        <v>Activity Streets</v>
      </c>
      <c r="AV114" s="187" cm="1">
        <f t="array" ref="AV114">IF($AO114=999,0,INDEX(AG$198:AG$313,$AO114))</f>
        <v>7.98</v>
      </c>
      <c r="AW114" s="187" cm="1">
        <f t="array" ref="AW114">IF($AO114=999,0,INDEX(AH$198:AH$313,$AO114))</f>
        <v>9.4999999999999998E-3</v>
      </c>
      <c r="AX114" s="187" cm="1">
        <f t="array" ref="AX114">IF($AO114=999,0,INDEX(AI$198:AI$313,$AO114))</f>
        <v>7.98</v>
      </c>
      <c r="AY114" s="187" cm="1">
        <f t="array" ref="AY114">IF($AO114=999,0,INDEX(AJ$198:AJ$313,$AO114))</f>
        <v>0</v>
      </c>
      <c r="AZ114" s="187" cm="1">
        <f t="array" ref="AZ114">IF($AO114=999,0,INDEX(AK$198:AK$313,$AO114))</f>
        <v>15.96</v>
      </c>
      <c r="BA114" s="187" cm="1">
        <f t="array" ref="BA114">IF($AO114=999,0,INDEX(AL$198:AL$313,$AO114))</f>
        <v>17.5</v>
      </c>
      <c r="BB114" s="252" t="str">
        <f>INDEX(pMenus!$C$10:$C$23,MATCH(AU114,pMenus!$B$10:$B$23,0))</f>
        <v>Urban Connectors</v>
      </c>
      <c r="BC114" s="221">
        <f t="shared" si="67"/>
        <v>3004.0855563566447</v>
      </c>
      <c r="BD114" s="237">
        <f t="shared" si="68"/>
        <v>6008.1711127132894</v>
      </c>
      <c r="BE114" s="188" t="s">
        <v>591</v>
      </c>
      <c r="BF114" s="188" t="str">
        <f t="shared" si="82"/>
        <v>Northland Region</v>
      </c>
      <c r="BG114" s="188" t="str">
        <f t="shared" si="83"/>
        <v>Combined</v>
      </c>
      <c r="BH114" s="188" t="str">
        <f t="shared" si="84"/>
        <v>2019/20</v>
      </c>
      <c r="BI114" s="188" t="str">
        <f t="shared" si="85"/>
        <v>URBAN</v>
      </c>
      <c r="BJ114" s="188" t="str">
        <f t="shared" si="86"/>
        <v>Activity Streets</v>
      </c>
      <c r="BK114" s="188">
        <f t="shared" si="87"/>
        <v>19.88</v>
      </c>
      <c r="BL114" s="188">
        <f t="shared" si="88"/>
        <v>-5.3E-3</v>
      </c>
      <c r="BM114" s="188">
        <f t="shared" si="89"/>
        <v>19.88</v>
      </c>
      <c r="BN114" s="188">
        <f t="shared" si="90"/>
        <v>0</v>
      </c>
      <c r="BO114" s="188">
        <f t="shared" si="91"/>
        <v>40.14</v>
      </c>
      <c r="BP114" s="188">
        <f t="shared" si="92"/>
        <v>39.049999999999997</v>
      </c>
      <c r="BQ114" s="253" t="str">
        <f>INDEX(pMenus!$D$10:$D$23,MATCH(BJ114,pMenus!$B$10:$B$23,0))</f>
        <v>Activity Streets</v>
      </c>
      <c r="BR114" s="226">
        <f t="shared" si="69"/>
        <v>2665.3288831555305</v>
      </c>
      <c r="BS114" s="238">
        <f t="shared" si="70"/>
        <v>5381.6046966731892</v>
      </c>
    </row>
    <row r="115" spans="1:71">
      <c r="A115" s="202"/>
      <c r="B115" s="210" t="str">
        <f t="shared" si="75"/>
        <v>Rural Connectors Local LTA Roads Northland Region</v>
      </c>
      <c r="C115" s="193">
        <f t="shared" si="71"/>
        <v>0.05</v>
      </c>
      <c r="D115" s="193">
        <f t="shared" si="72"/>
        <v>0</v>
      </c>
      <c r="E115" s="194">
        <f t="shared" si="46"/>
        <v>0</v>
      </c>
      <c r="F115" s="202"/>
      <c r="AA115" s="185" t="s">
        <v>412</v>
      </c>
      <c r="AB115" s="185" t="s">
        <v>427</v>
      </c>
      <c r="AC115" s="185" t="s">
        <v>401</v>
      </c>
      <c r="AD115" s="185" t="s">
        <v>331</v>
      </c>
      <c r="AE115" s="185" t="s">
        <v>407</v>
      </c>
      <c r="AF115" s="185" t="s">
        <v>417</v>
      </c>
      <c r="AG115" s="185">
        <v>0.05</v>
      </c>
      <c r="AH115" s="185">
        <v>0</v>
      </c>
      <c r="AI115" s="185">
        <v>0.05</v>
      </c>
      <c r="AJ115" s="185">
        <v>0</v>
      </c>
      <c r="AK115" s="185">
        <v>0.05</v>
      </c>
      <c r="AL115" s="185">
        <v>0</v>
      </c>
      <c r="AM115" s="186">
        <v>165</v>
      </c>
      <c r="AN115" s="186" t="str">
        <f t="shared" si="47"/>
        <v>Northland RegionCivic Spaces</v>
      </c>
      <c r="AO115" s="186">
        <f t="shared" si="76"/>
        <v>999</v>
      </c>
      <c r="AP115" s="187" t="s">
        <v>1105</v>
      </c>
      <c r="AQ115" s="187" t="str">
        <f t="shared" si="77"/>
        <v>Northland Region</v>
      </c>
      <c r="AR115" s="187" t="str">
        <f t="shared" si="78"/>
        <v>Combined</v>
      </c>
      <c r="AS115" s="187" t="str">
        <f t="shared" si="79"/>
        <v>2019/20</v>
      </c>
      <c r="AT115" s="187" t="str">
        <f t="shared" si="80"/>
        <v>URBAN</v>
      </c>
      <c r="AU115" s="187" t="str">
        <f t="shared" si="81"/>
        <v>Civic Spaces</v>
      </c>
      <c r="AV115" s="187" cm="1">
        <f t="array" ref="AV115">IF($AO115=999,0,INDEX(AG$198:AG$313,$AO115))</f>
        <v>0</v>
      </c>
      <c r="AW115" s="187" cm="1">
        <f t="array" ref="AW115">IF($AO115=999,0,INDEX(AH$198:AH$313,$AO115))</f>
        <v>0</v>
      </c>
      <c r="AX115" s="187" cm="1">
        <f t="array" ref="AX115">IF($AO115=999,0,INDEX(AI$198:AI$313,$AO115))</f>
        <v>0</v>
      </c>
      <c r="AY115" s="187" cm="1">
        <f t="array" ref="AY115">IF($AO115=999,0,INDEX(AJ$198:AJ$313,$AO115))</f>
        <v>0</v>
      </c>
      <c r="AZ115" s="187" cm="1">
        <f t="array" ref="AZ115">IF($AO115=999,0,INDEX(AK$198:AK$313,$AO115))</f>
        <v>0</v>
      </c>
      <c r="BA115" s="187" cm="1">
        <f t="array" ref="BA115">IF($AO115=999,0,INDEX(AL$198:AL$313,$AO115))</f>
        <v>0</v>
      </c>
      <c r="BB115" s="252" t="str">
        <f>INDEX(pMenus!$C$10:$C$23,MATCH(AU115,pMenus!$B$10:$B$23,0))</f>
        <v>NA</v>
      </c>
      <c r="BC115" s="221">
        <f t="shared" si="67"/>
        <v>0</v>
      </c>
      <c r="BD115" s="237">
        <f t="shared" si="68"/>
        <v>0</v>
      </c>
      <c r="BE115" s="188" t="s">
        <v>591</v>
      </c>
      <c r="BF115" s="188" t="str">
        <f t="shared" si="82"/>
        <v>Northland Region</v>
      </c>
      <c r="BG115" s="188" t="str">
        <f t="shared" si="83"/>
        <v>Combined</v>
      </c>
      <c r="BH115" s="188" t="str">
        <f t="shared" si="84"/>
        <v>2019/20</v>
      </c>
      <c r="BI115" s="188" t="str">
        <f t="shared" si="85"/>
        <v>URBAN</v>
      </c>
      <c r="BJ115" s="188" t="str">
        <f t="shared" si="86"/>
        <v>Civic Spaces</v>
      </c>
      <c r="BK115" s="188">
        <f t="shared" si="87"/>
        <v>0.05</v>
      </c>
      <c r="BL115" s="188">
        <f t="shared" si="88"/>
        <v>0</v>
      </c>
      <c r="BM115" s="188">
        <f t="shared" si="89"/>
        <v>0.05</v>
      </c>
      <c r="BN115" s="188">
        <f t="shared" si="90"/>
        <v>0</v>
      </c>
      <c r="BO115" s="188">
        <f t="shared" si="91"/>
        <v>0.05</v>
      </c>
      <c r="BP115" s="188">
        <f t="shared" si="92"/>
        <v>0</v>
      </c>
      <c r="BQ115" s="253" t="str">
        <f>INDEX(pMenus!$D$10:$D$23,MATCH(BJ115,pMenus!$B$10:$B$23,0))</f>
        <v>Rural Connectors</v>
      </c>
      <c r="BR115" s="226">
        <f t="shared" si="69"/>
        <v>0</v>
      </c>
      <c r="BS115" s="238">
        <f t="shared" si="70"/>
        <v>0</v>
      </c>
    </row>
    <row r="116" spans="1:71">
      <c r="A116" s="202"/>
      <c r="B116" s="210" t="str">
        <f t="shared" si="75"/>
        <v>Rural Connectors Local LTA Roads Northland Region</v>
      </c>
      <c r="C116" s="193">
        <f t="shared" si="71"/>
        <v>461.9</v>
      </c>
      <c r="D116" s="193">
        <f t="shared" si="72"/>
        <v>49.67</v>
      </c>
      <c r="E116" s="194">
        <f t="shared" si="46"/>
        <v>294.6139679169126</v>
      </c>
      <c r="F116" s="202"/>
      <c r="AA116" s="185" t="s">
        <v>412</v>
      </c>
      <c r="AB116" s="185" t="s">
        <v>427</v>
      </c>
      <c r="AC116" s="185" t="s">
        <v>401</v>
      </c>
      <c r="AD116" s="185" t="s">
        <v>331</v>
      </c>
      <c r="AE116" s="185" t="s">
        <v>407</v>
      </c>
      <c r="AF116" s="185" t="s">
        <v>418</v>
      </c>
      <c r="AG116" s="185">
        <v>235.16</v>
      </c>
      <c r="AH116" s="185">
        <v>3.5299999999999998E-2</v>
      </c>
      <c r="AI116" s="185">
        <v>232.8</v>
      </c>
      <c r="AJ116" s="185">
        <v>2.35</v>
      </c>
      <c r="AK116" s="185">
        <v>461.9</v>
      </c>
      <c r="AL116" s="185">
        <v>49.67</v>
      </c>
      <c r="AM116" s="186">
        <v>166</v>
      </c>
      <c r="AN116" s="186" t="str">
        <f t="shared" si="47"/>
        <v>Northland RegionLocal Streets</v>
      </c>
      <c r="AO116" s="186">
        <f t="shared" si="76"/>
        <v>999</v>
      </c>
      <c r="AP116" s="187" t="s">
        <v>1105</v>
      </c>
      <c r="AQ116" s="187" t="str">
        <f t="shared" si="77"/>
        <v>Northland Region</v>
      </c>
      <c r="AR116" s="187" t="str">
        <f t="shared" si="78"/>
        <v>Combined</v>
      </c>
      <c r="AS116" s="187" t="str">
        <f t="shared" si="79"/>
        <v>2019/20</v>
      </c>
      <c r="AT116" s="187" t="str">
        <f t="shared" si="80"/>
        <v>URBAN</v>
      </c>
      <c r="AU116" s="187" t="str">
        <f t="shared" si="81"/>
        <v>Local Streets</v>
      </c>
      <c r="AV116" s="187" cm="1">
        <f t="array" ref="AV116">IF($AO116=999,0,INDEX(AG$198:AG$313,$AO116))</f>
        <v>0</v>
      </c>
      <c r="AW116" s="187" cm="1">
        <f t="array" ref="AW116">IF($AO116=999,0,INDEX(AH$198:AH$313,$AO116))</f>
        <v>0</v>
      </c>
      <c r="AX116" s="187" cm="1">
        <f t="array" ref="AX116">IF($AO116=999,0,INDEX(AI$198:AI$313,$AO116))</f>
        <v>0</v>
      </c>
      <c r="AY116" s="187" cm="1">
        <f t="array" ref="AY116">IF($AO116=999,0,INDEX(AJ$198:AJ$313,$AO116))</f>
        <v>0</v>
      </c>
      <c r="AZ116" s="187" cm="1">
        <f t="array" ref="AZ116">IF($AO116=999,0,INDEX(AK$198:AK$313,$AO116))</f>
        <v>0</v>
      </c>
      <c r="BA116" s="187" cm="1">
        <f t="array" ref="BA116">IF($AO116=999,0,INDEX(AL$198:AL$313,$AO116))</f>
        <v>0</v>
      </c>
      <c r="BB116" s="252" t="str">
        <f>INDEX(pMenus!$C$10:$C$23,MATCH(AU116,pMenus!$B$10:$B$23,0))</f>
        <v>NA</v>
      </c>
      <c r="BC116" s="221">
        <f t="shared" si="67"/>
        <v>0</v>
      </c>
      <c r="BD116" s="237">
        <f t="shared" si="68"/>
        <v>0</v>
      </c>
      <c r="BE116" s="188" t="s">
        <v>591</v>
      </c>
      <c r="BF116" s="188" t="str">
        <f t="shared" si="82"/>
        <v>Northland Region</v>
      </c>
      <c r="BG116" s="188" t="str">
        <f t="shared" si="83"/>
        <v>Combined</v>
      </c>
      <c r="BH116" s="188" t="str">
        <f t="shared" si="84"/>
        <v>2019/20</v>
      </c>
      <c r="BI116" s="188" t="str">
        <f t="shared" si="85"/>
        <v>URBAN</v>
      </c>
      <c r="BJ116" s="188" t="str">
        <f t="shared" si="86"/>
        <v>Local Streets</v>
      </c>
      <c r="BK116" s="188">
        <f t="shared" si="87"/>
        <v>235.16</v>
      </c>
      <c r="BL116" s="188">
        <f t="shared" si="88"/>
        <v>3.5299999999999998E-2</v>
      </c>
      <c r="BM116" s="188">
        <f t="shared" si="89"/>
        <v>232.8</v>
      </c>
      <c r="BN116" s="188">
        <f t="shared" si="90"/>
        <v>2.35</v>
      </c>
      <c r="BO116" s="188">
        <f t="shared" si="91"/>
        <v>461.9</v>
      </c>
      <c r="BP116" s="188">
        <f t="shared" si="92"/>
        <v>49.67</v>
      </c>
      <c r="BQ116" s="253" t="str">
        <f>INDEX(pMenus!$D$10:$D$23,MATCH(BJ116,pMenus!$B$10:$B$23,0))</f>
        <v>Rural Connectors</v>
      </c>
      <c r="BR116" s="226">
        <f t="shared" si="69"/>
        <v>294.6139679169126</v>
      </c>
      <c r="BS116" s="238">
        <f t="shared" si="70"/>
        <v>578.67916219094207</v>
      </c>
    </row>
    <row r="117" spans="1:71">
      <c r="A117" s="202"/>
      <c r="B117" s="210" t="str">
        <f t="shared" si="75"/>
        <v>Urban Connectors Local LTA Roads Northland Region</v>
      </c>
      <c r="C117" s="193">
        <f t="shared" si="71"/>
        <v>10.210000000000001</v>
      </c>
      <c r="D117" s="193">
        <f t="shared" si="72"/>
        <v>20.25</v>
      </c>
      <c r="E117" s="194">
        <f t="shared" si="46"/>
        <v>5433.834677257053</v>
      </c>
      <c r="F117" s="202"/>
      <c r="AA117" s="185" t="s">
        <v>412</v>
      </c>
      <c r="AB117" s="185" t="s">
        <v>427</v>
      </c>
      <c r="AC117" s="185" t="s">
        <v>401</v>
      </c>
      <c r="AD117" s="185" t="s">
        <v>331</v>
      </c>
      <c r="AE117" s="185" t="s">
        <v>407</v>
      </c>
      <c r="AF117" s="185" t="s">
        <v>409</v>
      </c>
      <c r="AG117" s="185">
        <v>5.45</v>
      </c>
      <c r="AH117" s="185">
        <v>8.0000000000000004E-4</v>
      </c>
      <c r="AI117" s="185">
        <v>5.45</v>
      </c>
      <c r="AJ117" s="185">
        <v>0</v>
      </c>
      <c r="AK117" s="185">
        <v>12.82</v>
      </c>
      <c r="AL117" s="185">
        <v>23.85</v>
      </c>
      <c r="AM117" s="186">
        <v>167</v>
      </c>
      <c r="AN117" s="186" t="str">
        <f t="shared" si="47"/>
        <v>Northland RegionMain Streets</v>
      </c>
      <c r="AO117" s="186">
        <f t="shared" si="76"/>
        <v>55</v>
      </c>
      <c r="AP117" s="187" t="s">
        <v>1105</v>
      </c>
      <c r="AQ117" s="187" t="str">
        <f t="shared" si="77"/>
        <v>Northland Region</v>
      </c>
      <c r="AR117" s="187" t="str">
        <f t="shared" si="78"/>
        <v>Combined</v>
      </c>
      <c r="AS117" s="187" t="str">
        <f t="shared" si="79"/>
        <v>2019/20</v>
      </c>
      <c r="AT117" s="187" t="str">
        <f t="shared" si="80"/>
        <v>URBAN</v>
      </c>
      <c r="AU117" s="187" t="str">
        <f t="shared" si="81"/>
        <v>Main Streets</v>
      </c>
      <c r="AV117" s="187" cm="1">
        <f t="array" ref="AV117">IF($AO117=999,0,INDEX(AG$198:AG$313,$AO117))</f>
        <v>1.31</v>
      </c>
      <c r="AW117" s="187" cm="1">
        <f t="array" ref="AW117">IF($AO117=999,0,INDEX(AH$198:AH$313,$AO117))</f>
        <v>1.6000000000000001E-3</v>
      </c>
      <c r="AX117" s="187" cm="1">
        <f t="array" ref="AX117">IF($AO117=999,0,INDEX(AI$198:AI$313,$AO117))</f>
        <v>1.31</v>
      </c>
      <c r="AY117" s="187" cm="1">
        <f t="array" ref="AY117">IF($AO117=999,0,INDEX(AJ$198:AJ$313,$AO117))</f>
        <v>0</v>
      </c>
      <c r="AZ117" s="187" cm="1">
        <f t="array" ref="AZ117">IF($AO117=999,0,INDEX(AK$198:AK$313,$AO117))</f>
        <v>2.61</v>
      </c>
      <c r="BA117" s="187" cm="1">
        <f t="array" ref="BA117">IF($AO117=999,0,INDEX(AL$198:AL$313,$AO117))</f>
        <v>3.6</v>
      </c>
      <c r="BB117" s="252" t="str">
        <f>INDEX(pMenus!$C$10:$C$23,MATCH(AU117,pMenus!$B$10:$B$23,0))</f>
        <v>Urban Connectors</v>
      </c>
      <c r="BC117" s="221">
        <f t="shared" si="67"/>
        <v>3778.9324515824283</v>
      </c>
      <c r="BD117" s="237">
        <f t="shared" si="68"/>
        <v>7529.018090557357</v>
      </c>
      <c r="BE117" s="188" t="s">
        <v>591</v>
      </c>
      <c r="BF117" s="188" t="str">
        <f t="shared" si="82"/>
        <v>Northland Region</v>
      </c>
      <c r="BG117" s="188" t="str">
        <f t="shared" si="83"/>
        <v>Combined</v>
      </c>
      <c r="BH117" s="188" t="str">
        <f t="shared" si="84"/>
        <v>2019/20</v>
      </c>
      <c r="BI117" s="188" t="str">
        <f t="shared" si="85"/>
        <v>URBAN</v>
      </c>
      <c r="BJ117" s="188" t="str">
        <f t="shared" si="86"/>
        <v>Main Streets</v>
      </c>
      <c r="BK117" s="188">
        <f t="shared" si="87"/>
        <v>4.1400000000000006</v>
      </c>
      <c r="BL117" s="188">
        <f t="shared" si="88"/>
        <v>-8.0000000000000004E-4</v>
      </c>
      <c r="BM117" s="188">
        <f t="shared" si="89"/>
        <v>4.1400000000000006</v>
      </c>
      <c r="BN117" s="188">
        <f t="shared" si="90"/>
        <v>0</v>
      </c>
      <c r="BO117" s="188">
        <f t="shared" si="91"/>
        <v>10.210000000000001</v>
      </c>
      <c r="BP117" s="188">
        <f t="shared" si="92"/>
        <v>20.25</v>
      </c>
      <c r="BQ117" s="253" t="str">
        <f>INDEX(pMenus!$D$10:$D$23,MATCH(BJ117,pMenus!$B$10:$B$23,0))</f>
        <v>Urban Connectors</v>
      </c>
      <c r="BR117" s="226">
        <f t="shared" si="69"/>
        <v>5433.834677257053</v>
      </c>
      <c r="BS117" s="238">
        <f t="shared" si="70"/>
        <v>13400.833829660509</v>
      </c>
    </row>
    <row r="118" spans="1:71">
      <c r="A118" s="202"/>
      <c r="B118" s="210" t="str">
        <f t="shared" si="75"/>
        <v>Urban Connectors Local LTA Roads Northland Region</v>
      </c>
      <c r="C118" s="193">
        <f t="shared" si="71"/>
        <v>4.3899999999999997</v>
      </c>
      <c r="D118" s="193">
        <f t="shared" si="72"/>
        <v>15.030000000000001</v>
      </c>
      <c r="E118" s="194">
        <f t="shared" si="46"/>
        <v>9379.9731644147669</v>
      </c>
      <c r="F118" s="202"/>
      <c r="AA118" s="185" t="s">
        <v>412</v>
      </c>
      <c r="AB118" s="185" t="s">
        <v>427</v>
      </c>
      <c r="AC118" s="185" t="s">
        <v>401</v>
      </c>
      <c r="AD118" s="185" t="s">
        <v>331</v>
      </c>
      <c r="AE118" s="185" t="s">
        <v>407</v>
      </c>
      <c r="AF118" s="185" t="s">
        <v>410</v>
      </c>
      <c r="AG118" s="185">
        <v>5.04</v>
      </c>
      <c r="AH118" s="185">
        <v>8.0000000000000004E-4</v>
      </c>
      <c r="AI118" s="185">
        <v>5.04</v>
      </c>
      <c r="AJ118" s="185">
        <v>0</v>
      </c>
      <c r="AK118" s="185">
        <v>10.19</v>
      </c>
      <c r="AL118" s="185">
        <v>28.17</v>
      </c>
      <c r="AM118" s="186">
        <v>168</v>
      </c>
      <c r="AN118" s="186" t="str">
        <f t="shared" si="47"/>
        <v>Northland RegionTransit Corridors</v>
      </c>
      <c r="AO118" s="186">
        <f t="shared" si="76"/>
        <v>56</v>
      </c>
      <c r="AP118" s="187" t="s">
        <v>1105</v>
      </c>
      <c r="AQ118" s="187" t="str">
        <f t="shared" si="77"/>
        <v>Northland Region</v>
      </c>
      <c r="AR118" s="187" t="str">
        <f t="shared" si="78"/>
        <v>Combined</v>
      </c>
      <c r="AS118" s="187" t="str">
        <f t="shared" si="79"/>
        <v>2019/20</v>
      </c>
      <c r="AT118" s="187" t="str">
        <f t="shared" si="80"/>
        <v>URBAN</v>
      </c>
      <c r="AU118" s="187" t="str">
        <f t="shared" si="81"/>
        <v>Transit Corridors</v>
      </c>
      <c r="AV118" s="187" cm="1">
        <f t="array" ref="AV118">IF($AO118=999,0,INDEX(AG$198:AG$313,$AO118))</f>
        <v>2.9</v>
      </c>
      <c r="AW118" s="187" cm="1">
        <f t="array" ref="AW118">IF($AO118=999,0,INDEX(AH$198:AH$313,$AO118))</f>
        <v>3.5000000000000001E-3</v>
      </c>
      <c r="AX118" s="187" cm="1">
        <f t="array" ref="AX118">IF($AO118=999,0,INDEX(AI$198:AI$313,$AO118))</f>
        <v>2.9</v>
      </c>
      <c r="AY118" s="187" cm="1">
        <f t="array" ref="AY118">IF($AO118=999,0,INDEX(AJ$198:AJ$313,$AO118))</f>
        <v>0</v>
      </c>
      <c r="AZ118" s="187" cm="1">
        <f t="array" ref="AZ118">IF($AO118=999,0,INDEX(AK$198:AK$313,$AO118))</f>
        <v>5.8</v>
      </c>
      <c r="BA118" s="187" cm="1">
        <f t="array" ref="BA118">IF($AO118=999,0,INDEX(AL$198:AL$313,$AO118))</f>
        <v>13.14</v>
      </c>
      <c r="BB118" s="252" t="str">
        <f>INDEX(pMenus!$C$10:$C$23,MATCH(AU118,pMenus!$B$10:$B$23,0))</f>
        <v>Transit Corridors</v>
      </c>
      <c r="BC118" s="221">
        <f t="shared" si="67"/>
        <v>6206.8965517241377</v>
      </c>
      <c r="BD118" s="237">
        <f t="shared" si="68"/>
        <v>12413.793103448275</v>
      </c>
      <c r="BE118" s="188" t="s">
        <v>591</v>
      </c>
      <c r="BF118" s="188" t="str">
        <f t="shared" si="82"/>
        <v>Northland Region</v>
      </c>
      <c r="BG118" s="188" t="str">
        <f t="shared" si="83"/>
        <v>Combined</v>
      </c>
      <c r="BH118" s="188" t="str">
        <f t="shared" si="84"/>
        <v>2019/20</v>
      </c>
      <c r="BI118" s="188" t="str">
        <f t="shared" si="85"/>
        <v>URBAN</v>
      </c>
      <c r="BJ118" s="188" t="str">
        <f t="shared" si="86"/>
        <v>Transit Corridors</v>
      </c>
      <c r="BK118" s="188">
        <f t="shared" si="87"/>
        <v>2.14</v>
      </c>
      <c r="BL118" s="188">
        <f t="shared" si="88"/>
        <v>-2.7000000000000001E-3</v>
      </c>
      <c r="BM118" s="188">
        <f t="shared" si="89"/>
        <v>2.14</v>
      </c>
      <c r="BN118" s="188">
        <f t="shared" si="90"/>
        <v>0</v>
      </c>
      <c r="BO118" s="188">
        <f t="shared" si="91"/>
        <v>4.3899999999999997</v>
      </c>
      <c r="BP118" s="188">
        <f t="shared" si="92"/>
        <v>15.030000000000001</v>
      </c>
      <c r="BQ118" s="253" t="str">
        <f>INDEX(pMenus!$D$10:$D$23,MATCH(BJ118,pMenus!$B$10:$B$23,0))</f>
        <v>Urban Connectors</v>
      </c>
      <c r="BR118" s="226">
        <f t="shared" si="69"/>
        <v>9379.9731644147669</v>
      </c>
      <c r="BS118" s="238">
        <f t="shared" si="70"/>
        <v>19242.094482140572</v>
      </c>
    </row>
    <row r="119" spans="1:71">
      <c r="A119" s="202"/>
      <c r="B119" s="210" t="str">
        <f t="shared" si="75"/>
        <v>Urban Connectors Local LTA Roads Northland Region</v>
      </c>
      <c r="C119" s="193">
        <f t="shared" si="71"/>
        <v>162.35000000000002</v>
      </c>
      <c r="D119" s="193">
        <f t="shared" si="72"/>
        <v>187.61</v>
      </c>
      <c r="E119" s="194">
        <f t="shared" si="46"/>
        <v>3165.9993840468123</v>
      </c>
      <c r="F119" s="202"/>
      <c r="AA119" s="185" t="s">
        <v>412</v>
      </c>
      <c r="AB119" s="185" t="s">
        <v>427</v>
      </c>
      <c r="AC119" s="185" t="s">
        <v>401</v>
      </c>
      <c r="AD119" s="185" t="s">
        <v>331</v>
      </c>
      <c r="AE119" s="185" t="s">
        <v>407</v>
      </c>
      <c r="AF119" s="185" t="s">
        <v>411</v>
      </c>
      <c r="AG119" s="185">
        <v>136.19</v>
      </c>
      <c r="AH119" s="185">
        <v>2.0400000000000001E-2</v>
      </c>
      <c r="AI119" s="185">
        <v>136.19</v>
      </c>
      <c r="AJ119" s="185">
        <v>0</v>
      </c>
      <c r="AK119" s="185">
        <v>280.17</v>
      </c>
      <c r="AL119" s="185">
        <v>358.16</v>
      </c>
      <c r="AM119" s="186">
        <v>169</v>
      </c>
      <c r="AN119" s="186" t="str">
        <f t="shared" si="47"/>
        <v>Northland RegionUrban Connectors</v>
      </c>
      <c r="AO119" s="186">
        <f t="shared" si="76"/>
        <v>57</v>
      </c>
      <c r="AP119" s="187" t="s">
        <v>1105</v>
      </c>
      <c r="AQ119" s="187" t="str">
        <f t="shared" si="77"/>
        <v>Northland Region</v>
      </c>
      <c r="AR119" s="187" t="str">
        <f t="shared" si="78"/>
        <v>Combined</v>
      </c>
      <c r="AS119" s="187" t="str">
        <f t="shared" si="79"/>
        <v>2019/20</v>
      </c>
      <c r="AT119" s="187" t="str">
        <f t="shared" si="80"/>
        <v>URBAN</v>
      </c>
      <c r="AU119" s="187" t="str">
        <f t="shared" si="81"/>
        <v>Urban Connectors</v>
      </c>
      <c r="AV119" s="187" cm="1">
        <f t="array" ref="AV119">IF($AO119=999,0,INDEX(AG$198:AG$313,$AO119))</f>
        <v>58.68</v>
      </c>
      <c r="AW119" s="187" cm="1">
        <f t="array" ref="AW119">IF($AO119=999,0,INDEX(AH$198:AH$313,$AO119))</f>
        <v>6.9800000000000001E-2</v>
      </c>
      <c r="AX119" s="187" cm="1">
        <f t="array" ref="AX119">IF($AO119=999,0,INDEX(AI$198:AI$313,$AO119))</f>
        <v>58.68</v>
      </c>
      <c r="AY119" s="187" cm="1">
        <f t="array" ref="AY119">IF($AO119=999,0,INDEX(AJ$198:AJ$313,$AO119))</f>
        <v>0</v>
      </c>
      <c r="AZ119" s="187" cm="1">
        <f t="array" ref="AZ119">IF($AO119=999,0,INDEX(AK$198:AK$313,$AO119))</f>
        <v>117.82</v>
      </c>
      <c r="BA119" s="187" cm="1">
        <f t="array" ref="BA119">IF($AO119=999,0,INDEX(AL$198:AL$313,$AO119))</f>
        <v>170.55</v>
      </c>
      <c r="BB119" s="252" t="str">
        <f>INDEX(pMenus!$C$10:$C$23,MATCH(AU119,pMenus!$B$10:$B$23,0))</f>
        <v>Urban Connectors</v>
      </c>
      <c r="BC119" s="221">
        <f t="shared" si="67"/>
        <v>3965.8824815192902</v>
      </c>
      <c r="BD119" s="237">
        <f t="shared" si="68"/>
        <v>7962.854021346332</v>
      </c>
      <c r="BE119" s="188" t="s">
        <v>591</v>
      </c>
      <c r="BF119" s="188" t="str">
        <f t="shared" si="82"/>
        <v>Northland Region</v>
      </c>
      <c r="BG119" s="188" t="str">
        <f t="shared" si="83"/>
        <v>Combined</v>
      </c>
      <c r="BH119" s="188" t="str">
        <f t="shared" si="84"/>
        <v>2019/20</v>
      </c>
      <c r="BI119" s="188" t="str">
        <f t="shared" si="85"/>
        <v>URBAN</v>
      </c>
      <c r="BJ119" s="188" t="str">
        <f t="shared" si="86"/>
        <v>Urban Connectors</v>
      </c>
      <c r="BK119" s="188">
        <f t="shared" si="87"/>
        <v>77.509999999999991</v>
      </c>
      <c r="BL119" s="188">
        <f t="shared" si="88"/>
        <v>-4.9399999999999999E-2</v>
      </c>
      <c r="BM119" s="188">
        <f t="shared" si="89"/>
        <v>77.509999999999991</v>
      </c>
      <c r="BN119" s="188">
        <f t="shared" si="90"/>
        <v>0</v>
      </c>
      <c r="BO119" s="188">
        <f t="shared" si="91"/>
        <v>162.35000000000002</v>
      </c>
      <c r="BP119" s="188">
        <f t="shared" si="92"/>
        <v>187.61</v>
      </c>
      <c r="BQ119" s="253" t="str">
        <f>INDEX(pMenus!$D$10:$D$23,MATCH(BJ119,pMenus!$B$10:$B$23,0))</f>
        <v>Urban Connectors</v>
      </c>
      <c r="BR119" s="226">
        <f t="shared" si="69"/>
        <v>3165.9993840468123</v>
      </c>
      <c r="BS119" s="238">
        <f t="shared" si="70"/>
        <v>6631.4023996903634</v>
      </c>
    </row>
    <row r="120" spans="1:71">
      <c r="A120" s="202"/>
      <c r="B120" s="210" t="str">
        <f t="shared" si="75"/>
        <v>NA Local LTA Roads Otago Region</v>
      </c>
      <c r="C120" s="193">
        <f t="shared" si="71"/>
        <v>225.43</v>
      </c>
      <c r="D120" s="193">
        <f t="shared" si="72"/>
        <v>13.39</v>
      </c>
      <c r="E120" s="194">
        <f t="shared" si="46"/>
        <v>162.73313892050444</v>
      </c>
      <c r="F120" s="202"/>
      <c r="AA120" s="185" t="s">
        <v>412</v>
      </c>
      <c r="AB120" s="185" t="s">
        <v>428</v>
      </c>
      <c r="AC120" s="185" t="s">
        <v>401</v>
      </c>
      <c r="AD120" s="185" t="s">
        <v>331</v>
      </c>
      <c r="AE120" s="185"/>
      <c r="AF120" s="185" t="s">
        <v>402</v>
      </c>
      <c r="AG120" s="185">
        <v>142.41999999999999</v>
      </c>
      <c r="AH120" s="185">
        <v>1.34E-2</v>
      </c>
      <c r="AI120" s="185">
        <v>43.71</v>
      </c>
      <c r="AJ120" s="185">
        <v>98.71</v>
      </c>
      <c r="AK120" s="185">
        <v>230.18</v>
      </c>
      <c r="AL120" s="185">
        <v>20.93</v>
      </c>
      <c r="AM120" s="186">
        <v>179</v>
      </c>
      <c r="AN120" s="186" t="str">
        <f t="shared" si="47"/>
        <v>Otago RegionUnclassified</v>
      </c>
      <c r="AO120" s="186">
        <f t="shared" si="76"/>
        <v>58</v>
      </c>
      <c r="AP120" s="187" t="s">
        <v>1105</v>
      </c>
      <c r="AQ120" s="187" t="str">
        <f t="shared" si="77"/>
        <v>Otago Region</v>
      </c>
      <c r="AR120" s="187" t="str">
        <f t="shared" si="78"/>
        <v>Combined</v>
      </c>
      <c r="AS120" s="187" t="str">
        <f t="shared" si="79"/>
        <v>2019/20</v>
      </c>
      <c r="AT120" s="187">
        <f t="shared" si="80"/>
        <v>0</v>
      </c>
      <c r="AU120" s="187" t="str">
        <f t="shared" si="81"/>
        <v>Unclassified</v>
      </c>
      <c r="AV120" s="187" cm="1">
        <f t="array" ref="AV120">IF($AO120=999,0,INDEX(AG$198:AG$313,$AO120))</f>
        <v>2.77</v>
      </c>
      <c r="AW120" s="187" cm="1">
        <f t="array" ref="AW120">IF($AO120=999,0,INDEX(AH$198:AH$313,$AO120))</f>
        <v>2.0999999999999999E-3</v>
      </c>
      <c r="AX120" s="187" cm="1">
        <f t="array" ref="AX120">IF($AO120=999,0,INDEX(AI$198:AI$313,$AO120))</f>
        <v>2.77</v>
      </c>
      <c r="AY120" s="187" cm="1">
        <f t="array" ref="AY120">IF($AO120=999,0,INDEX(AJ$198:AJ$313,$AO120))</f>
        <v>0</v>
      </c>
      <c r="AZ120" s="187" cm="1">
        <f t="array" ref="AZ120">IF($AO120=999,0,INDEX(AK$198:AK$313,$AO120))</f>
        <v>4.75</v>
      </c>
      <c r="BA120" s="187" cm="1">
        <f t="array" ref="BA120">IF($AO120=999,0,INDEX(AL$198:AL$313,$AO120))</f>
        <v>7.54</v>
      </c>
      <c r="BB120" s="252" t="str">
        <f>INDEX(pMenus!$C$10:$C$23,MATCH(AU120,pMenus!$B$10:$B$23,0))</f>
        <v>NA</v>
      </c>
      <c r="BC120" s="221">
        <f t="shared" si="67"/>
        <v>4348.9545782263876</v>
      </c>
      <c r="BD120" s="237">
        <f t="shared" si="68"/>
        <v>7457.5935908214242</v>
      </c>
      <c r="BE120" s="188" t="s">
        <v>591</v>
      </c>
      <c r="BF120" s="188" t="str">
        <f t="shared" si="82"/>
        <v>Otago Region</v>
      </c>
      <c r="BG120" s="188" t="str">
        <f t="shared" si="83"/>
        <v>Combined</v>
      </c>
      <c r="BH120" s="188" t="str">
        <f t="shared" si="84"/>
        <v>2019/20</v>
      </c>
      <c r="BI120" s="188">
        <f t="shared" si="85"/>
        <v>0</v>
      </c>
      <c r="BJ120" s="188" t="str">
        <f t="shared" si="86"/>
        <v>Unclassified</v>
      </c>
      <c r="BK120" s="188">
        <f t="shared" si="87"/>
        <v>139.64999999999998</v>
      </c>
      <c r="BL120" s="188">
        <f t="shared" si="88"/>
        <v>1.1300000000000001E-2</v>
      </c>
      <c r="BM120" s="188">
        <f t="shared" si="89"/>
        <v>40.94</v>
      </c>
      <c r="BN120" s="188">
        <f t="shared" si="90"/>
        <v>98.71</v>
      </c>
      <c r="BO120" s="188">
        <f t="shared" si="91"/>
        <v>225.43</v>
      </c>
      <c r="BP120" s="188">
        <f t="shared" si="92"/>
        <v>13.39</v>
      </c>
      <c r="BQ120" s="253" t="str">
        <f>INDEX(pMenus!$D$10:$D$23,MATCH(BJ120,pMenus!$B$10:$B$23,0))</f>
        <v>NA</v>
      </c>
      <c r="BR120" s="226">
        <f t="shared" si="69"/>
        <v>162.73313892050444</v>
      </c>
      <c r="BS120" s="238">
        <f t="shared" si="70"/>
        <v>262.69195493626438</v>
      </c>
    </row>
    <row r="121" spans="1:71">
      <c r="A121" s="202"/>
      <c r="B121" s="210" t="str">
        <f t="shared" si="75"/>
        <v>Interregional Connectors Local LTA Roads Otago Region</v>
      </c>
      <c r="C121" s="193">
        <f t="shared" si="71"/>
        <v>0</v>
      </c>
      <c r="D121" s="193">
        <f t="shared" si="72"/>
        <v>0</v>
      </c>
      <c r="E121" s="194">
        <f t="shared" si="46"/>
        <v>0</v>
      </c>
      <c r="F121" s="202"/>
      <c r="AA121" s="185" t="s">
        <v>412</v>
      </c>
      <c r="AB121" s="185" t="s">
        <v>428</v>
      </c>
      <c r="AC121" s="185" t="s">
        <v>401</v>
      </c>
      <c r="AD121" s="185" t="s">
        <v>331</v>
      </c>
      <c r="AE121" s="185" t="s">
        <v>403</v>
      </c>
      <c r="AF121" s="185" t="s">
        <v>404</v>
      </c>
      <c r="AG121" s="185">
        <v>326.27</v>
      </c>
      <c r="AH121" s="185">
        <v>3.0800000000000001E-2</v>
      </c>
      <c r="AI121" s="185">
        <v>326.27</v>
      </c>
      <c r="AJ121" s="185">
        <v>0</v>
      </c>
      <c r="AK121" s="185">
        <v>682.04</v>
      </c>
      <c r="AL121" s="185">
        <v>675.9</v>
      </c>
      <c r="AM121" s="186">
        <v>180</v>
      </c>
      <c r="AN121" s="186" t="str">
        <f t="shared" si="47"/>
        <v>Otago RegionInterregional Connectors</v>
      </c>
      <c r="AO121" s="186">
        <f t="shared" si="76"/>
        <v>59</v>
      </c>
      <c r="AP121" s="187" t="s">
        <v>1105</v>
      </c>
      <c r="AQ121" s="187" t="str">
        <f t="shared" si="77"/>
        <v>Otago Region</v>
      </c>
      <c r="AR121" s="187" t="str">
        <f t="shared" si="78"/>
        <v>Combined</v>
      </c>
      <c r="AS121" s="187" t="str">
        <f t="shared" si="79"/>
        <v>2019/20</v>
      </c>
      <c r="AT121" s="187" t="str">
        <f t="shared" si="80"/>
        <v>RURAL</v>
      </c>
      <c r="AU121" s="187" t="str">
        <f t="shared" si="81"/>
        <v>Interregional Connectors</v>
      </c>
      <c r="AV121" s="187" cm="1">
        <f t="array" ref="AV121">IF($AO121=999,0,INDEX(AG$198:AG$313,$AO121))</f>
        <v>326.27</v>
      </c>
      <c r="AW121" s="187" cm="1">
        <f t="array" ref="AW121">IF($AO121=999,0,INDEX(AH$198:AH$313,$AO121))</f>
        <v>0.2462</v>
      </c>
      <c r="AX121" s="187" cm="1">
        <f t="array" ref="AX121">IF($AO121=999,0,INDEX(AI$198:AI$313,$AO121))</f>
        <v>326.27</v>
      </c>
      <c r="AY121" s="187" cm="1">
        <f t="array" ref="AY121">IF($AO121=999,0,INDEX(AJ$198:AJ$313,$AO121))</f>
        <v>0</v>
      </c>
      <c r="AZ121" s="187" cm="1">
        <f t="array" ref="AZ121">IF($AO121=999,0,INDEX(AK$198:AK$313,$AO121))</f>
        <v>682.04</v>
      </c>
      <c r="BA121" s="187" cm="1">
        <f t="array" ref="BA121">IF($AO121=999,0,INDEX(AL$198:AL$313,$AO121))</f>
        <v>675.9</v>
      </c>
      <c r="BB121" s="252" t="str">
        <f>INDEX(pMenus!$C$10:$C$23,MATCH(AU121,pMenus!$B$10:$B$23,0))</f>
        <v>Interregional Connectors</v>
      </c>
      <c r="BC121" s="221">
        <f t="shared" si="67"/>
        <v>2715.0619053395817</v>
      </c>
      <c r="BD121" s="237">
        <f t="shared" si="68"/>
        <v>5675.6086122469378</v>
      </c>
      <c r="BE121" s="188" t="s">
        <v>591</v>
      </c>
      <c r="BF121" s="188" t="str">
        <f t="shared" si="82"/>
        <v>Otago Region</v>
      </c>
      <c r="BG121" s="188" t="str">
        <f t="shared" si="83"/>
        <v>Combined</v>
      </c>
      <c r="BH121" s="188" t="str">
        <f t="shared" si="84"/>
        <v>2019/20</v>
      </c>
      <c r="BI121" s="188" t="str">
        <f t="shared" si="85"/>
        <v>RURAL</v>
      </c>
      <c r="BJ121" s="188" t="str">
        <f t="shared" si="86"/>
        <v>Interregional Connectors</v>
      </c>
      <c r="BK121" s="188">
        <f t="shared" si="87"/>
        <v>0</v>
      </c>
      <c r="BL121" s="188">
        <f t="shared" si="88"/>
        <v>-0.21540000000000001</v>
      </c>
      <c r="BM121" s="188">
        <f t="shared" si="89"/>
        <v>0</v>
      </c>
      <c r="BN121" s="188">
        <f t="shared" si="90"/>
        <v>0</v>
      </c>
      <c r="BO121" s="188">
        <f t="shared" si="91"/>
        <v>0</v>
      </c>
      <c r="BP121" s="188">
        <f t="shared" si="92"/>
        <v>0</v>
      </c>
      <c r="BQ121" s="253" t="str">
        <f>INDEX(pMenus!$D$10:$D$23,MATCH(BJ121,pMenus!$B$10:$B$23,0))</f>
        <v>Interregional Connectors</v>
      </c>
      <c r="BR121" s="226">
        <f t="shared" si="69"/>
        <v>0</v>
      </c>
      <c r="BS121" s="238">
        <f t="shared" si="70"/>
        <v>0</v>
      </c>
    </row>
    <row r="122" spans="1:71">
      <c r="A122" s="202"/>
      <c r="B122" s="210" t="str">
        <f t="shared" si="75"/>
        <v>Rural Connectors Local LTA Roads Otago Region</v>
      </c>
      <c r="C122" s="193">
        <f t="shared" si="71"/>
        <v>339.18</v>
      </c>
      <c r="D122" s="193">
        <f t="shared" si="72"/>
        <v>49.61</v>
      </c>
      <c r="E122" s="194">
        <f t="shared" si="46"/>
        <v>400.724713188213</v>
      </c>
      <c r="F122" s="202"/>
      <c r="AA122" s="185" t="s">
        <v>412</v>
      </c>
      <c r="AB122" s="185" t="s">
        <v>428</v>
      </c>
      <c r="AC122" s="185" t="s">
        <v>401</v>
      </c>
      <c r="AD122" s="185" t="s">
        <v>331</v>
      </c>
      <c r="AE122" s="185" t="s">
        <v>403</v>
      </c>
      <c r="AF122" s="185" t="s">
        <v>405</v>
      </c>
      <c r="AG122" s="185">
        <v>185.65</v>
      </c>
      <c r="AH122" s="185">
        <v>1.7500000000000002E-2</v>
      </c>
      <c r="AI122" s="185">
        <v>153.94999999999999</v>
      </c>
      <c r="AJ122" s="185">
        <v>31.7</v>
      </c>
      <c r="AK122" s="185">
        <v>347.92</v>
      </c>
      <c r="AL122" s="185">
        <v>57.37</v>
      </c>
      <c r="AM122" s="186">
        <v>181</v>
      </c>
      <c r="AN122" s="186" t="str">
        <f t="shared" si="47"/>
        <v>Otago RegionPeri-urban Roads</v>
      </c>
      <c r="AO122" s="186">
        <f t="shared" si="76"/>
        <v>60</v>
      </c>
      <c r="AP122" s="187" t="s">
        <v>1105</v>
      </c>
      <c r="AQ122" s="187" t="str">
        <f t="shared" si="77"/>
        <v>Otago Region</v>
      </c>
      <c r="AR122" s="187" t="str">
        <f t="shared" si="78"/>
        <v>Combined</v>
      </c>
      <c r="AS122" s="187" t="str">
        <f t="shared" si="79"/>
        <v>2019/20</v>
      </c>
      <c r="AT122" s="187" t="str">
        <f t="shared" si="80"/>
        <v>RURAL</v>
      </c>
      <c r="AU122" s="187" t="str">
        <f t="shared" si="81"/>
        <v>Peri-urban Roads</v>
      </c>
      <c r="AV122" s="187" cm="1">
        <f t="array" ref="AV122">IF($AO122=999,0,INDEX(AG$198:AG$313,$AO122))</f>
        <v>4.37</v>
      </c>
      <c r="AW122" s="187" cm="1">
        <f t="array" ref="AW122">IF($AO122=999,0,INDEX(AH$198:AH$313,$AO122))</f>
        <v>3.3E-3</v>
      </c>
      <c r="AX122" s="187" cm="1">
        <f t="array" ref="AX122">IF($AO122=999,0,INDEX(AI$198:AI$313,$AO122))</f>
        <v>4.37</v>
      </c>
      <c r="AY122" s="187" cm="1">
        <f t="array" ref="AY122">IF($AO122=999,0,INDEX(AJ$198:AJ$313,$AO122))</f>
        <v>0</v>
      </c>
      <c r="AZ122" s="187" cm="1">
        <f t="array" ref="AZ122">IF($AO122=999,0,INDEX(AK$198:AK$313,$AO122))</f>
        <v>8.74</v>
      </c>
      <c r="BA122" s="187" cm="1">
        <f t="array" ref="BA122">IF($AO122=999,0,INDEX(AL$198:AL$313,$AO122))</f>
        <v>7.76</v>
      </c>
      <c r="BB122" s="252" t="str">
        <f>INDEX(pMenus!$C$10:$C$23,MATCH(AU122,pMenus!$B$10:$B$23,0))</f>
        <v>Interregional Connectors</v>
      </c>
      <c r="BC122" s="221">
        <f t="shared" si="67"/>
        <v>2432.5256261559198</v>
      </c>
      <c r="BD122" s="237">
        <f t="shared" si="68"/>
        <v>4865.0512523118396</v>
      </c>
      <c r="BE122" s="188" t="s">
        <v>591</v>
      </c>
      <c r="BF122" s="188" t="str">
        <f t="shared" si="82"/>
        <v>Otago Region</v>
      </c>
      <c r="BG122" s="188" t="str">
        <f t="shared" si="83"/>
        <v>Combined</v>
      </c>
      <c r="BH122" s="188" t="str">
        <f t="shared" si="84"/>
        <v>2019/20</v>
      </c>
      <c r="BI122" s="188" t="str">
        <f t="shared" si="85"/>
        <v>RURAL</v>
      </c>
      <c r="BJ122" s="188" t="str">
        <f t="shared" si="86"/>
        <v>Peri-urban Roads</v>
      </c>
      <c r="BK122" s="188">
        <f t="shared" si="87"/>
        <v>181.28</v>
      </c>
      <c r="BL122" s="188">
        <f t="shared" si="88"/>
        <v>1.4200000000000001E-2</v>
      </c>
      <c r="BM122" s="188">
        <f t="shared" si="89"/>
        <v>149.57999999999998</v>
      </c>
      <c r="BN122" s="188">
        <f t="shared" si="90"/>
        <v>31.7</v>
      </c>
      <c r="BO122" s="188">
        <f t="shared" si="91"/>
        <v>339.18</v>
      </c>
      <c r="BP122" s="188">
        <f t="shared" si="92"/>
        <v>49.61</v>
      </c>
      <c r="BQ122" s="253" t="str">
        <f>INDEX(pMenus!$D$10:$D$23,MATCH(BJ122,pMenus!$B$10:$B$23,0))</f>
        <v>Rural Connectors</v>
      </c>
      <c r="BR122" s="226">
        <f t="shared" si="69"/>
        <v>400.724713188213</v>
      </c>
      <c r="BS122" s="238">
        <f t="shared" si="70"/>
        <v>749.76725628408042</v>
      </c>
    </row>
    <row r="123" spans="1:71">
      <c r="A123" s="202"/>
      <c r="B123" s="210" t="str">
        <f t="shared" si="75"/>
        <v>Rural Connectors Local LTA Roads Otago Region</v>
      </c>
      <c r="C123" s="193">
        <f t="shared" si="71"/>
        <v>2144.5</v>
      </c>
      <c r="D123" s="193">
        <f t="shared" si="72"/>
        <v>319.15000000000009</v>
      </c>
      <c r="E123" s="194">
        <f t="shared" si="46"/>
        <v>407.73306674928227</v>
      </c>
      <c r="F123" s="202"/>
      <c r="AA123" s="185" t="s">
        <v>412</v>
      </c>
      <c r="AB123" s="185" t="s">
        <v>428</v>
      </c>
      <c r="AC123" s="185" t="s">
        <v>401</v>
      </c>
      <c r="AD123" s="185" t="s">
        <v>331</v>
      </c>
      <c r="AE123" s="185" t="s">
        <v>403</v>
      </c>
      <c r="AF123" s="185" t="s">
        <v>406</v>
      </c>
      <c r="AG123" s="185">
        <v>1963.4</v>
      </c>
      <c r="AH123" s="185">
        <v>0.18540000000000001</v>
      </c>
      <c r="AI123" s="185">
        <v>1887</v>
      </c>
      <c r="AJ123" s="185">
        <v>76.400000000000006</v>
      </c>
      <c r="AK123" s="185">
        <v>3921.3</v>
      </c>
      <c r="AL123" s="185">
        <v>911.83</v>
      </c>
      <c r="AM123" s="186">
        <v>182</v>
      </c>
      <c r="AN123" s="186" t="str">
        <f t="shared" si="47"/>
        <v>Otago RegionRural Connectors</v>
      </c>
      <c r="AO123" s="186">
        <f t="shared" si="76"/>
        <v>61</v>
      </c>
      <c r="AP123" s="187" t="s">
        <v>1105</v>
      </c>
      <c r="AQ123" s="187" t="str">
        <f t="shared" si="77"/>
        <v>Otago Region</v>
      </c>
      <c r="AR123" s="187" t="str">
        <f t="shared" si="78"/>
        <v>Combined</v>
      </c>
      <c r="AS123" s="187" t="str">
        <f t="shared" si="79"/>
        <v>2019/20</v>
      </c>
      <c r="AT123" s="187" t="str">
        <f t="shared" si="80"/>
        <v>RURAL</v>
      </c>
      <c r="AU123" s="187" t="str">
        <f t="shared" si="81"/>
        <v>Rural Connectors</v>
      </c>
      <c r="AV123" s="187" cm="1">
        <f t="array" ref="AV123">IF($AO123=999,0,INDEX(AG$198:AG$313,$AO123))</f>
        <v>885.89</v>
      </c>
      <c r="AW123" s="187" cm="1">
        <f t="array" ref="AW123">IF($AO123=999,0,INDEX(AH$198:AH$313,$AO123))</f>
        <v>0.66839999999999999</v>
      </c>
      <c r="AX123" s="187" cm="1">
        <f t="array" ref="AX123">IF($AO123=999,0,INDEX(AI$198:AI$313,$AO123))</f>
        <v>885.89</v>
      </c>
      <c r="AY123" s="187" cm="1">
        <f t="array" ref="AY123">IF($AO123=999,0,INDEX(AJ$198:AJ$313,$AO123))</f>
        <v>0</v>
      </c>
      <c r="AZ123" s="187" cm="1">
        <f t="array" ref="AZ123">IF($AO123=999,0,INDEX(AK$198:AK$313,$AO123))</f>
        <v>1776.8</v>
      </c>
      <c r="BA123" s="187" cm="1">
        <f t="array" ref="BA123">IF($AO123=999,0,INDEX(AL$198:AL$313,$AO123))</f>
        <v>592.67999999999995</v>
      </c>
      <c r="BB123" s="252" t="str">
        <f>INDEX(pMenus!$C$10:$C$23,MATCH(AU123,pMenus!$B$10:$B$23,0))</f>
        <v>Rural Connectors</v>
      </c>
      <c r="BC123" s="221">
        <f t="shared" si="67"/>
        <v>913.87934596904995</v>
      </c>
      <c r="BD123" s="237">
        <f t="shared" si="68"/>
        <v>1832.937296862825</v>
      </c>
      <c r="BE123" s="188" t="s">
        <v>591</v>
      </c>
      <c r="BF123" s="188" t="str">
        <f t="shared" si="82"/>
        <v>Otago Region</v>
      </c>
      <c r="BG123" s="188" t="str">
        <f t="shared" si="83"/>
        <v>Combined</v>
      </c>
      <c r="BH123" s="188" t="str">
        <f t="shared" si="84"/>
        <v>2019/20</v>
      </c>
      <c r="BI123" s="188" t="str">
        <f t="shared" si="85"/>
        <v>RURAL</v>
      </c>
      <c r="BJ123" s="188" t="str">
        <f t="shared" si="86"/>
        <v>Rural Connectors</v>
      </c>
      <c r="BK123" s="188">
        <f t="shared" si="87"/>
        <v>1077.5100000000002</v>
      </c>
      <c r="BL123" s="188">
        <f t="shared" si="88"/>
        <v>-0.48299999999999998</v>
      </c>
      <c r="BM123" s="188">
        <f t="shared" si="89"/>
        <v>1001.11</v>
      </c>
      <c r="BN123" s="188">
        <f t="shared" si="90"/>
        <v>76.400000000000006</v>
      </c>
      <c r="BO123" s="188">
        <f t="shared" si="91"/>
        <v>2144.5</v>
      </c>
      <c r="BP123" s="188">
        <f t="shared" si="92"/>
        <v>319.15000000000009</v>
      </c>
      <c r="BQ123" s="253" t="str">
        <f>INDEX(pMenus!$D$10:$D$23,MATCH(BJ123,pMenus!$B$10:$B$23,0))</f>
        <v>Rural Connectors</v>
      </c>
      <c r="BR123" s="226">
        <f t="shared" si="69"/>
        <v>407.73306674928227</v>
      </c>
      <c r="BS123" s="238">
        <f t="shared" si="70"/>
        <v>811.48533344826092</v>
      </c>
    </row>
    <row r="124" spans="1:71">
      <c r="A124" s="202"/>
      <c r="B124" s="210" t="str">
        <f t="shared" si="75"/>
        <v>Rural Connectors Local LTA Roads Otago Region</v>
      </c>
      <c r="C124" s="193">
        <f t="shared" si="71"/>
        <v>10144.34</v>
      </c>
      <c r="D124" s="193">
        <f t="shared" si="72"/>
        <v>147.65</v>
      </c>
      <c r="E124" s="194">
        <f t="shared" si="46"/>
        <v>39.876477715179647</v>
      </c>
      <c r="F124" s="202"/>
      <c r="AA124" s="185" t="s">
        <v>412</v>
      </c>
      <c r="AB124" s="185" t="s">
        <v>428</v>
      </c>
      <c r="AC124" s="185" t="s">
        <v>401</v>
      </c>
      <c r="AD124" s="185" t="s">
        <v>331</v>
      </c>
      <c r="AE124" s="185" t="s">
        <v>403</v>
      </c>
      <c r="AF124" s="185" t="s">
        <v>414</v>
      </c>
      <c r="AG124" s="185">
        <v>6432.33</v>
      </c>
      <c r="AH124" s="185">
        <v>0.60729999999999995</v>
      </c>
      <c r="AI124" s="185">
        <v>1176.5899999999999</v>
      </c>
      <c r="AJ124" s="185">
        <v>5255.74</v>
      </c>
      <c r="AK124" s="185">
        <v>10144.34</v>
      </c>
      <c r="AL124" s="185">
        <v>147.65</v>
      </c>
      <c r="AM124" s="186">
        <v>183</v>
      </c>
      <c r="AN124" s="186" t="str">
        <f t="shared" si="47"/>
        <v>Otago RegionRural Roads</v>
      </c>
      <c r="AO124" s="186">
        <f t="shared" si="76"/>
        <v>999</v>
      </c>
      <c r="AP124" s="187" t="s">
        <v>1105</v>
      </c>
      <c r="AQ124" s="187" t="str">
        <f t="shared" si="77"/>
        <v>Otago Region</v>
      </c>
      <c r="AR124" s="187" t="str">
        <f t="shared" si="78"/>
        <v>Combined</v>
      </c>
      <c r="AS124" s="187" t="str">
        <f t="shared" si="79"/>
        <v>2019/20</v>
      </c>
      <c r="AT124" s="187" t="str">
        <f t="shared" si="80"/>
        <v>RURAL</v>
      </c>
      <c r="AU124" s="187" t="str">
        <f t="shared" si="81"/>
        <v>Rural Roads</v>
      </c>
      <c r="AV124" s="187" cm="1">
        <f t="array" ref="AV124">IF($AO124=999,0,INDEX(AG$198:AG$313,$AO124))</f>
        <v>0</v>
      </c>
      <c r="AW124" s="187" cm="1">
        <f t="array" ref="AW124">IF($AO124=999,0,INDEX(AH$198:AH$313,$AO124))</f>
        <v>0</v>
      </c>
      <c r="AX124" s="187" cm="1">
        <f t="array" ref="AX124">IF($AO124=999,0,INDEX(AI$198:AI$313,$AO124))</f>
        <v>0</v>
      </c>
      <c r="AY124" s="187" cm="1">
        <f t="array" ref="AY124">IF($AO124=999,0,INDEX(AJ$198:AJ$313,$AO124))</f>
        <v>0</v>
      </c>
      <c r="AZ124" s="187" cm="1">
        <f t="array" ref="AZ124">IF($AO124=999,0,INDEX(AK$198:AK$313,$AO124))</f>
        <v>0</v>
      </c>
      <c r="BA124" s="187" cm="1">
        <f t="array" ref="BA124">IF($AO124=999,0,INDEX(AL$198:AL$313,$AO124))</f>
        <v>0</v>
      </c>
      <c r="BB124" s="252" t="str">
        <f>INDEX(pMenus!$C$10:$C$23,MATCH(AU124,pMenus!$B$10:$B$23,0))</f>
        <v>NA</v>
      </c>
      <c r="BC124" s="221">
        <f t="shared" si="67"/>
        <v>0</v>
      </c>
      <c r="BD124" s="237">
        <f t="shared" si="68"/>
        <v>0</v>
      </c>
      <c r="BE124" s="188" t="s">
        <v>591</v>
      </c>
      <c r="BF124" s="188" t="str">
        <f t="shared" si="82"/>
        <v>Otago Region</v>
      </c>
      <c r="BG124" s="188" t="str">
        <f t="shared" si="83"/>
        <v>Combined</v>
      </c>
      <c r="BH124" s="188" t="str">
        <f t="shared" si="84"/>
        <v>2019/20</v>
      </c>
      <c r="BI124" s="188" t="str">
        <f t="shared" si="85"/>
        <v>RURAL</v>
      </c>
      <c r="BJ124" s="188" t="str">
        <f t="shared" si="86"/>
        <v>Rural Roads</v>
      </c>
      <c r="BK124" s="188">
        <f t="shared" si="87"/>
        <v>6432.33</v>
      </c>
      <c r="BL124" s="188">
        <f t="shared" si="88"/>
        <v>0.60729999999999995</v>
      </c>
      <c r="BM124" s="188">
        <f t="shared" si="89"/>
        <v>1176.5899999999999</v>
      </c>
      <c r="BN124" s="188">
        <f t="shared" si="90"/>
        <v>5255.74</v>
      </c>
      <c r="BO124" s="188">
        <f t="shared" si="91"/>
        <v>10144.34</v>
      </c>
      <c r="BP124" s="188">
        <f t="shared" si="92"/>
        <v>147.65</v>
      </c>
      <c r="BQ124" s="253" t="str">
        <f>INDEX(pMenus!$D$10:$D$23,MATCH(BJ124,pMenus!$B$10:$B$23,0))</f>
        <v>Rural Connectors</v>
      </c>
      <c r="BR124" s="226">
        <f t="shared" si="69"/>
        <v>39.876477715179647</v>
      </c>
      <c r="BS124" s="238">
        <f t="shared" si="70"/>
        <v>62.888649672079254</v>
      </c>
    </row>
    <row r="125" spans="1:71">
      <c r="A125" s="202"/>
      <c r="B125" s="210" t="str">
        <f t="shared" si="75"/>
        <v>Rural Connectors Local LTA Roads Otago Region</v>
      </c>
      <c r="C125" s="193">
        <f t="shared" si="71"/>
        <v>37.49</v>
      </c>
      <c r="D125" s="193">
        <f t="shared" si="72"/>
        <v>4.24</v>
      </c>
      <c r="E125" s="194">
        <f t="shared" si="46"/>
        <v>309.85431731566774</v>
      </c>
      <c r="F125" s="202"/>
      <c r="AA125" s="185" t="s">
        <v>412</v>
      </c>
      <c r="AB125" s="185" t="s">
        <v>428</v>
      </c>
      <c r="AC125" s="185" t="s">
        <v>401</v>
      </c>
      <c r="AD125" s="185" t="s">
        <v>331</v>
      </c>
      <c r="AE125" s="185" t="s">
        <v>403</v>
      </c>
      <c r="AF125" s="185" t="s">
        <v>415</v>
      </c>
      <c r="AG125" s="185">
        <v>20.6</v>
      </c>
      <c r="AH125" s="185">
        <v>1.9E-3</v>
      </c>
      <c r="AI125" s="185">
        <v>15.75</v>
      </c>
      <c r="AJ125" s="185">
        <v>4.8499999999999996</v>
      </c>
      <c r="AK125" s="185">
        <v>37.89</v>
      </c>
      <c r="AL125" s="185">
        <v>4.42</v>
      </c>
      <c r="AM125" s="186">
        <v>184</v>
      </c>
      <c r="AN125" s="186" t="str">
        <f t="shared" si="47"/>
        <v>Otago RegionStopping Places</v>
      </c>
      <c r="AO125" s="186">
        <f t="shared" si="76"/>
        <v>62</v>
      </c>
      <c r="AP125" s="187" t="s">
        <v>1105</v>
      </c>
      <c r="AQ125" s="187" t="str">
        <f t="shared" si="77"/>
        <v>Otago Region</v>
      </c>
      <c r="AR125" s="187" t="str">
        <f t="shared" si="78"/>
        <v>Combined</v>
      </c>
      <c r="AS125" s="187" t="str">
        <f t="shared" si="79"/>
        <v>2019/20</v>
      </c>
      <c r="AT125" s="187" t="str">
        <f t="shared" si="80"/>
        <v>RURAL</v>
      </c>
      <c r="AU125" s="187" t="str">
        <f t="shared" si="81"/>
        <v>Stopping Places</v>
      </c>
      <c r="AV125" s="187" cm="1">
        <f t="array" ref="AV125">IF($AO125=999,0,INDEX(AG$198:AG$313,$AO125))</f>
        <v>0.2</v>
      </c>
      <c r="AW125" s="187" cm="1">
        <f t="array" ref="AW125">IF($AO125=999,0,INDEX(AH$198:AH$313,$AO125))</f>
        <v>2.0000000000000001E-4</v>
      </c>
      <c r="AX125" s="187" cm="1">
        <f t="array" ref="AX125">IF($AO125=999,0,INDEX(AI$198:AI$313,$AO125))</f>
        <v>0.2</v>
      </c>
      <c r="AY125" s="187" cm="1">
        <f t="array" ref="AY125">IF($AO125=999,0,INDEX(AJ$198:AJ$313,$AO125))</f>
        <v>0</v>
      </c>
      <c r="AZ125" s="187" cm="1">
        <f t="array" ref="AZ125">IF($AO125=999,0,INDEX(AK$198:AK$313,$AO125))</f>
        <v>0.4</v>
      </c>
      <c r="BA125" s="187" cm="1">
        <f t="array" ref="BA125">IF($AO125=999,0,INDEX(AL$198:AL$313,$AO125))</f>
        <v>0.18</v>
      </c>
      <c r="BB125" s="252" t="str">
        <f>INDEX(pMenus!$C$10:$C$23,MATCH(AU125,pMenus!$B$10:$B$23,0))</f>
        <v>Interregional Connectors</v>
      </c>
      <c r="BC125" s="221">
        <f t="shared" si="67"/>
        <v>1232.8767123287669</v>
      </c>
      <c r="BD125" s="237">
        <f t="shared" si="68"/>
        <v>2465.7534246575337</v>
      </c>
      <c r="BE125" s="188" t="s">
        <v>591</v>
      </c>
      <c r="BF125" s="188" t="str">
        <f t="shared" si="82"/>
        <v>Otago Region</v>
      </c>
      <c r="BG125" s="188" t="str">
        <f t="shared" si="83"/>
        <v>Combined</v>
      </c>
      <c r="BH125" s="188" t="str">
        <f t="shared" si="84"/>
        <v>2019/20</v>
      </c>
      <c r="BI125" s="188" t="str">
        <f t="shared" si="85"/>
        <v>RURAL</v>
      </c>
      <c r="BJ125" s="188" t="str">
        <f t="shared" si="86"/>
        <v>Stopping Places</v>
      </c>
      <c r="BK125" s="188">
        <f t="shared" si="87"/>
        <v>20.400000000000002</v>
      </c>
      <c r="BL125" s="188">
        <f t="shared" si="88"/>
        <v>1.6999999999999999E-3</v>
      </c>
      <c r="BM125" s="188">
        <f t="shared" si="89"/>
        <v>15.55</v>
      </c>
      <c r="BN125" s="188">
        <f t="shared" si="90"/>
        <v>4.8499999999999996</v>
      </c>
      <c r="BO125" s="188">
        <f t="shared" si="91"/>
        <v>37.49</v>
      </c>
      <c r="BP125" s="188">
        <f t="shared" si="92"/>
        <v>4.24</v>
      </c>
      <c r="BQ125" s="253" t="str">
        <f>INDEX(pMenus!$D$10:$D$23,MATCH(BJ125,pMenus!$B$10:$B$23,0))</f>
        <v>Rural Connectors</v>
      </c>
      <c r="BR125" s="226">
        <f t="shared" si="69"/>
        <v>309.85431731566774</v>
      </c>
      <c r="BS125" s="238">
        <f t="shared" si="70"/>
        <v>569.43325275315601</v>
      </c>
    </row>
    <row r="126" spans="1:71">
      <c r="A126" s="202"/>
      <c r="B126" s="210" t="str">
        <f t="shared" si="75"/>
        <v>Activity Streets Local LTA Roads Otago Region</v>
      </c>
      <c r="C126" s="193">
        <f t="shared" si="71"/>
        <v>178.14</v>
      </c>
      <c r="D126" s="193">
        <f t="shared" si="72"/>
        <v>131.88999999999999</v>
      </c>
      <c r="E126" s="194">
        <f t="shared" si="46"/>
        <v>2028.4184672360204</v>
      </c>
      <c r="F126" s="202"/>
      <c r="AA126" s="185" t="s">
        <v>412</v>
      </c>
      <c r="AB126" s="185" t="s">
        <v>428</v>
      </c>
      <c r="AC126" s="185" t="s">
        <v>401</v>
      </c>
      <c r="AD126" s="185" t="s">
        <v>331</v>
      </c>
      <c r="AE126" s="185" t="s">
        <v>407</v>
      </c>
      <c r="AF126" s="185" t="s">
        <v>408</v>
      </c>
      <c r="AG126" s="185">
        <v>104.39</v>
      </c>
      <c r="AH126" s="185">
        <v>9.9000000000000008E-3</v>
      </c>
      <c r="AI126" s="185">
        <v>103.72</v>
      </c>
      <c r="AJ126" s="185">
        <v>0.68</v>
      </c>
      <c r="AK126" s="185">
        <v>212.51</v>
      </c>
      <c r="AL126" s="185">
        <v>195.47</v>
      </c>
      <c r="AM126" s="186">
        <v>185</v>
      </c>
      <c r="AN126" s="186" t="str">
        <f t="shared" si="47"/>
        <v>Otago RegionActivity Streets</v>
      </c>
      <c r="AO126" s="186">
        <f t="shared" si="76"/>
        <v>63</v>
      </c>
      <c r="AP126" s="187" t="s">
        <v>1105</v>
      </c>
      <c r="AQ126" s="187" t="str">
        <f t="shared" si="77"/>
        <v>Otago Region</v>
      </c>
      <c r="AR126" s="187" t="str">
        <f t="shared" si="78"/>
        <v>Combined</v>
      </c>
      <c r="AS126" s="187" t="str">
        <f t="shared" si="79"/>
        <v>2019/20</v>
      </c>
      <c r="AT126" s="187" t="str">
        <f t="shared" si="80"/>
        <v>URBAN</v>
      </c>
      <c r="AU126" s="187" t="str">
        <f t="shared" si="81"/>
        <v>Activity Streets</v>
      </c>
      <c r="AV126" s="187" cm="1">
        <f t="array" ref="AV126">IF($AO126=999,0,INDEX(AG$198:AG$313,$AO126))</f>
        <v>15.41</v>
      </c>
      <c r="AW126" s="187" cm="1">
        <f t="array" ref="AW126">IF($AO126=999,0,INDEX(AH$198:AH$313,$AO126))</f>
        <v>1.1599999999999999E-2</v>
      </c>
      <c r="AX126" s="187" cm="1">
        <f t="array" ref="AX126">IF($AO126=999,0,INDEX(AI$198:AI$313,$AO126))</f>
        <v>15.41</v>
      </c>
      <c r="AY126" s="187" cm="1">
        <f t="array" ref="AY126">IF($AO126=999,0,INDEX(AJ$198:AJ$313,$AO126))</f>
        <v>0</v>
      </c>
      <c r="AZ126" s="187" cm="1">
        <f t="array" ref="AZ126">IF($AO126=999,0,INDEX(AK$198:AK$313,$AO126))</f>
        <v>34.369999999999997</v>
      </c>
      <c r="BA126" s="187" cm="1">
        <f t="array" ref="BA126">IF($AO126=999,0,INDEX(AL$198:AL$313,$AO126))</f>
        <v>63.58</v>
      </c>
      <c r="BB126" s="252" t="str">
        <f>INDEX(pMenus!$C$10:$C$23,MATCH(AU126,pMenus!$B$10:$B$23,0))</f>
        <v>Urban Connectors</v>
      </c>
      <c r="BC126" s="221">
        <f t="shared" si="67"/>
        <v>5068.1344434657494</v>
      </c>
      <c r="BD126" s="237">
        <f t="shared" si="68"/>
        <v>11303.814459566373</v>
      </c>
      <c r="BE126" s="188" t="s">
        <v>591</v>
      </c>
      <c r="BF126" s="188" t="str">
        <f t="shared" si="82"/>
        <v>Otago Region</v>
      </c>
      <c r="BG126" s="188" t="str">
        <f t="shared" si="83"/>
        <v>Combined</v>
      </c>
      <c r="BH126" s="188" t="str">
        <f t="shared" si="84"/>
        <v>2019/20</v>
      </c>
      <c r="BI126" s="188" t="str">
        <f t="shared" si="85"/>
        <v>URBAN</v>
      </c>
      <c r="BJ126" s="188" t="str">
        <f t="shared" si="86"/>
        <v>Activity Streets</v>
      </c>
      <c r="BK126" s="188">
        <f t="shared" si="87"/>
        <v>88.98</v>
      </c>
      <c r="BL126" s="188">
        <f t="shared" si="88"/>
        <v>-1.6999999999999984E-3</v>
      </c>
      <c r="BM126" s="188">
        <f t="shared" si="89"/>
        <v>88.31</v>
      </c>
      <c r="BN126" s="188">
        <f t="shared" si="90"/>
        <v>0.68</v>
      </c>
      <c r="BO126" s="188">
        <f t="shared" si="91"/>
        <v>178.14</v>
      </c>
      <c r="BP126" s="188">
        <f t="shared" si="92"/>
        <v>131.88999999999999</v>
      </c>
      <c r="BQ126" s="253" t="str">
        <f>INDEX(pMenus!$D$10:$D$23,MATCH(BJ126,pMenus!$B$10:$B$23,0))</f>
        <v>Activity Streets</v>
      </c>
      <c r="BR126" s="226">
        <f t="shared" si="69"/>
        <v>2028.4184672360204</v>
      </c>
      <c r="BS126" s="238">
        <f t="shared" si="70"/>
        <v>4060.940275943185</v>
      </c>
    </row>
    <row r="127" spans="1:71">
      <c r="A127" s="202"/>
      <c r="B127" s="210" t="str">
        <f t="shared" si="75"/>
        <v>Rural Connectors Local LTA Roads Otago Region</v>
      </c>
      <c r="C127" s="193">
        <f t="shared" si="71"/>
        <v>3.73</v>
      </c>
      <c r="D127" s="193">
        <f t="shared" si="72"/>
        <v>0.81</v>
      </c>
      <c r="E127" s="194">
        <f t="shared" si="46"/>
        <v>594.95390943479379</v>
      </c>
      <c r="F127" s="202"/>
      <c r="AA127" s="185" t="s">
        <v>412</v>
      </c>
      <c r="AB127" s="185" t="s">
        <v>428</v>
      </c>
      <c r="AC127" s="185" t="s">
        <v>401</v>
      </c>
      <c r="AD127" s="185" t="s">
        <v>331</v>
      </c>
      <c r="AE127" s="185" t="s">
        <v>407</v>
      </c>
      <c r="AF127" s="185" t="s">
        <v>417</v>
      </c>
      <c r="AG127" s="185">
        <v>1.57</v>
      </c>
      <c r="AH127" s="185">
        <v>1E-4</v>
      </c>
      <c r="AI127" s="185">
        <v>1.57</v>
      </c>
      <c r="AJ127" s="185">
        <v>0</v>
      </c>
      <c r="AK127" s="185">
        <v>3.73</v>
      </c>
      <c r="AL127" s="185">
        <v>0.81</v>
      </c>
      <c r="AM127" s="186">
        <v>186</v>
      </c>
      <c r="AN127" s="186" t="str">
        <f t="shared" si="47"/>
        <v>Otago RegionCivic Spaces</v>
      </c>
      <c r="AO127" s="186">
        <f t="shared" si="76"/>
        <v>999</v>
      </c>
      <c r="AP127" s="187" t="s">
        <v>1105</v>
      </c>
      <c r="AQ127" s="187" t="str">
        <f t="shared" si="77"/>
        <v>Otago Region</v>
      </c>
      <c r="AR127" s="187" t="str">
        <f t="shared" si="78"/>
        <v>Combined</v>
      </c>
      <c r="AS127" s="187" t="str">
        <f t="shared" si="79"/>
        <v>2019/20</v>
      </c>
      <c r="AT127" s="187" t="str">
        <f t="shared" si="80"/>
        <v>URBAN</v>
      </c>
      <c r="AU127" s="187" t="str">
        <f t="shared" si="81"/>
        <v>Civic Spaces</v>
      </c>
      <c r="AV127" s="187" cm="1">
        <f t="array" ref="AV127">IF($AO127=999,0,INDEX(AG$198:AG$313,$AO127))</f>
        <v>0</v>
      </c>
      <c r="AW127" s="187" cm="1">
        <f t="array" ref="AW127">IF($AO127=999,0,INDEX(AH$198:AH$313,$AO127))</f>
        <v>0</v>
      </c>
      <c r="AX127" s="187" cm="1">
        <f t="array" ref="AX127">IF($AO127=999,0,INDEX(AI$198:AI$313,$AO127))</f>
        <v>0</v>
      </c>
      <c r="AY127" s="187" cm="1">
        <f t="array" ref="AY127">IF($AO127=999,0,INDEX(AJ$198:AJ$313,$AO127))</f>
        <v>0</v>
      </c>
      <c r="AZ127" s="187" cm="1">
        <f t="array" ref="AZ127">IF($AO127=999,0,INDEX(AK$198:AK$313,$AO127))</f>
        <v>0</v>
      </c>
      <c r="BA127" s="187" cm="1">
        <f t="array" ref="BA127">IF($AO127=999,0,INDEX(AL$198:AL$313,$AO127))</f>
        <v>0</v>
      </c>
      <c r="BB127" s="252" t="str">
        <f>INDEX(pMenus!$C$10:$C$23,MATCH(AU127,pMenus!$B$10:$B$23,0))</f>
        <v>NA</v>
      </c>
      <c r="BC127" s="221">
        <f t="shared" si="67"/>
        <v>0</v>
      </c>
      <c r="BD127" s="237">
        <f t="shared" si="68"/>
        <v>0</v>
      </c>
      <c r="BE127" s="188" t="s">
        <v>591</v>
      </c>
      <c r="BF127" s="188" t="str">
        <f t="shared" si="82"/>
        <v>Otago Region</v>
      </c>
      <c r="BG127" s="188" t="str">
        <f t="shared" si="83"/>
        <v>Combined</v>
      </c>
      <c r="BH127" s="188" t="str">
        <f t="shared" si="84"/>
        <v>2019/20</v>
      </c>
      <c r="BI127" s="188" t="str">
        <f t="shared" si="85"/>
        <v>URBAN</v>
      </c>
      <c r="BJ127" s="188" t="str">
        <f t="shared" si="86"/>
        <v>Civic Spaces</v>
      </c>
      <c r="BK127" s="188">
        <f t="shared" si="87"/>
        <v>1.57</v>
      </c>
      <c r="BL127" s="188">
        <f t="shared" si="88"/>
        <v>1E-4</v>
      </c>
      <c r="BM127" s="188">
        <f t="shared" si="89"/>
        <v>1.57</v>
      </c>
      <c r="BN127" s="188">
        <f t="shared" si="90"/>
        <v>0</v>
      </c>
      <c r="BO127" s="188">
        <f t="shared" si="91"/>
        <v>3.73</v>
      </c>
      <c r="BP127" s="188">
        <f t="shared" si="92"/>
        <v>0.81</v>
      </c>
      <c r="BQ127" s="253" t="str">
        <f>INDEX(pMenus!$D$10:$D$23,MATCH(BJ127,pMenus!$B$10:$B$23,0))</f>
        <v>Rural Connectors</v>
      </c>
      <c r="BR127" s="226">
        <f t="shared" si="69"/>
        <v>594.95390943479379</v>
      </c>
      <c r="BS127" s="238">
        <f t="shared" si="70"/>
        <v>1413.4892243259751</v>
      </c>
    </row>
    <row r="128" spans="1:71">
      <c r="A128" s="202"/>
      <c r="B128" s="210" t="str">
        <f t="shared" si="75"/>
        <v>Rural Connectors Local LTA Roads Otago Region</v>
      </c>
      <c r="C128" s="193">
        <f t="shared" si="71"/>
        <v>2146.35</v>
      </c>
      <c r="D128" s="193">
        <f t="shared" si="72"/>
        <v>180.62</v>
      </c>
      <c r="E128" s="194">
        <f t="shared" si="46"/>
        <v>230.55387754489863</v>
      </c>
      <c r="F128" s="202"/>
      <c r="AA128" s="185" t="s">
        <v>412</v>
      </c>
      <c r="AB128" s="185" t="s">
        <v>428</v>
      </c>
      <c r="AC128" s="185" t="s">
        <v>401</v>
      </c>
      <c r="AD128" s="185" t="s">
        <v>331</v>
      </c>
      <c r="AE128" s="185" t="s">
        <v>407</v>
      </c>
      <c r="AF128" s="185" t="s">
        <v>418</v>
      </c>
      <c r="AG128" s="185">
        <v>1123.3699999999999</v>
      </c>
      <c r="AH128" s="185">
        <v>0.1061</v>
      </c>
      <c r="AI128" s="185">
        <v>1070.83</v>
      </c>
      <c r="AJ128" s="185">
        <v>52.54</v>
      </c>
      <c r="AK128" s="185">
        <v>2146.35</v>
      </c>
      <c r="AL128" s="185">
        <v>180.62</v>
      </c>
      <c r="AM128" s="186">
        <v>187</v>
      </c>
      <c r="AN128" s="186" t="str">
        <f t="shared" si="47"/>
        <v>Otago RegionLocal Streets</v>
      </c>
      <c r="AO128" s="186">
        <f t="shared" si="76"/>
        <v>999</v>
      </c>
      <c r="AP128" s="187" t="s">
        <v>1105</v>
      </c>
      <c r="AQ128" s="187" t="str">
        <f t="shared" si="77"/>
        <v>Otago Region</v>
      </c>
      <c r="AR128" s="187" t="str">
        <f t="shared" si="78"/>
        <v>Combined</v>
      </c>
      <c r="AS128" s="187" t="str">
        <f t="shared" si="79"/>
        <v>2019/20</v>
      </c>
      <c r="AT128" s="187" t="str">
        <f t="shared" si="80"/>
        <v>URBAN</v>
      </c>
      <c r="AU128" s="187" t="str">
        <f t="shared" si="81"/>
        <v>Local Streets</v>
      </c>
      <c r="AV128" s="187" cm="1">
        <f t="array" ref="AV128">IF($AO128=999,0,INDEX(AG$198:AG$313,$AO128))</f>
        <v>0</v>
      </c>
      <c r="AW128" s="187" cm="1">
        <f t="array" ref="AW128">IF($AO128=999,0,INDEX(AH$198:AH$313,$AO128))</f>
        <v>0</v>
      </c>
      <c r="AX128" s="187" cm="1">
        <f t="array" ref="AX128">IF($AO128=999,0,INDEX(AI$198:AI$313,$AO128))</f>
        <v>0</v>
      </c>
      <c r="AY128" s="187" cm="1">
        <f t="array" ref="AY128">IF($AO128=999,0,INDEX(AJ$198:AJ$313,$AO128))</f>
        <v>0</v>
      </c>
      <c r="AZ128" s="187" cm="1">
        <f t="array" ref="AZ128">IF($AO128=999,0,INDEX(AK$198:AK$313,$AO128))</f>
        <v>0</v>
      </c>
      <c r="BA128" s="187" cm="1">
        <f t="array" ref="BA128">IF($AO128=999,0,INDEX(AL$198:AL$313,$AO128))</f>
        <v>0</v>
      </c>
      <c r="BB128" s="252" t="str">
        <f>INDEX(pMenus!$C$10:$C$23,MATCH(AU128,pMenus!$B$10:$B$23,0))</f>
        <v>NA</v>
      </c>
      <c r="BC128" s="221">
        <f t="shared" si="67"/>
        <v>0</v>
      </c>
      <c r="BD128" s="237">
        <f t="shared" si="68"/>
        <v>0</v>
      </c>
      <c r="BE128" s="188" t="s">
        <v>591</v>
      </c>
      <c r="BF128" s="188" t="str">
        <f t="shared" si="82"/>
        <v>Otago Region</v>
      </c>
      <c r="BG128" s="188" t="str">
        <f t="shared" si="83"/>
        <v>Combined</v>
      </c>
      <c r="BH128" s="188" t="str">
        <f t="shared" si="84"/>
        <v>2019/20</v>
      </c>
      <c r="BI128" s="188" t="str">
        <f t="shared" si="85"/>
        <v>URBAN</v>
      </c>
      <c r="BJ128" s="188" t="str">
        <f t="shared" si="86"/>
        <v>Local Streets</v>
      </c>
      <c r="BK128" s="188">
        <f t="shared" si="87"/>
        <v>1123.3699999999999</v>
      </c>
      <c r="BL128" s="188">
        <f t="shared" si="88"/>
        <v>0.1061</v>
      </c>
      <c r="BM128" s="188">
        <f t="shared" si="89"/>
        <v>1070.83</v>
      </c>
      <c r="BN128" s="188">
        <f t="shared" si="90"/>
        <v>52.54</v>
      </c>
      <c r="BO128" s="188">
        <f t="shared" si="91"/>
        <v>2146.35</v>
      </c>
      <c r="BP128" s="188">
        <f t="shared" si="92"/>
        <v>180.62</v>
      </c>
      <c r="BQ128" s="253" t="str">
        <f>INDEX(pMenus!$D$10:$D$23,MATCH(BJ128,pMenus!$B$10:$B$23,0))</f>
        <v>Rural Connectors</v>
      </c>
      <c r="BR128" s="226">
        <f t="shared" si="69"/>
        <v>230.55387754489863</v>
      </c>
      <c r="BS128" s="238">
        <f t="shared" si="70"/>
        <v>440.50429962389347</v>
      </c>
    </row>
    <row r="129" spans="1:71">
      <c r="A129" s="202"/>
      <c r="B129" s="210" t="str">
        <f t="shared" si="75"/>
        <v>Urban Connectors Local LTA Roads Otago Region</v>
      </c>
      <c r="C129" s="193">
        <f t="shared" si="71"/>
        <v>17.690000000000001</v>
      </c>
      <c r="D129" s="193">
        <f t="shared" si="72"/>
        <v>20.92</v>
      </c>
      <c r="E129" s="194">
        <f t="shared" si="46"/>
        <v>3239.9699543895244</v>
      </c>
      <c r="F129" s="202"/>
      <c r="AA129" s="185" t="s">
        <v>412</v>
      </c>
      <c r="AB129" s="185" t="s">
        <v>428</v>
      </c>
      <c r="AC129" s="185" t="s">
        <v>401</v>
      </c>
      <c r="AD129" s="185" t="s">
        <v>331</v>
      </c>
      <c r="AE129" s="185" t="s">
        <v>407</v>
      </c>
      <c r="AF129" s="185" t="s">
        <v>409</v>
      </c>
      <c r="AG129" s="185">
        <v>11.71</v>
      </c>
      <c r="AH129" s="185">
        <v>1.1000000000000001E-3</v>
      </c>
      <c r="AI129" s="185">
        <v>11.71</v>
      </c>
      <c r="AJ129" s="185">
        <v>0</v>
      </c>
      <c r="AK129" s="185">
        <v>23.78</v>
      </c>
      <c r="AL129" s="185">
        <v>30.7</v>
      </c>
      <c r="AM129" s="186">
        <v>188</v>
      </c>
      <c r="AN129" s="186" t="str">
        <f t="shared" si="47"/>
        <v>Otago RegionMain Streets</v>
      </c>
      <c r="AO129" s="186">
        <f t="shared" si="76"/>
        <v>64</v>
      </c>
      <c r="AP129" s="187" t="s">
        <v>1105</v>
      </c>
      <c r="AQ129" s="187" t="str">
        <f t="shared" si="77"/>
        <v>Otago Region</v>
      </c>
      <c r="AR129" s="187" t="str">
        <f t="shared" si="78"/>
        <v>Combined</v>
      </c>
      <c r="AS129" s="187" t="str">
        <f t="shared" si="79"/>
        <v>2019/20</v>
      </c>
      <c r="AT129" s="187" t="str">
        <f t="shared" si="80"/>
        <v>URBAN</v>
      </c>
      <c r="AU129" s="187" t="str">
        <f t="shared" si="81"/>
        <v>Main Streets</v>
      </c>
      <c r="AV129" s="187" cm="1">
        <f t="array" ref="AV129">IF($AO129=999,0,INDEX(AG$198:AG$313,$AO129))</f>
        <v>3.05</v>
      </c>
      <c r="AW129" s="187" cm="1">
        <f t="array" ref="AW129">IF($AO129=999,0,INDEX(AH$198:AH$313,$AO129))</f>
        <v>2.3E-3</v>
      </c>
      <c r="AX129" s="187" cm="1">
        <f t="array" ref="AX129">IF($AO129=999,0,INDEX(AI$198:AI$313,$AO129))</f>
        <v>3.05</v>
      </c>
      <c r="AY129" s="187" cm="1">
        <f t="array" ref="AY129">IF($AO129=999,0,INDEX(AJ$198:AJ$313,$AO129))</f>
        <v>0</v>
      </c>
      <c r="AZ129" s="187" cm="1">
        <f t="array" ref="AZ129">IF($AO129=999,0,INDEX(AK$198:AK$313,$AO129))</f>
        <v>6.09</v>
      </c>
      <c r="BA129" s="187" cm="1">
        <f t="array" ref="BA129">IF($AO129=999,0,INDEX(AL$198:AL$313,$AO129))</f>
        <v>9.7799999999999994</v>
      </c>
      <c r="BB129" s="252" t="str">
        <f>INDEX(pMenus!$C$10:$C$23,MATCH(AU129,pMenus!$B$10:$B$23,0))</f>
        <v>Urban Connectors</v>
      </c>
      <c r="BC129" s="221">
        <f t="shared" si="67"/>
        <v>4399.7570686281133</v>
      </c>
      <c r="BD129" s="237">
        <f t="shared" si="68"/>
        <v>8785.0887042443301</v>
      </c>
      <c r="BE129" s="188" t="s">
        <v>591</v>
      </c>
      <c r="BF129" s="188" t="str">
        <f t="shared" si="82"/>
        <v>Otago Region</v>
      </c>
      <c r="BG129" s="188" t="str">
        <f t="shared" si="83"/>
        <v>Combined</v>
      </c>
      <c r="BH129" s="188" t="str">
        <f t="shared" si="84"/>
        <v>2019/20</v>
      </c>
      <c r="BI129" s="188" t="str">
        <f t="shared" si="85"/>
        <v>URBAN</v>
      </c>
      <c r="BJ129" s="188" t="str">
        <f t="shared" si="86"/>
        <v>Main Streets</v>
      </c>
      <c r="BK129" s="188">
        <f t="shared" si="87"/>
        <v>8.66</v>
      </c>
      <c r="BL129" s="188">
        <f t="shared" si="88"/>
        <v>-1.1999999999999999E-3</v>
      </c>
      <c r="BM129" s="188">
        <f t="shared" si="89"/>
        <v>8.66</v>
      </c>
      <c r="BN129" s="188">
        <f t="shared" si="90"/>
        <v>0</v>
      </c>
      <c r="BO129" s="188">
        <f t="shared" si="91"/>
        <v>17.690000000000001</v>
      </c>
      <c r="BP129" s="188">
        <f t="shared" si="92"/>
        <v>20.92</v>
      </c>
      <c r="BQ129" s="253" t="str">
        <f>INDEX(pMenus!$D$10:$D$23,MATCH(BJ129,pMenus!$B$10:$B$23,0))</f>
        <v>Urban Connectors</v>
      </c>
      <c r="BR129" s="226">
        <f t="shared" si="69"/>
        <v>3239.9699543895244</v>
      </c>
      <c r="BS129" s="238">
        <f t="shared" si="70"/>
        <v>6618.3681862760614</v>
      </c>
    </row>
    <row r="130" spans="1:71">
      <c r="A130" s="202"/>
      <c r="B130" s="210" t="str">
        <f t="shared" si="75"/>
        <v>Urban Connectors Local LTA Roads Otago Region</v>
      </c>
      <c r="C130" s="193">
        <f t="shared" si="71"/>
        <v>0</v>
      </c>
      <c r="D130" s="193">
        <f t="shared" si="72"/>
        <v>0</v>
      </c>
      <c r="E130" s="194">
        <f t="shared" si="46"/>
        <v>0</v>
      </c>
      <c r="F130" s="202"/>
      <c r="AA130" s="185" t="s">
        <v>412</v>
      </c>
      <c r="AB130" s="185" t="s">
        <v>428</v>
      </c>
      <c r="AC130" s="185" t="s">
        <v>401</v>
      </c>
      <c r="AD130" s="185" t="s">
        <v>331</v>
      </c>
      <c r="AE130" s="185" t="s">
        <v>407</v>
      </c>
      <c r="AF130" s="185" t="s">
        <v>410</v>
      </c>
      <c r="AG130" s="185">
        <v>28.79</v>
      </c>
      <c r="AH130" s="185">
        <v>2.7000000000000001E-3</v>
      </c>
      <c r="AI130" s="185">
        <v>28.79</v>
      </c>
      <c r="AJ130" s="185">
        <v>0</v>
      </c>
      <c r="AK130" s="185">
        <v>54.8</v>
      </c>
      <c r="AL130" s="185">
        <v>137.27000000000001</v>
      </c>
      <c r="AM130" s="186">
        <v>189</v>
      </c>
      <c r="AN130" s="186" t="str">
        <f t="shared" si="47"/>
        <v>Otago RegionTransit Corridors</v>
      </c>
      <c r="AO130" s="186">
        <f t="shared" si="76"/>
        <v>65</v>
      </c>
      <c r="AP130" s="187" t="s">
        <v>1105</v>
      </c>
      <c r="AQ130" s="187" t="str">
        <f t="shared" si="77"/>
        <v>Otago Region</v>
      </c>
      <c r="AR130" s="187" t="str">
        <f t="shared" si="78"/>
        <v>Combined</v>
      </c>
      <c r="AS130" s="187" t="str">
        <f t="shared" si="79"/>
        <v>2019/20</v>
      </c>
      <c r="AT130" s="187" t="str">
        <f t="shared" si="80"/>
        <v>URBAN</v>
      </c>
      <c r="AU130" s="187" t="str">
        <f t="shared" si="81"/>
        <v>Transit Corridors</v>
      </c>
      <c r="AV130" s="187" cm="1">
        <f t="array" ref="AV130">IF($AO130=999,0,INDEX(AG$198:AG$313,$AO130))</f>
        <v>28.79</v>
      </c>
      <c r="AW130" s="187" cm="1">
        <f t="array" ref="AW130">IF($AO130=999,0,INDEX(AH$198:AH$313,$AO130))</f>
        <v>2.1700000000000001E-2</v>
      </c>
      <c r="AX130" s="187" cm="1">
        <f t="array" ref="AX130">IF($AO130=999,0,INDEX(AI$198:AI$313,$AO130))</f>
        <v>28.79</v>
      </c>
      <c r="AY130" s="187" cm="1">
        <f t="array" ref="AY130">IF($AO130=999,0,INDEX(AJ$198:AJ$313,$AO130))</f>
        <v>0</v>
      </c>
      <c r="AZ130" s="187" cm="1">
        <f t="array" ref="AZ130">IF($AO130=999,0,INDEX(AK$198:AK$313,$AO130))</f>
        <v>54.8</v>
      </c>
      <c r="BA130" s="187" cm="1">
        <f t="array" ref="BA130">IF($AO130=999,0,INDEX(AL$198:AL$313,$AO130))</f>
        <v>137.27000000000001</v>
      </c>
      <c r="BB130" s="252" t="str">
        <f>INDEX(pMenus!$C$10:$C$23,MATCH(AU130,pMenus!$B$10:$B$23,0))</f>
        <v>Transit Corridors</v>
      </c>
      <c r="BC130" s="221">
        <f t="shared" si="67"/>
        <v>6862.8137186281383</v>
      </c>
      <c r="BD130" s="237">
        <f t="shared" si="68"/>
        <v>13062.945181688847</v>
      </c>
      <c r="BE130" s="188" t="s">
        <v>591</v>
      </c>
      <c r="BF130" s="188" t="str">
        <f t="shared" si="82"/>
        <v>Otago Region</v>
      </c>
      <c r="BG130" s="188" t="str">
        <f t="shared" si="83"/>
        <v>Combined</v>
      </c>
      <c r="BH130" s="188" t="str">
        <f t="shared" si="84"/>
        <v>2019/20</v>
      </c>
      <c r="BI130" s="188" t="str">
        <f t="shared" si="85"/>
        <v>URBAN</v>
      </c>
      <c r="BJ130" s="188" t="str">
        <f t="shared" si="86"/>
        <v>Transit Corridors</v>
      </c>
      <c r="BK130" s="188">
        <f t="shared" si="87"/>
        <v>0</v>
      </c>
      <c r="BL130" s="188">
        <f t="shared" si="88"/>
        <v>-1.9E-2</v>
      </c>
      <c r="BM130" s="188">
        <f t="shared" si="89"/>
        <v>0</v>
      </c>
      <c r="BN130" s="188">
        <f t="shared" si="90"/>
        <v>0</v>
      </c>
      <c r="BO130" s="188">
        <f t="shared" si="91"/>
        <v>0</v>
      </c>
      <c r="BP130" s="188">
        <f t="shared" si="92"/>
        <v>0</v>
      </c>
      <c r="BQ130" s="253" t="str">
        <f>INDEX(pMenus!$D$10:$D$23,MATCH(BJ130,pMenus!$B$10:$B$23,0))</f>
        <v>Urban Connectors</v>
      </c>
      <c r="BR130" s="226">
        <f t="shared" si="69"/>
        <v>0</v>
      </c>
      <c r="BS130" s="238">
        <f t="shared" si="70"/>
        <v>0</v>
      </c>
    </row>
    <row r="131" spans="1:71">
      <c r="A131" s="202"/>
      <c r="B131" s="210" t="str">
        <f t="shared" si="75"/>
        <v>Urban Connectors Local LTA Roads Otago Region</v>
      </c>
      <c r="C131" s="193">
        <f t="shared" si="71"/>
        <v>380.4</v>
      </c>
      <c r="D131" s="193">
        <f t="shared" si="72"/>
        <v>302.62</v>
      </c>
      <c r="E131" s="194">
        <f t="shared" si="46"/>
        <v>2179.5370410382729</v>
      </c>
      <c r="F131" s="202"/>
      <c r="AA131" s="185" t="s">
        <v>412</v>
      </c>
      <c r="AB131" s="185" t="s">
        <v>428</v>
      </c>
      <c r="AC131" s="185" t="s">
        <v>401</v>
      </c>
      <c r="AD131" s="185" t="s">
        <v>331</v>
      </c>
      <c r="AE131" s="185" t="s">
        <v>407</v>
      </c>
      <c r="AF131" s="185" t="s">
        <v>411</v>
      </c>
      <c r="AG131" s="185">
        <v>250.82</v>
      </c>
      <c r="AH131" s="185">
        <v>2.3699999999999999E-2</v>
      </c>
      <c r="AI131" s="185">
        <v>250.82</v>
      </c>
      <c r="AJ131" s="185">
        <v>0</v>
      </c>
      <c r="AK131" s="185">
        <v>497.24</v>
      </c>
      <c r="AL131" s="185">
        <v>483.87</v>
      </c>
      <c r="AM131" s="186">
        <v>190</v>
      </c>
      <c r="AN131" s="186" t="str">
        <f t="shared" si="47"/>
        <v>Otago RegionUrban Connectors</v>
      </c>
      <c r="AO131" s="186">
        <f t="shared" si="76"/>
        <v>66</v>
      </c>
      <c r="AP131" s="187" t="s">
        <v>1105</v>
      </c>
      <c r="AQ131" s="187" t="str">
        <f t="shared" si="77"/>
        <v>Otago Region</v>
      </c>
      <c r="AR131" s="187" t="str">
        <f t="shared" si="78"/>
        <v>Combined</v>
      </c>
      <c r="AS131" s="187" t="str">
        <f t="shared" si="79"/>
        <v>2019/20</v>
      </c>
      <c r="AT131" s="187" t="str">
        <f t="shared" si="80"/>
        <v>URBAN</v>
      </c>
      <c r="AU131" s="187" t="str">
        <f t="shared" si="81"/>
        <v>Urban Connectors</v>
      </c>
      <c r="AV131" s="187" cm="1">
        <f t="array" ref="AV131">IF($AO131=999,0,INDEX(AG$198:AG$313,$AO131))</f>
        <v>58.54</v>
      </c>
      <c r="AW131" s="187" cm="1">
        <f t="array" ref="AW131">IF($AO131=999,0,INDEX(AH$198:AH$313,$AO131))</f>
        <v>4.4200000000000003E-2</v>
      </c>
      <c r="AX131" s="187" cm="1">
        <f t="array" ref="AX131">IF($AO131=999,0,INDEX(AI$198:AI$313,$AO131))</f>
        <v>58.54</v>
      </c>
      <c r="AY131" s="187" cm="1">
        <f t="array" ref="AY131">IF($AO131=999,0,INDEX(AJ$198:AJ$313,$AO131))</f>
        <v>0</v>
      </c>
      <c r="AZ131" s="187" cm="1">
        <f t="array" ref="AZ131">IF($AO131=999,0,INDEX(AK$198:AK$313,$AO131))</f>
        <v>116.84</v>
      </c>
      <c r="BA131" s="187" cm="1">
        <f t="array" ref="BA131">IF($AO131=999,0,INDEX(AL$198:AL$313,$AO131))</f>
        <v>181.25</v>
      </c>
      <c r="BB131" s="252" t="str">
        <f>INDEX(pMenus!$C$10:$C$23,MATCH(AU131,pMenus!$B$10:$B$23,0))</f>
        <v>Urban Connectors</v>
      </c>
      <c r="BC131" s="221">
        <f t="shared" si="67"/>
        <v>4250.0457246298656</v>
      </c>
      <c r="BD131" s="237">
        <f t="shared" si="68"/>
        <v>8482.6672781987254</v>
      </c>
      <c r="BE131" s="188" t="s">
        <v>591</v>
      </c>
      <c r="BF131" s="188" t="str">
        <f t="shared" si="82"/>
        <v>Otago Region</v>
      </c>
      <c r="BG131" s="188" t="str">
        <f t="shared" si="83"/>
        <v>Combined</v>
      </c>
      <c r="BH131" s="188" t="str">
        <f t="shared" si="84"/>
        <v>2019/20</v>
      </c>
      <c r="BI131" s="188" t="str">
        <f t="shared" si="85"/>
        <v>URBAN</v>
      </c>
      <c r="BJ131" s="188" t="str">
        <f t="shared" si="86"/>
        <v>Urban Connectors</v>
      </c>
      <c r="BK131" s="188">
        <f t="shared" si="87"/>
        <v>192.28</v>
      </c>
      <c r="BL131" s="188">
        <f t="shared" si="88"/>
        <v>-2.0500000000000004E-2</v>
      </c>
      <c r="BM131" s="188">
        <f t="shared" si="89"/>
        <v>192.28</v>
      </c>
      <c r="BN131" s="188">
        <f t="shared" si="90"/>
        <v>0</v>
      </c>
      <c r="BO131" s="188">
        <f t="shared" si="91"/>
        <v>380.4</v>
      </c>
      <c r="BP131" s="188">
        <f t="shared" si="92"/>
        <v>302.62</v>
      </c>
      <c r="BQ131" s="253" t="str">
        <f>INDEX(pMenus!$D$10:$D$23,MATCH(BJ131,pMenus!$B$10:$B$23,0))</f>
        <v>Urban Connectors</v>
      </c>
      <c r="BR131" s="226">
        <f t="shared" si="69"/>
        <v>2179.5370410382729</v>
      </c>
      <c r="BS131" s="238">
        <f t="shared" si="70"/>
        <v>4311.9195465516896</v>
      </c>
    </row>
    <row r="132" spans="1:71">
      <c r="A132" s="202"/>
      <c r="B132" s="210" t="str">
        <f t="shared" si="75"/>
        <v>NA Local LTA Roads Southland Region</v>
      </c>
      <c r="C132" s="193">
        <f t="shared" si="71"/>
        <v>186.16000000000003</v>
      </c>
      <c r="D132" s="193">
        <f t="shared" si="72"/>
        <v>12.919999999999998</v>
      </c>
      <c r="E132" s="194">
        <f t="shared" si="46"/>
        <v>190.14428595816824</v>
      </c>
      <c r="F132" s="202"/>
      <c r="AA132" s="185" t="s">
        <v>412</v>
      </c>
      <c r="AB132" s="185" t="s">
        <v>429</v>
      </c>
      <c r="AC132" s="185" t="s">
        <v>401</v>
      </c>
      <c r="AD132" s="185" t="s">
        <v>331</v>
      </c>
      <c r="AE132" s="185"/>
      <c r="AF132" s="185" t="s">
        <v>402</v>
      </c>
      <c r="AG132" s="185">
        <v>103.5</v>
      </c>
      <c r="AH132" s="185">
        <v>1.4200000000000001E-2</v>
      </c>
      <c r="AI132" s="185">
        <v>58.61</v>
      </c>
      <c r="AJ132" s="185">
        <v>44.89</v>
      </c>
      <c r="AK132" s="185">
        <v>198.11</v>
      </c>
      <c r="AL132" s="185">
        <v>22.22</v>
      </c>
      <c r="AM132" s="186">
        <v>199</v>
      </c>
      <c r="AN132" s="186" t="str">
        <f t="shared" si="47"/>
        <v>Southland RegionUnclassified</v>
      </c>
      <c r="AO132" s="186">
        <f t="shared" si="76"/>
        <v>67</v>
      </c>
      <c r="AP132" s="187" t="s">
        <v>1105</v>
      </c>
      <c r="AQ132" s="187" t="str">
        <f t="shared" si="77"/>
        <v>Southland Region</v>
      </c>
      <c r="AR132" s="187" t="str">
        <f t="shared" si="78"/>
        <v>Combined</v>
      </c>
      <c r="AS132" s="187" t="str">
        <f t="shared" si="79"/>
        <v>2019/20</v>
      </c>
      <c r="AT132" s="187">
        <f t="shared" si="80"/>
        <v>0</v>
      </c>
      <c r="AU132" s="187" t="str">
        <f t="shared" si="81"/>
        <v>Unclassified</v>
      </c>
      <c r="AV132" s="187" cm="1">
        <f t="array" ref="AV132">IF($AO132=999,0,INDEX(AG$198:AG$313,$AO132))</f>
        <v>5.98</v>
      </c>
      <c r="AW132" s="187" cm="1">
        <f t="array" ref="AW132">IF($AO132=999,0,INDEX(AH$198:AH$313,$AO132))</f>
        <v>7.6E-3</v>
      </c>
      <c r="AX132" s="187" cm="1">
        <f t="array" ref="AX132">IF($AO132=999,0,INDEX(AI$198:AI$313,$AO132))</f>
        <v>5.98</v>
      </c>
      <c r="AY132" s="187" cm="1">
        <f t="array" ref="AY132">IF($AO132=999,0,INDEX(AJ$198:AJ$313,$AO132))</f>
        <v>0</v>
      </c>
      <c r="AZ132" s="187" cm="1">
        <f t="array" ref="AZ132">IF($AO132=999,0,INDEX(AK$198:AK$313,$AO132))</f>
        <v>11.95</v>
      </c>
      <c r="BA132" s="187" cm="1">
        <f t="array" ref="BA132">IF($AO132=999,0,INDEX(AL$198:AL$313,$AO132))</f>
        <v>9.3000000000000007</v>
      </c>
      <c r="BB132" s="252" t="str">
        <f>INDEX(pMenus!$C$10:$C$23,MATCH(AU132,pMenus!$B$10:$B$23,0))</f>
        <v>NA</v>
      </c>
      <c r="BC132" s="221">
        <f t="shared" si="67"/>
        <v>2132.1717200664875</v>
      </c>
      <c r="BD132" s="237">
        <f t="shared" si="68"/>
        <v>4260.7779355843677</v>
      </c>
      <c r="BE132" s="188" t="s">
        <v>591</v>
      </c>
      <c r="BF132" s="188" t="str">
        <f t="shared" si="82"/>
        <v>Southland Region</v>
      </c>
      <c r="BG132" s="188" t="str">
        <f t="shared" si="83"/>
        <v>Combined</v>
      </c>
      <c r="BH132" s="188" t="str">
        <f t="shared" si="84"/>
        <v>2019/20</v>
      </c>
      <c r="BI132" s="188">
        <f t="shared" si="85"/>
        <v>0</v>
      </c>
      <c r="BJ132" s="188" t="str">
        <f t="shared" si="86"/>
        <v>Unclassified</v>
      </c>
      <c r="BK132" s="188">
        <f t="shared" si="87"/>
        <v>97.52</v>
      </c>
      <c r="BL132" s="188">
        <f t="shared" si="88"/>
        <v>6.6000000000000008E-3</v>
      </c>
      <c r="BM132" s="188">
        <f t="shared" si="89"/>
        <v>52.629999999999995</v>
      </c>
      <c r="BN132" s="188">
        <f t="shared" si="90"/>
        <v>44.89</v>
      </c>
      <c r="BO132" s="188">
        <f t="shared" si="91"/>
        <v>186.16000000000003</v>
      </c>
      <c r="BP132" s="188">
        <f t="shared" si="92"/>
        <v>12.919999999999998</v>
      </c>
      <c r="BQ132" s="253" t="str">
        <f>INDEX(pMenus!$D$10:$D$23,MATCH(BJ132,pMenus!$B$10:$B$23,0))</f>
        <v>NA</v>
      </c>
      <c r="BR132" s="226">
        <f t="shared" si="69"/>
        <v>190.14428595816824</v>
      </c>
      <c r="BS132" s="238">
        <f t="shared" si="70"/>
        <v>362.97436704237697</v>
      </c>
    </row>
    <row r="133" spans="1:71">
      <c r="A133" s="202"/>
      <c r="B133" s="210" t="str">
        <f t="shared" si="75"/>
        <v>Interregional Connectors Local LTA Roads Southland Region</v>
      </c>
      <c r="C133" s="193">
        <f t="shared" si="71"/>
        <v>0</v>
      </c>
      <c r="D133" s="193">
        <f t="shared" si="72"/>
        <v>0</v>
      </c>
      <c r="E133" s="194">
        <f t="shared" si="46"/>
        <v>0</v>
      </c>
      <c r="F133" s="202"/>
      <c r="AA133" s="185" t="s">
        <v>412</v>
      </c>
      <c r="AB133" s="185" t="s">
        <v>429</v>
      </c>
      <c r="AC133" s="185" t="s">
        <v>401</v>
      </c>
      <c r="AD133" s="185" t="s">
        <v>331</v>
      </c>
      <c r="AE133" s="185" t="s">
        <v>403</v>
      </c>
      <c r="AF133" s="185" t="s">
        <v>404</v>
      </c>
      <c r="AG133" s="185">
        <v>307.77999999999997</v>
      </c>
      <c r="AH133" s="185">
        <v>4.24E-2</v>
      </c>
      <c r="AI133" s="185">
        <v>307.77999999999997</v>
      </c>
      <c r="AJ133" s="185">
        <v>0</v>
      </c>
      <c r="AK133" s="185">
        <v>619.14</v>
      </c>
      <c r="AL133" s="185">
        <v>296.01</v>
      </c>
      <c r="AM133" s="186">
        <v>200</v>
      </c>
      <c r="AN133" s="186" t="str">
        <f t="shared" si="47"/>
        <v>Southland RegionInterregional Connectors</v>
      </c>
      <c r="AO133" s="186">
        <f t="shared" si="76"/>
        <v>68</v>
      </c>
      <c r="AP133" s="187" t="s">
        <v>1105</v>
      </c>
      <c r="AQ133" s="187" t="str">
        <f t="shared" si="77"/>
        <v>Southland Region</v>
      </c>
      <c r="AR133" s="187" t="str">
        <f t="shared" si="78"/>
        <v>Combined</v>
      </c>
      <c r="AS133" s="187" t="str">
        <f t="shared" si="79"/>
        <v>2019/20</v>
      </c>
      <c r="AT133" s="187" t="str">
        <f t="shared" si="80"/>
        <v>RURAL</v>
      </c>
      <c r="AU133" s="187" t="str">
        <f t="shared" si="81"/>
        <v>Interregional Connectors</v>
      </c>
      <c r="AV133" s="187" cm="1">
        <f t="array" ref="AV133">IF($AO133=999,0,INDEX(AG$198:AG$313,$AO133))</f>
        <v>307.77999999999997</v>
      </c>
      <c r="AW133" s="187" cm="1">
        <f t="array" ref="AW133">IF($AO133=999,0,INDEX(AH$198:AH$313,$AO133))</f>
        <v>0.39029999999999998</v>
      </c>
      <c r="AX133" s="187" cm="1">
        <f t="array" ref="AX133">IF($AO133=999,0,INDEX(AI$198:AI$313,$AO133))</f>
        <v>307.77999999999997</v>
      </c>
      <c r="AY133" s="187" cm="1">
        <f t="array" ref="AY133">IF($AO133=999,0,INDEX(AJ$198:AJ$313,$AO133))</f>
        <v>0</v>
      </c>
      <c r="AZ133" s="187" cm="1">
        <f t="array" ref="AZ133">IF($AO133=999,0,INDEX(AK$198:AK$313,$AO133))</f>
        <v>619.14</v>
      </c>
      <c r="BA133" s="187" cm="1">
        <f t="array" ref="BA133">IF($AO133=999,0,INDEX(AL$198:AL$313,$AO133))</f>
        <v>296.01</v>
      </c>
      <c r="BB133" s="252" t="str">
        <f>INDEX(pMenus!$C$10:$C$23,MATCH(AU133,pMenus!$B$10:$B$23,0))</f>
        <v>Interregional Connectors</v>
      </c>
      <c r="BC133" s="221">
        <f t="shared" si="67"/>
        <v>1309.8593232061619</v>
      </c>
      <c r="BD133" s="237">
        <f t="shared" si="68"/>
        <v>2634.9545174145919</v>
      </c>
      <c r="BE133" s="188" t="s">
        <v>591</v>
      </c>
      <c r="BF133" s="188" t="str">
        <f t="shared" si="82"/>
        <v>Southland Region</v>
      </c>
      <c r="BG133" s="188" t="str">
        <f t="shared" si="83"/>
        <v>Combined</v>
      </c>
      <c r="BH133" s="188" t="str">
        <f t="shared" si="84"/>
        <v>2019/20</v>
      </c>
      <c r="BI133" s="188" t="str">
        <f t="shared" si="85"/>
        <v>RURAL</v>
      </c>
      <c r="BJ133" s="188" t="str">
        <f t="shared" si="86"/>
        <v>Interregional Connectors</v>
      </c>
      <c r="BK133" s="188">
        <f t="shared" si="87"/>
        <v>0</v>
      </c>
      <c r="BL133" s="188">
        <f t="shared" si="88"/>
        <v>-0.34789999999999999</v>
      </c>
      <c r="BM133" s="188">
        <f t="shared" si="89"/>
        <v>0</v>
      </c>
      <c r="BN133" s="188">
        <f t="shared" si="90"/>
        <v>0</v>
      </c>
      <c r="BO133" s="188">
        <f t="shared" si="91"/>
        <v>0</v>
      </c>
      <c r="BP133" s="188">
        <f t="shared" si="92"/>
        <v>0</v>
      </c>
      <c r="BQ133" s="253" t="str">
        <f>INDEX(pMenus!$D$10:$D$23,MATCH(BJ133,pMenus!$B$10:$B$23,0))</f>
        <v>Interregional Connectors</v>
      </c>
      <c r="BR133" s="226">
        <f t="shared" si="69"/>
        <v>0</v>
      </c>
      <c r="BS133" s="238">
        <f t="shared" si="70"/>
        <v>0</v>
      </c>
    </row>
    <row r="134" spans="1:71">
      <c r="A134" s="202"/>
      <c r="B134" s="210" t="str">
        <f t="shared" si="75"/>
        <v>Rural Connectors Local LTA Roads Southland Region</v>
      </c>
      <c r="C134" s="193">
        <f t="shared" si="71"/>
        <v>194.12</v>
      </c>
      <c r="D134" s="193">
        <f t="shared" si="72"/>
        <v>13.07</v>
      </c>
      <c r="E134" s="194">
        <f t="shared" si="46"/>
        <v>184.4643477131784</v>
      </c>
      <c r="F134" s="202"/>
      <c r="AA134" s="185" t="s">
        <v>412</v>
      </c>
      <c r="AB134" s="185" t="s">
        <v>429</v>
      </c>
      <c r="AC134" s="185" t="s">
        <v>401</v>
      </c>
      <c r="AD134" s="185" t="s">
        <v>331</v>
      </c>
      <c r="AE134" s="185" t="s">
        <v>403</v>
      </c>
      <c r="AF134" s="185" t="s">
        <v>405</v>
      </c>
      <c r="AG134" s="185">
        <v>112.06</v>
      </c>
      <c r="AH134" s="185">
        <v>1.54E-2</v>
      </c>
      <c r="AI134" s="185">
        <v>74.900000000000006</v>
      </c>
      <c r="AJ134" s="185">
        <v>37.159999999999997</v>
      </c>
      <c r="AK134" s="185">
        <v>215.52</v>
      </c>
      <c r="AL134" s="185">
        <v>38.46</v>
      </c>
      <c r="AM134" s="186">
        <v>201</v>
      </c>
      <c r="AN134" s="186" t="str">
        <f t="shared" si="47"/>
        <v>Southland RegionPeri-urban Roads</v>
      </c>
      <c r="AO134" s="186">
        <f t="shared" si="76"/>
        <v>69</v>
      </c>
      <c r="AP134" s="187" t="s">
        <v>1105</v>
      </c>
      <c r="AQ134" s="187" t="str">
        <f t="shared" si="77"/>
        <v>Southland Region</v>
      </c>
      <c r="AR134" s="187" t="str">
        <f t="shared" si="78"/>
        <v>Combined</v>
      </c>
      <c r="AS134" s="187" t="str">
        <f t="shared" si="79"/>
        <v>2019/20</v>
      </c>
      <c r="AT134" s="187" t="str">
        <f t="shared" si="80"/>
        <v>RURAL</v>
      </c>
      <c r="AU134" s="187" t="str">
        <f t="shared" si="81"/>
        <v>Peri-urban Roads</v>
      </c>
      <c r="AV134" s="187" cm="1">
        <f t="array" ref="AV134">IF($AO134=999,0,INDEX(AG$198:AG$313,$AO134))</f>
        <v>7.76</v>
      </c>
      <c r="AW134" s="187" cm="1">
        <f t="array" ref="AW134">IF($AO134=999,0,INDEX(AH$198:AH$313,$AO134))</f>
        <v>9.7999999999999997E-3</v>
      </c>
      <c r="AX134" s="187" cm="1">
        <f t="array" ref="AX134">IF($AO134=999,0,INDEX(AI$198:AI$313,$AO134))</f>
        <v>7.76</v>
      </c>
      <c r="AY134" s="187" cm="1">
        <f t="array" ref="AY134">IF($AO134=999,0,INDEX(AJ$198:AJ$313,$AO134))</f>
        <v>0</v>
      </c>
      <c r="AZ134" s="187" cm="1">
        <f t="array" ref="AZ134">IF($AO134=999,0,INDEX(AK$198:AK$313,$AO134))</f>
        <v>21.4</v>
      </c>
      <c r="BA134" s="187" cm="1">
        <f t="array" ref="BA134">IF($AO134=999,0,INDEX(AL$198:AL$313,$AO134))</f>
        <v>25.39</v>
      </c>
      <c r="BB134" s="252" t="str">
        <f>INDEX(pMenus!$C$10:$C$23,MATCH(AU134,pMenus!$B$10:$B$23,0))</f>
        <v>Interregional Connectors</v>
      </c>
      <c r="BC134" s="221">
        <f t="shared" si="67"/>
        <v>3250.5441044680583</v>
      </c>
      <c r="BD134" s="237">
        <f t="shared" si="68"/>
        <v>8964.1293602598507</v>
      </c>
      <c r="BE134" s="188" t="s">
        <v>591</v>
      </c>
      <c r="BF134" s="188" t="str">
        <f t="shared" si="82"/>
        <v>Southland Region</v>
      </c>
      <c r="BG134" s="188" t="str">
        <f t="shared" si="83"/>
        <v>Combined</v>
      </c>
      <c r="BH134" s="188" t="str">
        <f t="shared" si="84"/>
        <v>2019/20</v>
      </c>
      <c r="BI134" s="188" t="str">
        <f t="shared" si="85"/>
        <v>RURAL</v>
      </c>
      <c r="BJ134" s="188" t="str">
        <f t="shared" si="86"/>
        <v>Peri-urban Roads</v>
      </c>
      <c r="BK134" s="188">
        <f t="shared" si="87"/>
        <v>104.3</v>
      </c>
      <c r="BL134" s="188">
        <f t="shared" si="88"/>
        <v>5.6000000000000008E-3</v>
      </c>
      <c r="BM134" s="188">
        <f t="shared" si="89"/>
        <v>67.14</v>
      </c>
      <c r="BN134" s="188">
        <f t="shared" si="90"/>
        <v>37.159999999999997</v>
      </c>
      <c r="BO134" s="188">
        <f t="shared" si="91"/>
        <v>194.12</v>
      </c>
      <c r="BP134" s="188">
        <f t="shared" si="92"/>
        <v>13.07</v>
      </c>
      <c r="BQ134" s="253" t="str">
        <f>INDEX(pMenus!$D$10:$D$23,MATCH(BJ134,pMenus!$B$10:$B$23,0))</f>
        <v>Rural Connectors</v>
      </c>
      <c r="BR134" s="226">
        <f t="shared" si="69"/>
        <v>184.4643477131784</v>
      </c>
      <c r="BS134" s="238">
        <f t="shared" si="70"/>
        <v>343.3194552069242</v>
      </c>
    </row>
    <row r="135" spans="1:71">
      <c r="A135" s="202"/>
      <c r="B135" s="210" t="str">
        <f t="shared" si="75"/>
        <v>Rural Connectors Local LTA Roads Southland Region</v>
      </c>
      <c r="C135" s="193">
        <f t="shared" si="71"/>
        <v>2184.34</v>
      </c>
      <c r="D135" s="193">
        <f t="shared" si="72"/>
        <v>238.19000000000005</v>
      </c>
      <c r="E135" s="194">
        <f t="shared" si="46"/>
        <v>298.75172476160009</v>
      </c>
      <c r="F135" s="202"/>
      <c r="AA135" s="185" t="s">
        <v>412</v>
      </c>
      <c r="AB135" s="185" t="s">
        <v>429</v>
      </c>
      <c r="AC135" s="185" t="s">
        <v>401</v>
      </c>
      <c r="AD135" s="185" t="s">
        <v>331</v>
      </c>
      <c r="AE135" s="185" t="s">
        <v>403</v>
      </c>
      <c r="AF135" s="185" t="s">
        <v>406</v>
      </c>
      <c r="AG135" s="185">
        <v>1502.01</v>
      </c>
      <c r="AH135" s="185">
        <v>0.20669999999999999</v>
      </c>
      <c r="AI135" s="185">
        <v>1500.26</v>
      </c>
      <c r="AJ135" s="185">
        <v>1.75</v>
      </c>
      <c r="AK135" s="185">
        <v>3003.4</v>
      </c>
      <c r="AL135" s="185">
        <v>527.69000000000005</v>
      </c>
      <c r="AM135" s="186">
        <v>202</v>
      </c>
      <c r="AN135" s="186" t="str">
        <f t="shared" si="47"/>
        <v>Southland RegionRural Connectors</v>
      </c>
      <c r="AO135" s="186">
        <f t="shared" si="76"/>
        <v>70</v>
      </c>
      <c r="AP135" s="187" t="s">
        <v>1105</v>
      </c>
      <c r="AQ135" s="187" t="str">
        <f t="shared" si="77"/>
        <v>Southland Region</v>
      </c>
      <c r="AR135" s="187" t="str">
        <f t="shared" si="78"/>
        <v>Combined</v>
      </c>
      <c r="AS135" s="187" t="str">
        <f t="shared" si="79"/>
        <v>2019/20</v>
      </c>
      <c r="AT135" s="187" t="str">
        <f t="shared" si="80"/>
        <v>RURAL</v>
      </c>
      <c r="AU135" s="187" t="str">
        <f t="shared" si="81"/>
        <v>Rural Connectors</v>
      </c>
      <c r="AV135" s="187" cm="1">
        <f t="array" ref="AV135">IF($AO135=999,0,INDEX(AG$198:AG$313,$AO135))</f>
        <v>409.53</v>
      </c>
      <c r="AW135" s="187" cm="1">
        <f t="array" ref="AW135">IF($AO135=999,0,INDEX(AH$198:AH$313,$AO135))</f>
        <v>0.51939999999999997</v>
      </c>
      <c r="AX135" s="187" cm="1">
        <f t="array" ref="AX135">IF($AO135=999,0,INDEX(AI$198:AI$313,$AO135))</f>
        <v>409.53</v>
      </c>
      <c r="AY135" s="187" cm="1">
        <f t="array" ref="AY135">IF($AO135=999,0,INDEX(AJ$198:AJ$313,$AO135))</f>
        <v>0</v>
      </c>
      <c r="AZ135" s="187" cm="1">
        <f t="array" ref="AZ135">IF($AO135=999,0,INDEX(AK$198:AK$313,$AO135))</f>
        <v>819.06</v>
      </c>
      <c r="BA135" s="187" cm="1">
        <f t="array" ref="BA135">IF($AO135=999,0,INDEX(AL$198:AL$313,$AO135))</f>
        <v>289.5</v>
      </c>
      <c r="BB135" s="252" t="str">
        <f>INDEX(pMenus!$C$10:$C$23,MATCH(AU135,pMenus!$B$10:$B$23,0))</f>
        <v>Rural Connectors</v>
      </c>
      <c r="BC135" s="221">
        <f t="shared" si="67"/>
        <v>968.36701210107549</v>
      </c>
      <c r="BD135" s="237">
        <f t="shared" si="68"/>
        <v>1936.734024202151</v>
      </c>
      <c r="BE135" s="188" t="s">
        <v>591</v>
      </c>
      <c r="BF135" s="188" t="str">
        <f t="shared" si="82"/>
        <v>Southland Region</v>
      </c>
      <c r="BG135" s="188" t="str">
        <f t="shared" si="83"/>
        <v>Combined</v>
      </c>
      <c r="BH135" s="188" t="str">
        <f t="shared" si="84"/>
        <v>2019/20</v>
      </c>
      <c r="BI135" s="188" t="str">
        <f t="shared" si="85"/>
        <v>RURAL</v>
      </c>
      <c r="BJ135" s="188" t="str">
        <f t="shared" si="86"/>
        <v>Rural Connectors</v>
      </c>
      <c r="BK135" s="188">
        <f t="shared" si="87"/>
        <v>1092.48</v>
      </c>
      <c r="BL135" s="188">
        <f t="shared" si="88"/>
        <v>-0.31269999999999998</v>
      </c>
      <c r="BM135" s="188">
        <f t="shared" si="89"/>
        <v>1090.73</v>
      </c>
      <c r="BN135" s="188">
        <f t="shared" si="90"/>
        <v>1.75</v>
      </c>
      <c r="BO135" s="188">
        <f t="shared" si="91"/>
        <v>2184.34</v>
      </c>
      <c r="BP135" s="188">
        <f t="shared" si="92"/>
        <v>238.19000000000005</v>
      </c>
      <c r="BQ135" s="253" t="str">
        <f>INDEX(pMenus!$D$10:$D$23,MATCH(BJ135,pMenus!$B$10:$B$23,0))</f>
        <v>Rural Connectors</v>
      </c>
      <c r="BR135" s="226">
        <f t="shared" si="69"/>
        <v>298.75172476160009</v>
      </c>
      <c r="BS135" s="238">
        <f t="shared" si="70"/>
        <v>597.33390310646735</v>
      </c>
    </row>
    <row r="136" spans="1:71">
      <c r="A136" s="202"/>
      <c r="B136" s="210" t="str">
        <f t="shared" si="75"/>
        <v>Rural Connectors Local LTA Roads Southland Region</v>
      </c>
      <c r="C136" s="193">
        <f t="shared" si="71"/>
        <v>8916.27</v>
      </c>
      <c r="D136" s="193">
        <f t="shared" si="72"/>
        <v>99.65</v>
      </c>
      <c r="E136" s="194">
        <f t="shared" ref="E136:E188" si="93">IFERROR($E$12*(D136/C136)/$E$13,0)</f>
        <v>30.619720873205608</v>
      </c>
      <c r="F136" s="202"/>
      <c r="AA136" s="185" t="s">
        <v>412</v>
      </c>
      <c r="AB136" s="185" t="s">
        <v>429</v>
      </c>
      <c r="AC136" s="185" t="s">
        <v>401</v>
      </c>
      <c r="AD136" s="185" t="s">
        <v>331</v>
      </c>
      <c r="AE136" s="185" t="s">
        <v>403</v>
      </c>
      <c r="AF136" s="185" t="s">
        <v>414</v>
      </c>
      <c r="AG136" s="185">
        <v>4593.3500000000004</v>
      </c>
      <c r="AH136" s="185">
        <v>0.6321</v>
      </c>
      <c r="AI136" s="185">
        <v>1069.3699999999999</v>
      </c>
      <c r="AJ136" s="185">
        <v>3523.98</v>
      </c>
      <c r="AK136" s="185">
        <v>8916.27</v>
      </c>
      <c r="AL136" s="185">
        <v>99.65</v>
      </c>
      <c r="AM136" s="186">
        <v>203</v>
      </c>
      <c r="AN136" s="186" t="str">
        <f t="shared" si="47"/>
        <v>Southland RegionRural Roads</v>
      </c>
      <c r="AO136" s="186">
        <f t="shared" si="76"/>
        <v>999</v>
      </c>
      <c r="AP136" s="187" t="s">
        <v>1105</v>
      </c>
      <c r="AQ136" s="187" t="str">
        <f t="shared" si="77"/>
        <v>Southland Region</v>
      </c>
      <c r="AR136" s="187" t="str">
        <f t="shared" si="78"/>
        <v>Combined</v>
      </c>
      <c r="AS136" s="187" t="str">
        <f t="shared" si="79"/>
        <v>2019/20</v>
      </c>
      <c r="AT136" s="187" t="str">
        <f t="shared" si="80"/>
        <v>RURAL</v>
      </c>
      <c r="AU136" s="187" t="str">
        <f t="shared" si="81"/>
        <v>Rural Roads</v>
      </c>
      <c r="AV136" s="187" cm="1">
        <f t="array" ref="AV136">IF($AO136=999,0,INDEX(AG$198:AG$313,$AO136))</f>
        <v>0</v>
      </c>
      <c r="AW136" s="187" cm="1">
        <f t="array" ref="AW136">IF($AO136=999,0,INDEX(AH$198:AH$313,$AO136))</f>
        <v>0</v>
      </c>
      <c r="AX136" s="187" cm="1">
        <f t="array" ref="AX136">IF($AO136=999,0,INDEX(AI$198:AI$313,$AO136))</f>
        <v>0</v>
      </c>
      <c r="AY136" s="187" cm="1">
        <f t="array" ref="AY136">IF($AO136=999,0,INDEX(AJ$198:AJ$313,$AO136))</f>
        <v>0</v>
      </c>
      <c r="AZ136" s="187" cm="1">
        <f t="array" ref="AZ136">IF($AO136=999,0,INDEX(AK$198:AK$313,$AO136))</f>
        <v>0</v>
      </c>
      <c r="BA136" s="187" cm="1">
        <f t="array" ref="BA136">IF($AO136=999,0,INDEX(AL$198:AL$313,$AO136))</f>
        <v>0</v>
      </c>
      <c r="BB136" s="252" t="str">
        <f>INDEX(pMenus!$C$10:$C$23,MATCH(AU136,pMenus!$B$10:$B$23,0))</f>
        <v>NA</v>
      </c>
      <c r="BC136" s="221">
        <f t="shared" si="67"/>
        <v>0</v>
      </c>
      <c r="BD136" s="237">
        <f t="shared" si="68"/>
        <v>0</v>
      </c>
      <c r="BE136" s="188" t="s">
        <v>591</v>
      </c>
      <c r="BF136" s="188" t="str">
        <f t="shared" si="82"/>
        <v>Southland Region</v>
      </c>
      <c r="BG136" s="188" t="str">
        <f t="shared" si="83"/>
        <v>Combined</v>
      </c>
      <c r="BH136" s="188" t="str">
        <f t="shared" si="84"/>
        <v>2019/20</v>
      </c>
      <c r="BI136" s="188" t="str">
        <f t="shared" si="85"/>
        <v>RURAL</v>
      </c>
      <c r="BJ136" s="188" t="str">
        <f t="shared" si="86"/>
        <v>Rural Roads</v>
      </c>
      <c r="BK136" s="188">
        <f t="shared" si="87"/>
        <v>4593.3500000000004</v>
      </c>
      <c r="BL136" s="188">
        <f t="shared" si="88"/>
        <v>0.6321</v>
      </c>
      <c r="BM136" s="188">
        <f t="shared" si="89"/>
        <v>1069.3699999999999</v>
      </c>
      <c r="BN136" s="188">
        <f t="shared" si="90"/>
        <v>3523.98</v>
      </c>
      <c r="BO136" s="188">
        <f t="shared" si="91"/>
        <v>8916.27</v>
      </c>
      <c r="BP136" s="188">
        <f t="shared" si="92"/>
        <v>99.65</v>
      </c>
      <c r="BQ136" s="253" t="str">
        <f>INDEX(pMenus!$D$10:$D$23,MATCH(BJ136,pMenus!$B$10:$B$23,0))</f>
        <v>Rural Connectors</v>
      </c>
      <c r="BR136" s="226">
        <f t="shared" si="69"/>
        <v>30.619720873205608</v>
      </c>
      <c r="BS136" s="238">
        <f t="shared" si="70"/>
        <v>59.436728886354615</v>
      </c>
    </row>
    <row r="137" spans="1:71">
      <c r="A137" s="202"/>
      <c r="B137" s="210" t="str">
        <f t="shared" si="75"/>
        <v>Rural Connectors Local LTA Roads Southland Region</v>
      </c>
      <c r="C137" s="193">
        <f t="shared" ref="C137:C189" si="94">BO137</f>
        <v>0.21999999999999997</v>
      </c>
      <c r="D137" s="193">
        <f t="shared" ref="D137:D189" si="95">BP137</f>
        <v>4.0000000000000036E-2</v>
      </c>
      <c r="E137" s="194">
        <f t="shared" si="93"/>
        <v>498.13200498132056</v>
      </c>
      <c r="F137" s="202"/>
      <c r="AA137" s="185" t="s">
        <v>412</v>
      </c>
      <c r="AB137" s="185" t="s">
        <v>429</v>
      </c>
      <c r="AC137" s="185" t="s">
        <v>401</v>
      </c>
      <c r="AD137" s="185" t="s">
        <v>331</v>
      </c>
      <c r="AE137" s="185" t="s">
        <v>403</v>
      </c>
      <c r="AF137" s="185" t="s">
        <v>415</v>
      </c>
      <c r="AG137" s="185">
        <v>1.02</v>
      </c>
      <c r="AH137" s="185">
        <v>1E-4</v>
      </c>
      <c r="AI137" s="185">
        <v>1.02</v>
      </c>
      <c r="AJ137" s="185">
        <v>0</v>
      </c>
      <c r="AK137" s="185">
        <v>2.04</v>
      </c>
      <c r="AL137" s="185">
        <v>0.39</v>
      </c>
      <c r="AM137" s="186">
        <v>204</v>
      </c>
      <c r="AN137" s="186" t="str">
        <f t="shared" si="47"/>
        <v>Southland RegionStopping Places</v>
      </c>
      <c r="AO137" s="186">
        <f t="shared" si="76"/>
        <v>71</v>
      </c>
      <c r="AP137" s="187" t="s">
        <v>1105</v>
      </c>
      <c r="AQ137" s="187" t="str">
        <f t="shared" si="77"/>
        <v>Southland Region</v>
      </c>
      <c r="AR137" s="187" t="str">
        <f t="shared" si="78"/>
        <v>Combined</v>
      </c>
      <c r="AS137" s="187" t="str">
        <f t="shared" si="79"/>
        <v>2019/20</v>
      </c>
      <c r="AT137" s="187" t="str">
        <f t="shared" si="80"/>
        <v>RURAL</v>
      </c>
      <c r="AU137" s="187" t="str">
        <f t="shared" si="81"/>
        <v>Stopping Places</v>
      </c>
      <c r="AV137" s="187" cm="1">
        <f t="array" ref="AV137">IF($AO137=999,0,INDEX(AG$198:AG$313,$AO137))</f>
        <v>0.91</v>
      </c>
      <c r="AW137" s="187" cm="1">
        <f t="array" ref="AW137">IF($AO137=999,0,INDEX(AH$198:AH$313,$AO137))</f>
        <v>1.1999999999999999E-3</v>
      </c>
      <c r="AX137" s="187" cm="1">
        <f t="array" ref="AX137">IF($AO137=999,0,INDEX(AI$198:AI$313,$AO137))</f>
        <v>0.91</v>
      </c>
      <c r="AY137" s="187" cm="1">
        <f t="array" ref="AY137">IF($AO137=999,0,INDEX(AJ$198:AJ$313,$AO137))</f>
        <v>0</v>
      </c>
      <c r="AZ137" s="187" cm="1">
        <f t="array" ref="AZ137">IF($AO137=999,0,INDEX(AK$198:AK$313,$AO137))</f>
        <v>1.82</v>
      </c>
      <c r="BA137" s="187" cm="1">
        <f t="array" ref="BA137">IF($AO137=999,0,INDEX(AL$198:AL$313,$AO137))</f>
        <v>0.35</v>
      </c>
      <c r="BB137" s="252" t="str">
        <f>INDEX(pMenus!$C$10:$C$23,MATCH(AU137,pMenus!$B$10:$B$23,0))</f>
        <v>Interregional Connectors</v>
      </c>
      <c r="BC137" s="221">
        <f t="shared" ref="BC137:BC189" si="96">IFERROR($E$12*(BA137/AZ137)/$E$13,0)</f>
        <v>526.87038988408847</v>
      </c>
      <c r="BD137" s="237">
        <f t="shared" ref="BD137:BD189" si="97">IFERROR($E$12*(BA137/AV137)/$E$13,0)</f>
        <v>1053.7407797681769</v>
      </c>
      <c r="BE137" s="188" t="s">
        <v>591</v>
      </c>
      <c r="BF137" s="188" t="str">
        <f t="shared" si="82"/>
        <v>Southland Region</v>
      </c>
      <c r="BG137" s="188" t="str">
        <f t="shared" si="83"/>
        <v>Combined</v>
      </c>
      <c r="BH137" s="188" t="str">
        <f t="shared" si="84"/>
        <v>2019/20</v>
      </c>
      <c r="BI137" s="188" t="str">
        <f t="shared" si="85"/>
        <v>RURAL</v>
      </c>
      <c r="BJ137" s="188" t="str">
        <f t="shared" si="86"/>
        <v>Stopping Places</v>
      </c>
      <c r="BK137" s="188">
        <f t="shared" si="87"/>
        <v>0.10999999999999999</v>
      </c>
      <c r="BL137" s="188">
        <f t="shared" si="88"/>
        <v>-1.0999999999999998E-3</v>
      </c>
      <c r="BM137" s="188">
        <f t="shared" si="89"/>
        <v>0.10999999999999999</v>
      </c>
      <c r="BN137" s="188">
        <f t="shared" si="90"/>
        <v>0</v>
      </c>
      <c r="BO137" s="188">
        <f t="shared" si="91"/>
        <v>0.21999999999999997</v>
      </c>
      <c r="BP137" s="188">
        <f t="shared" si="92"/>
        <v>4.0000000000000036E-2</v>
      </c>
      <c r="BQ137" s="253" t="str">
        <f>INDEX(pMenus!$D$10:$D$23,MATCH(BJ137,pMenus!$B$10:$B$23,0))</f>
        <v>Rural Connectors</v>
      </c>
      <c r="BR137" s="226">
        <f t="shared" ref="BR137:BR189" si="98">IFERROR($E$12*(BP137/BO137)/$E$13,0)</f>
        <v>498.13200498132056</v>
      </c>
      <c r="BS137" s="238">
        <f t="shared" ref="BS137:BS189" si="99">IFERROR($E$12*(BP137/BK137)/$E$13,0)</f>
        <v>996.26400996264113</v>
      </c>
    </row>
    <row r="138" spans="1:71">
      <c r="A138" s="202"/>
      <c r="B138" s="210" t="str">
        <f t="shared" si="75"/>
        <v>Activity Streets Local LTA Roads Southland Region</v>
      </c>
      <c r="C138" s="193">
        <f t="shared" si="94"/>
        <v>33.32</v>
      </c>
      <c r="D138" s="193">
        <f t="shared" si="95"/>
        <v>22.889999999999997</v>
      </c>
      <c r="E138" s="194">
        <f t="shared" si="93"/>
        <v>1882.1227120985375</v>
      </c>
      <c r="F138" s="202"/>
      <c r="AA138" s="185" t="s">
        <v>412</v>
      </c>
      <c r="AB138" s="185" t="s">
        <v>429</v>
      </c>
      <c r="AC138" s="185" t="s">
        <v>401</v>
      </c>
      <c r="AD138" s="185" t="s">
        <v>331</v>
      </c>
      <c r="AE138" s="185" t="s">
        <v>407</v>
      </c>
      <c r="AF138" s="185" t="s">
        <v>408</v>
      </c>
      <c r="AG138" s="185">
        <v>28.28</v>
      </c>
      <c r="AH138" s="185">
        <v>3.8999999999999998E-3</v>
      </c>
      <c r="AI138" s="185">
        <v>28.28</v>
      </c>
      <c r="AJ138" s="185">
        <v>0</v>
      </c>
      <c r="AK138" s="185">
        <v>57.1</v>
      </c>
      <c r="AL138" s="185">
        <v>49.48</v>
      </c>
      <c r="AM138" s="186">
        <v>205</v>
      </c>
      <c r="AN138" s="186" t="str">
        <f t="shared" si="47"/>
        <v>Southland RegionActivity Streets</v>
      </c>
      <c r="AO138" s="186">
        <f t="shared" si="76"/>
        <v>72</v>
      </c>
      <c r="AP138" s="187" t="s">
        <v>1105</v>
      </c>
      <c r="AQ138" s="187" t="str">
        <f t="shared" si="77"/>
        <v>Southland Region</v>
      </c>
      <c r="AR138" s="187" t="str">
        <f t="shared" si="78"/>
        <v>Combined</v>
      </c>
      <c r="AS138" s="187" t="str">
        <f t="shared" si="79"/>
        <v>2019/20</v>
      </c>
      <c r="AT138" s="187" t="str">
        <f t="shared" si="80"/>
        <v>URBAN</v>
      </c>
      <c r="AU138" s="187" t="str">
        <f t="shared" si="81"/>
        <v>Activity Streets</v>
      </c>
      <c r="AV138" s="187" cm="1">
        <f t="array" ref="AV138">IF($AO138=999,0,INDEX(AG$198:AG$313,$AO138))</f>
        <v>12.25</v>
      </c>
      <c r="AW138" s="187" cm="1">
        <f t="array" ref="AW138">IF($AO138=999,0,INDEX(AH$198:AH$313,$AO138))</f>
        <v>1.55E-2</v>
      </c>
      <c r="AX138" s="187" cm="1">
        <f t="array" ref="AX138">IF($AO138=999,0,INDEX(AI$198:AI$313,$AO138))</f>
        <v>12.25</v>
      </c>
      <c r="AY138" s="187" cm="1">
        <f t="array" ref="AY138">IF($AO138=999,0,INDEX(AJ$198:AJ$313,$AO138))</f>
        <v>0</v>
      </c>
      <c r="AZ138" s="187" cm="1">
        <f t="array" ref="AZ138">IF($AO138=999,0,INDEX(AK$198:AK$313,$AO138))</f>
        <v>23.78</v>
      </c>
      <c r="BA138" s="187" cm="1">
        <f t="array" ref="BA138">IF($AO138=999,0,INDEX(AL$198:AL$313,$AO138))</f>
        <v>26.59</v>
      </c>
      <c r="BB138" s="252" t="str">
        <f>INDEX(pMenus!$C$10:$C$23,MATCH(AU138,pMenus!$B$10:$B$23,0))</f>
        <v>Urban Connectors</v>
      </c>
      <c r="BC138" s="221">
        <f t="shared" si="96"/>
        <v>3063.4699355968523</v>
      </c>
      <c r="BD138" s="237">
        <f t="shared" si="97"/>
        <v>5946.8828627341336</v>
      </c>
      <c r="BE138" s="188" t="s">
        <v>591</v>
      </c>
      <c r="BF138" s="188" t="str">
        <f t="shared" si="82"/>
        <v>Southland Region</v>
      </c>
      <c r="BG138" s="188" t="str">
        <f t="shared" si="83"/>
        <v>Combined</v>
      </c>
      <c r="BH138" s="188" t="str">
        <f t="shared" si="84"/>
        <v>2019/20</v>
      </c>
      <c r="BI138" s="188" t="str">
        <f t="shared" si="85"/>
        <v>URBAN</v>
      </c>
      <c r="BJ138" s="188" t="str">
        <f t="shared" si="86"/>
        <v>Activity Streets</v>
      </c>
      <c r="BK138" s="188">
        <f t="shared" si="87"/>
        <v>16.03</v>
      </c>
      <c r="BL138" s="188">
        <f t="shared" si="88"/>
        <v>-1.1599999999999999E-2</v>
      </c>
      <c r="BM138" s="188">
        <f t="shared" si="89"/>
        <v>16.03</v>
      </c>
      <c r="BN138" s="188">
        <f t="shared" si="90"/>
        <v>0</v>
      </c>
      <c r="BO138" s="188">
        <f t="shared" si="91"/>
        <v>33.32</v>
      </c>
      <c r="BP138" s="188">
        <f t="shared" si="92"/>
        <v>22.889999999999997</v>
      </c>
      <c r="BQ138" s="253" t="str">
        <f>INDEX(pMenus!$D$10:$D$23,MATCH(BJ138,pMenus!$B$10:$B$23,0))</f>
        <v>Activity Streets</v>
      </c>
      <c r="BR138" s="226">
        <f t="shared" si="98"/>
        <v>1882.1227120985375</v>
      </c>
      <c r="BS138" s="238">
        <f t="shared" si="99"/>
        <v>3912.1852006939034</v>
      </c>
    </row>
    <row r="139" spans="1:71">
      <c r="A139" s="202"/>
      <c r="B139" s="210" t="str">
        <f t="shared" si="75"/>
        <v>Rural Connectors Local LTA Roads Southland Region</v>
      </c>
      <c r="C139" s="193">
        <f t="shared" si="94"/>
        <v>964.75</v>
      </c>
      <c r="D139" s="193">
        <f t="shared" si="95"/>
        <v>80.81</v>
      </c>
      <c r="E139" s="194">
        <f t="shared" si="93"/>
        <v>229.48666522308642</v>
      </c>
      <c r="F139" s="202"/>
      <c r="AA139" s="185" t="s">
        <v>412</v>
      </c>
      <c r="AB139" s="185" t="s">
        <v>429</v>
      </c>
      <c r="AC139" s="185" t="s">
        <v>401</v>
      </c>
      <c r="AD139" s="185" t="s">
        <v>331</v>
      </c>
      <c r="AE139" s="185" t="s">
        <v>407</v>
      </c>
      <c r="AF139" s="185" t="s">
        <v>418</v>
      </c>
      <c r="AG139" s="185">
        <v>494.57</v>
      </c>
      <c r="AH139" s="185">
        <v>6.8099999999999994E-2</v>
      </c>
      <c r="AI139" s="185">
        <v>461.81</v>
      </c>
      <c r="AJ139" s="185">
        <v>32.76</v>
      </c>
      <c r="AK139" s="185">
        <v>964.75</v>
      </c>
      <c r="AL139" s="185">
        <v>80.81</v>
      </c>
      <c r="AM139" s="186">
        <v>206</v>
      </c>
      <c r="AN139" s="186" t="str">
        <f t="shared" si="47"/>
        <v>Southland RegionLocal Streets</v>
      </c>
      <c r="AO139" s="186">
        <f t="shared" si="76"/>
        <v>999</v>
      </c>
      <c r="AP139" s="187" t="s">
        <v>1105</v>
      </c>
      <c r="AQ139" s="187" t="str">
        <f t="shared" si="77"/>
        <v>Southland Region</v>
      </c>
      <c r="AR139" s="187" t="str">
        <f t="shared" si="78"/>
        <v>Combined</v>
      </c>
      <c r="AS139" s="187" t="str">
        <f t="shared" si="79"/>
        <v>2019/20</v>
      </c>
      <c r="AT139" s="187" t="str">
        <f t="shared" si="80"/>
        <v>URBAN</v>
      </c>
      <c r="AU139" s="187" t="str">
        <f t="shared" si="81"/>
        <v>Local Streets</v>
      </c>
      <c r="AV139" s="187" cm="1">
        <f t="array" ref="AV139">IF($AO139=999,0,INDEX(AG$198:AG$313,$AO139))</f>
        <v>0</v>
      </c>
      <c r="AW139" s="187" cm="1">
        <f t="array" ref="AW139">IF($AO139=999,0,INDEX(AH$198:AH$313,$AO139))</f>
        <v>0</v>
      </c>
      <c r="AX139" s="187" cm="1">
        <f t="array" ref="AX139">IF($AO139=999,0,INDEX(AI$198:AI$313,$AO139))</f>
        <v>0</v>
      </c>
      <c r="AY139" s="187" cm="1">
        <f t="array" ref="AY139">IF($AO139=999,0,INDEX(AJ$198:AJ$313,$AO139))</f>
        <v>0</v>
      </c>
      <c r="AZ139" s="187" cm="1">
        <f t="array" ref="AZ139">IF($AO139=999,0,INDEX(AK$198:AK$313,$AO139))</f>
        <v>0</v>
      </c>
      <c r="BA139" s="187" cm="1">
        <f t="array" ref="BA139">IF($AO139=999,0,INDEX(AL$198:AL$313,$AO139))</f>
        <v>0</v>
      </c>
      <c r="BB139" s="252" t="str">
        <f>INDEX(pMenus!$C$10:$C$23,MATCH(AU139,pMenus!$B$10:$B$23,0))</f>
        <v>NA</v>
      </c>
      <c r="BC139" s="221">
        <f t="shared" si="96"/>
        <v>0</v>
      </c>
      <c r="BD139" s="237">
        <f t="shared" si="97"/>
        <v>0</v>
      </c>
      <c r="BE139" s="188" t="s">
        <v>591</v>
      </c>
      <c r="BF139" s="188" t="str">
        <f t="shared" si="82"/>
        <v>Southland Region</v>
      </c>
      <c r="BG139" s="188" t="str">
        <f t="shared" si="83"/>
        <v>Combined</v>
      </c>
      <c r="BH139" s="188" t="str">
        <f t="shared" si="84"/>
        <v>2019/20</v>
      </c>
      <c r="BI139" s="188" t="str">
        <f t="shared" si="85"/>
        <v>URBAN</v>
      </c>
      <c r="BJ139" s="188" t="str">
        <f t="shared" si="86"/>
        <v>Local Streets</v>
      </c>
      <c r="BK139" s="188">
        <f t="shared" si="87"/>
        <v>494.57</v>
      </c>
      <c r="BL139" s="188">
        <f t="shared" si="88"/>
        <v>6.8099999999999994E-2</v>
      </c>
      <c r="BM139" s="188">
        <f t="shared" si="89"/>
        <v>461.81</v>
      </c>
      <c r="BN139" s="188">
        <f t="shared" si="90"/>
        <v>32.76</v>
      </c>
      <c r="BO139" s="188">
        <f t="shared" si="91"/>
        <v>964.75</v>
      </c>
      <c r="BP139" s="188">
        <f t="shared" si="92"/>
        <v>80.81</v>
      </c>
      <c r="BQ139" s="253" t="str">
        <f>INDEX(pMenus!$D$10:$D$23,MATCH(BJ139,pMenus!$B$10:$B$23,0))</f>
        <v>Rural Connectors</v>
      </c>
      <c r="BR139" s="226">
        <f t="shared" si="98"/>
        <v>229.48666522308642</v>
      </c>
      <c r="BS139" s="238">
        <f t="shared" si="99"/>
        <v>447.65606541838889</v>
      </c>
    </row>
    <row r="140" spans="1:71">
      <c r="A140" s="202"/>
      <c r="B140" s="210" t="str">
        <f t="shared" si="75"/>
        <v>Urban Connectors Local LTA Roads Southland Region</v>
      </c>
      <c r="C140" s="193">
        <f t="shared" si="94"/>
        <v>1</v>
      </c>
      <c r="D140" s="193">
        <f t="shared" si="95"/>
        <v>1.3099999999999996</v>
      </c>
      <c r="E140" s="194">
        <f t="shared" si="93"/>
        <v>3589.0410958904099</v>
      </c>
      <c r="F140" s="202"/>
      <c r="AA140" s="185" t="s">
        <v>412</v>
      </c>
      <c r="AB140" s="185" t="s">
        <v>429</v>
      </c>
      <c r="AC140" s="185" t="s">
        <v>401</v>
      </c>
      <c r="AD140" s="185" t="s">
        <v>331</v>
      </c>
      <c r="AE140" s="185" t="s">
        <v>407</v>
      </c>
      <c r="AF140" s="185" t="s">
        <v>409</v>
      </c>
      <c r="AG140" s="185">
        <v>3.04</v>
      </c>
      <c r="AH140" s="185">
        <v>4.0000000000000002E-4</v>
      </c>
      <c r="AI140" s="185">
        <v>3.04</v>
      </c>
      <c r="AJ140" s="185">
        <v>0</v>
      </c>
      <c r="AK140" s="185">
        <v>5.33</v>
      </c>
      <c r="AL140" s="185">
        <v>7.67</v>
      </c>
      <c r="AM140" s="186">
        <v>207</v>
      </c>
      <c r="AN140" s="186" t="str">
        <f t="shared" si="47"/>
        <v>Southland RegionMain Streets</v>
      </c>
      <c r="AO140" s="186">
        <f t="shared" si="76"/>
        <v>73</v>
      </c>
      <c r="AP140" s="187" t="s">
        <v>1105</v>
      </c>
      <c r="AQ140" s="187" t="str">
        <f t="shared" si="77"/>
        <v>Southland Region</v>
      </c>
      <c r="AR140" s="187" t="str">
        <f t="shared" si="78"/>
        <v>Combined</v>
      </c>
      <c r="AS140" s="187" t="str">
        <f t="shared" si="79"/>
        <v>2019/20</v>
      </c>
      <c r="AT140" s="187" t="str">
        <f t="shared" si="80"/>
        <v>URBAN</v>
      </c>
      <c r="AU140" s="187" t="str">
        <f t="shared" si="81"/>
        <v>Main Streets</v>
      </c>
      <c r="AV140" s="187" cm="1">
        <f t="array" ref="AV140">IF($AO140=999,0,INDEX(AG$198:AG$313,$AO140))</f>
        <v>2.41</v>
      </c>
      <c r="AW140" s="187" cm="1">
        <f t="array" ref="AW140">IF($AO140=999,0,INDEX(AH$198:AH$313,$AO140))</f>
        <v>3.0999999999999999E-3</v>
      </c>
      <c r="AX140" s="187" cm="1">
        <f t="array" ref="AX140">IF($AO140=999,0,INDEX(AI$198:AI$313,$AO140))</f>
        <v>2.41</v>
      </c>
      <c r="AY140" s="187" cm="1">
        <f t="array" ref="AY140">IF($AO140=999,0,INDEX(AJ$198:AJ$313,$AO140))</f>
        <v>0</v>
      </c>
      <c r="AZ140" s="187" cm="1">
        <f t="array" ref="AZ140">IF($AO140=999,0,INDEX(AK$198:AK$313,$AO140))</f>
        <v>4.33</v>
      </c>
      <c r="BA140" s="187" cm="1">
        <f t="array" ref="BA140">IF($AO140=999,0,INDEX(AL$198:AL$313,$AO140))</f>
        <v>6.36</v>
      </c>
      <c r="BB140" s="252" t="str">
        <f>INDEX(pMenus!$C$10:$C$23,MATCH(AU140,pMenus!$B$10:$B$23,0))</f>
        <v>Urban Connectors</v>
      </c>
      <c r="BC140" s="221">
        <f t="shared" si="96"/>
        <v>4024.1703312347745</v>
      </c>
      <c r="BD140" s="237">
        <f t="shared" si="97"/>
        <v>7230.1483544591601</v>
      </c>
      <c r="BE140" s="188" t="s">
        <v>591</v>
      </c>
      <c r="BF140" s="188" t="str">
        <f t="shared" si="82"/>
        <v>Southland Region</v>
      </c>
      <c r="BG140" s="188" t="str">
        <f t="shared" si="83"/>
        <v>Combined</v>
      </c>
      <c r="BH140" s="188" t="str">
        <f t="shared" si="84"/>
        <v>2019/20</v>
      </c>
      <c r="BI140" s="188" t="str">
        <f t="shared" si="85"/>
        <v>URBAN</v>
      </c>
      <c r="BJ140" s="188" t="str">
        <f t="shared" si="86"/>
        <v>Main Streets</v>
      </c>
      <c r="BK140" s="188">
        <f t="shared" si="87"/>
        <v>0.62999999999999989</v>
      </c>
      <c r="BL140" s="188">
        <f t="shared" si="88"/>
        <v>-2.6999999999999997E-3</v>
      </c>
      <c r="BM140" s="188">
        <f t="shared" si="89"/>
        <v>0.62999999999999989</v>
      </c>
      <c r="BN140" s="188">
        <f t="shared" si="90"/>
        <v>0</v>
      </c>
      <c r="BO140" s="188">
        <f t="shared" si="91"/>
        <v>1</v>
      </c>
      <c r="BP140" s="188">
        <f t="shared" si="92"/>
        <v>1.3099999999999996</v>
      </c>
      <c r="BQ140" s="253" t="str">
        <f>INDEX(pMenus!$D$10:$D$23,MATCH(BJ140,pMenus!$B$10:$B$23,0))</f>
        <v>Urban Connectors</v>
      </c>
      <c r="BR140" s="226">
        <f t="shared" si="98"/>
        <v>3589.0410958904099</v>
      </c>
      <c r="BS140" s="238">
        <f t="shared" si="99"/>
        <v>5696.8906283974766</v>
      </c>
    </row>
    <row r="141" spans="1:71">
      <c r="A141" s="202"/>
      <c r="B141" s="210" t="str">
        <f t="shared" si="75"/>
        <v>Urban Connectors Local LTA Roads Southland Region</v>
      </c>
      <c r="C141" s="193">
        <f t="shared" si="94"/>
        <v>155.36000000000001</v>
      </c>
      <c r="D141" s="193">
        <f t="shared" si="95"/>
        <v>143.91000000000003</v>
      </c>
      <c r="E141" s="194">
        <f t="shared" si="93"/>
        <v>2537.8087834882836</v>
      </c>
      <c r="F141" s="202"/>
      <c r="AA141" s="185" t="s">
        <v>412</v>
      </c>
      <c r="AB141" s="185" t="s">
        <v>429</v>
      </c>
      <c r="AC141" s="185" t="s">
        <v>401</v>
      </c>
      <c r="AD141" s="185" t="s">
        <v>331</v>
      </c>
      <c r="AE141" s="185" t="s">
        <v>407</v>
      </c>
      <c r="AF141" s="185" t="s">
        <v>411</v>
      </c>
      <c r="AG141" s="185">
        <v>121.67</v>
      </c>
      <c r="AH141" s="185">
        <v>1.67E-2</v>
      </c>
      <c r="AI141" s="185">
        <v>121.67</v>
      </c>
      <c r="AJ141" s="185">
        <v>0</v>
      </c>
      <c r="AK141" s="185">
        <v>243.21</v>
      </c>
      <c r="AL141" s="185">
        <v>214.86</v>
      </c>
      <c r="AM141" s="186">
        <v>208</v>
      </c>
      <c r="AN141" s="186" t="str">
        <f t="shared" si="47"/>
        <v>Southland RegionUrban Connectors</v>
      </c>
      <c r="AO141" s="186">
        <f t="shared" si="76"/>
        <v>74</v>
      </c>
      <c r="AP141" s="187" t="s">
        <v>1105</v>
      </c>
      <c r="AQ141" s="187" t="str">
        <f t="shared" si="77"/>
        <v>Southland Region</v>
      </c>
      <c r="AR141" s="187" t="str">
        <f t="shared" si="78"/>
        <v>Combined</v>
      </c>
      <c r="AS141" s="187" t="str">
        <f t="shared" si="79"/>
        <v>2019/20</v>
      </c>
      <c r="AT141" s="187" t="str">
        <f t="shared" si="80"/>
        <v>URBAN</v>
      </c>
      <c r="AU141" s="187" t="str">
        <f t="shared" si="81"/>
        <v>Urban Connectors</v>
      </c>
      <c r="AV141" s="187" cm="1">
        <f t="array" ref="AV141">IF($AO141=999,0,INDEX(AG$198:AG$313,$AO141))</f>
        <v>41.87</v>
      </c>
      <c r="AW141" s="187" cm="1">
        <f t="array" ref="AW141">IF($AO141=999,0,INDEX(AH$198:AH$313,$AO141))</f>
        <v>5.3100000000000001E-2</v>
      </c>
      <c r="AX141" s="187" cm="1">
        <f t="array" ref="AX141">IF($AO141=999,0,INDEX(AI$198:AI$313,$AO141))</f>
        <v>41.87</v>
      </c>
      <c r="AY141" s="187" cm="1">
        <f t="array" ref="AY141">IF($AO141=999,0,INDEX(AJ$198:AJ$313,$AO141))</f>
        <v>0</v>
      </c>
      <c r="AZ141" s="187" cm="1">
        <f t="array" ref="AZ141">IF($AO141=999,0,INDEX(AK$198:AK$313,$AO141))</f>
        <v>87.85</v>
      </c>
      <c r="BA141" s="187" cm="1">
        <f t="array" ref="BA141">IF($AO141=999,0,INDEX(AL$198:AL$313,$AO141))</f>
        <v>70.95</v>
      </c>
      <c r="BB141" s="252" t="str">
        <f>INDEX(pMenus!$C$10:$C$23,MATCH(AU141,pMenus!$B$10:$B$23,0))</f>
        <v>Urban Connectors</v>
      </c>
      <c r="BC141" s="221">
        <f t="shared" si="96"/>
        <v>2212.675715923001</v>
      </c>
      <c r="BD141" s="237">
        <f t="shared" si="97"/>
        <v>4642.5498362511498</v>
      </c>
      <c r="BE141" s="188" t="s">
        <v>591</v>
      </c>
      <c r="BF141" s="188" t="str">
        <f t="shared" si="82"/>
        <v>Southland Region</v>
      </c>
      <c r="BG141" s="188" t="str">
        <f t="shared" si="83"/>
        <v>Combined</v>
      </c>
      <c r="BH141" s="188" t="str">
        <f t="shared" si="84"/>
        <v>2019/20</v>
      </c>
      <c r="BI141" s="188" t="str">
        <f t="shared" si="85"/>
        <v>URBAN</v>
      </c>
      <c r="BJ141" s="188" t="str">
        <f t="shared" si="86"/>
        <v>Urban Connectors</v>
      </c>
      <c r="BK141" s="188">
        <f t="shared" si="87"/>
        <v>79.800000000000011</v>
      </c>
      <c r="BL141" s="188">
        <f t="shared" si="88"/>
        <v>-3.6400000000000002E-2</v>
      </c>
      <c r="BM141" s="188">
        <f t="shared" si="89"/>
        <v>79.800000000000011</v>
      </c>
      <c r="BN141" s="188">
        <f t="shared" si="90"/>
        <v>0</v>
      </c>
      <c r="BO141" s="188">
        <f t="shared" si="91"/>
        <v>155.36000000000001</v>
      </c>
      <c r="BP141" s="188">
        <f t="shared" si="92"/>
        <v>143.91000000000003</v>
      </c>
      <c r="BQ141" s="253" t="str">
        <f>INDEX(pMenus!$D$10:$D$23,MATCH(BJ141,pMenus!$B$10:$B$23,0))</f>
        <v>Urban Connectors</v>
      </c>
      <c r="BR141" s="226">
        <f t="shared" si="98"/>
        <v>2537.8087834882836</v>
      </c>
      <c r="BS141" s="238">
        <f t="shared" si="99"/>
        <v>4940.7765990318267</v>
      </c>
    </row>
    <row r="142" spans="1:71">
      <c r="A142" s="202"/>
      <c r="B142" s="210" t="str">
        <f t="shared" si="75"/>
        <v>NA Local LTA Roads Taranaki Region</v>
      </c>
      <c r="C142" s="193">
        <f t="shared" si="94"/>
        <v>79.47999999999999</v>
      </c>
      <c r="D142" s="193">
        <f t="shared" si="95"/>
        <v>1.6399999999999997</v>
      </c>
      <c r="E142" s="194">
        <f t="shared" si="93"/>
        <v>56.531840525056701</v>
      </c>
      <c r="F142" s="202"/>
      <c r="AA142" s="185" t="s">
        <v>412</v>
      </c>
      <c r="AB142" s="185" t="s">
        <v>430</v>
      </c>
      <c r="AC142" s="185" t="s">
        <v>401</v>
      </c>
      <c r="AD142" s="185" t="s">
        <v>331</v>
      </c>
      <c r="AE142" s="185"/>
      <c r="AF142" s="185" t="s">
        <v>402</v>
      </c>
      <c r="AG142" s="185">
        <v>42.08</v>
      </c>
      <c r="AH142" s="185">
        <v>9.7000000000000003E-3</v>
      </c>
      <c r="AI142" s="185">
        <v>30.68</v>
      </c>
      <c r="AJ142" s="185">
        <v>11.4</v>
      </c>
      <c r="AK142" s="185">
        <v>82.6</v>
      </c>
      <c r="AL142" s="185">
        <v>7.43</v>
      </c>
      <c r="AM142" s="186">
        <v>217</v>
      </c>
      <c r="AN142" s="186" t="str">
        <f t="shared" si="47"/>
        <v>Taranaki RegionUnclassified</v>
      </c>
      <c r="AO142" s="186">
        <f t="shared" si="76"/>
        <v>75</v>
      </c>
      <c r="AP142" s="187" t="s">
        <v>1105</v>
      </c>
      <c r="AQ142" s="187" t="str">
        <f t="shared" si="77"/>
        <v>Taranaki Region</v>
      </c>
      <c r="AR142" s="187" t="str">
        <f t="shared" si="78"/>
        <v>Combined</v>
      </c>
      <c r="AS142" s="187" t="str">
        <f t="shared" si="79"/>
        <v>2019/20</v>
      </c>
      <c r="AT142" s="187">
        <f t="shared" si="80"/>
        <v>0</v>
      </c>
      <c r="AU142" s="187" t="str">
        <f t="shared" si="81"/>
        <v>Unclassified</v>
      </c>
      <c r="AV142" s="187" cm="1">
        <f t="array" ref="AV142">IF($AO142=999,0,INDEX(AG$198:AG$313,$AO142))</f>
        <v>1.56</v>
      </c>
      <c r="AW142" s="187" cm="1">
        <f t="array" ref="AW142">IF($AO142=999,0,INDEX(AH$198:AH$313,$AO142))</f>
        <v>3.8999999999999998E-3</v>
      </c>
      <c r="AX142" s="187" cm="1">
        <f t="array" ref="AX142">IF($AO142=999,0,INDEX(AI$198:AI$313,$AO142))</f>
        <v>1.56</v>
      </c>
      <c r="AY142" s="187" cm="1">
        <f t="array" ref="AY142">IF($AO142=999,0,INDEX(AJ$198:AJ$313,$AO142))</f>
        <v>0</v>
      </c>
      <c r="AZ142" s="187" cm="1">
        <f t="array" ref="AZ142">IF($AO142=999,0,INDEX(AK$198:AK$313,$AO142))</f>
        <v>3.12</v>
      </c>
      <c r="BA142" s="187" cm="1">
        <f t="array" ref="BA142">IF($AO142=999,0,INDEX(AL$198:AL$313,$AO142))</f>
        <v>5.79</v>
      </c>
      <c r="BB142" s="252" t="str">
        <f>INDEX(pMenus!$C$10:$C$23,MATCH(AU142,pMenus!$B$10:$B$23,0))</f>
        <v>NA</v>
      </c>
      <c r="BC142" s="221">
        <f t="shared" si="96"/>
        <v>5084.2992623814534</v>
      </c>
      <c r="BD142" s="237">
        <f t="shared" si="97"/>
        <v>10168.598524762907</v>
      </c>
      <c r="BE142" s="188" t="s">
        <v>591</v>
      </c>
      <c r="BF142" s="188" t="str">
        <f t="shared" si="82"/>
        <v>Taranaki Region</v>
      </c>
      <c r="BG142" s="188" t="str">
        <f t="shared" si="83"/>
        <v>Combined</v>
      </c>
      <c r="BH142" s="188" t="str">
        <f t="shared" si="84"/>
        <v>2019/20</v>
      </c>
      <c r="BI142" s="188">
        <f t="shared" si="85"/>
        <v>0</v>
      </c>
      <c r="BJ142" s="188" t="str">
        <f t="shared" si="86"/>
        <v>Unclassified</v>
      </c>
      <c r="BK142" s="188">
        <f t="shared" si="87"/>
        <v>40.519999999999996</v>
      </c>
      <c r="BL142" s="188">
        <f t="shared" si="88"/>
        <v>5.8000000000000005E-3</v>
      </c>
      <c r="BM142" s="188">
        <f t="shared" si="89"/>
        <v>29.12</v>
      </c>
      <c r="BN142" s="188">
        <f t="shared" si="90"/>
        <v>11.4</v>
      </c>
      <c r="BO142" s="188">
        <f t="shared" si="91"/>
        <v>79.47999999999999</v>
      </c>
      <c r="BP142" s="188">
        <f t="shared" si="92"/>
        <v>1.6399999999999997</v>
      </c>
      <c r="BQ142" s="253" t="str">
        <f>INDEX(pMenus!$D$10:$D$23,MATCH(BJ142,pMenus!$B$10:$B$23,0))</f>
        <v>NA</v>
      </c>
      <c r="BR142" s="226">
        <f t="shared" si="98"/>
        <v>56.531840525056701</v>
      </c>
      <c r="BS142" s="238">
        <f t="shared" si="99"/>
        <v>110.88723309307765</v>
      </c>
    </row>
    <row r="143" spans="1:71">
      <c r="A143" s="202"/>
      <c r="B143" s="210" t="str">
        <f t="shared" si="75"/>
        <v>Interregional Connectors Local LTA Roads Taranaki Region</v>
      </c>
      <c r="C143" s="193">
        <f t="shared" si="94"/>
        <v>0</v>
      </c>
      <c r="D143" s="193">
        <f t="shared" si="95"/>
        <v>0</v>
      </c>
      <c r="E143" s="194">
        <f t="shared" si="93"/>
        <v>0</v>
      </c>
      <c r="F143" s="202"/>
      <c r="AA143" s="185" t="s">
        <v>412</v>
      </c>
      <c r="AB143" s="185" t="s">
        <v>430</v>
      </c>
      <c r="AC143" s="185" t="s">
        <v>401</v>
      </c>
      <c r="AD143" s="185" t="s">
        <v>331</v>
      </c>
      <c r="AE143" s="185" t="s">
        <v>403</v>
      </c>
      <c r="AF143" s="185" t="s">
        <v>404</v>
      </c>
      <c r="AG143" s="185">
        <v>180.06</v>
      </c>
      <c r="AH143" s="185">
        <v>4.1500000000000002E-2</v>
      </c>
      <c r="AI143" s="185">
        <v>180.06</v>
      </c>
      <c r="AJ143" s="185">
        <v>0</v>
      </c>
      <c r="AK143" s="185">
        <v>389.72</v>
      </c>
      <c r="AL143" s="185">
        <v>408.77</v>
      </c>
      <c r="AM143" s="186">
        <v>218</v>
      </c>
      <c r="AN143" s="186" t="str">
        <f t="shared" si="47"/>
        <v>Taranaki RegionInterregional Connectors</v>
      </c>
      <c r="AO143" s="186">
        <f t="shared" si="76"/>
        <v>76</v>
      </c>
      <c r="AP143" s="187" t="s">
        <v>1105</v>
      </c>
      <c r="AQ143" s="187" t="str">
        <f t="shared" si="77"/>
        <v>Taranaki Region</v>
      </c>
      <c r="AR143" s="187" t="str">
        <f t="shared" si="78"/>
        <v>Combined</v>
      </c>
      <c r="AS143" s="187" t="str">
        <f t="shared" si="79"/>
        <v>2019/20</v>
      </c>
      <c r="AT143" s="187" t="str">
        <f t="shared" si="80"/>
        <v>RURAL</v>
      </c>
      <c r="AU143" s="187" t="str">
        <f t="shared" si="81"/>
        <v>Interregional Connectors</v>
      </c>
      <c r="AV143" s="187" cm="1">
        <f t="array" ref="AV143">IF($AO143=999,0,INDEX(AG$198:AG$313,$AO143))</f>
        <v>180.06</v>
      </c>
      <c r="AW143" s="187" cm="1">
        <f t="array" ref="AW143">IF($AO143=999,0,INDEX(AH$198:AH$313,$AO143))</f>
        <v>0.45069999999999999</v>
      </c>
      <c r="AX143" s="187" cm="1">
        <f t="array" ref="AX143">IF($AO143=999,0,INDEX(AI$198:AI$313,$AO143))</f>
        <v>180.06</v>
      </c>
      <c r="AY143" s="187" cm="1">
        <f t="array" ref="AY143">IF($AO143=999,0,INDEX(AJ$198:AJ$313,$AO143))</f>
        <v>0</v>
      </c>
      <c r="AZ143" s="187" cm="1">
        <f t="array" ref="AZ143">IF($AO143=999,0,INDEX(AK$198:AK$313,$AO143))</f>
        <v>389.72</v>
      </c>
      <c r="BA143" s="187" cm="1">
        <f t="array" ref="BA143">IF($AO143=999,0,INDEX(AL$198:AL$313,$AO143))</f>
        <v>408.77</v>
      </c>
      <c r="BB143" s="252" t="str">
        <f>INDEX(pMenus!$C$10:$C$23,MATCH(AU143,pMenus!$B$10:$B$23,0))</f>
        <v>Interregional Connectors</v>
      </c>
      <c r="BC143" s="221">
        <f t="shared" si="96"/>
        <v>2873.6472550014832</v>
      </c>
      <c r="BD143" s="237">
        <f t="shared" si="97"/>
        <v>6219.6923704275132</v>
      </c>
      <c r="BE143" s="188" t="s">
        <v>591</v>
      </c>
      <c r="BF143" s="188" t="str">
        <f t="shared" si="82"/>
        <v>Taranaki Region</v>
      </c>
      <c r="BG143" s="188" t="str">
        <f t="shared" si="83"/>
        <v>Combined</v>
      </c>
      <c r="BH143" s="188" t="str">
        <f t="shared" si="84"/>
        <v>2019/20</v>
      </c>
      <c r="BI143" s="188" t="str">
        <f t="shared" si="85"/>
        <v>RURAL</v>
      </c>
      <c r="BJ143" s="188" t="str">
        <f t="shared" si="86"/>
        <v>Interregional Connectors</v>
      </c>
      <c r="BK143" s="188">
        <f t="shared" si="87"/>
        <v>0</v>
      </c>
      <c r="BL143" s="188">
        <f t="shared" si="88"/>
        <v>-0.40920000000000001</v>
      </c>
      <c r="BM143" s="188">
        <f t="shared" si="89"/>
        <v>0</v>
      </c>
      <c r="BN143" s="188">
        <f t="shared" si="90"/>
        <v>0</v>
      </c>
      <c r="BO143" s="188">
        <f t="shared" si="91"/>
        <v>0</v>
      </c>
      <c r="BP143" s="188">
        <f t="shared" si="92"/>
        <v>0</v>
      </c>
      <c r="BQ143" s="253" t="str">
        <f>INDEX(pMenus!$D$10:$D$23,MATCH(BJ143,pMenus!$B$10:$B$23,0))</f>
        <v>Interregional Connectors</v>
      </c>
      <c r="BR143" s="226">
        <f t="shared" si="98"/>
        <v>0</v>
      </c>
      <c r="BS143" s="238">
        <f t="shared" si="99"/>
        <v>0</v>
      </c>
    </row>
    <row r="144" spans="1:71">
      <c r="A144" s="202"/>
      <c r="B144" s="210" t="str">
        <f t="shared" ref="B144:B175" si="100">CONCATENATE(BQ144,$E$14, BE144,$E$14, BF144)</f>
        <v>Rural Connectors Local LTA Roads Taranaki Region</v>
      </c>
      <c r="C144" s="193">
        <f t="shared" si="94"/>
        <v>102.76</v>
      </c>
      <c r="D144" s="193">
        <f t="shared" si="95"/>
        <v>8.39</v>
      </c>
      <c r="E144" s="194">
        <f t="shared" si="93"/>
        <v>223.68919199944546</v>
      </c>
      <c r="F144" s="202"/>
      <c r="AA144" s="185" t="s">
        <v>412</v>
      </c>
      <c r="AB144" s="185" t="s">
        <v>430</v>
      </c>
      <c r="AC144" s="185" t="s">
        <v>401</v>
      </c>
      <c r="AD144" s="185" t="s">
        <v>331</v>
      </c>
      <c r="AE144" s="185" t="s">
        <v>403</v>
      </c>
      <c r="AF144" s="185" t="s">
        <v>405</v>
      </c>
      <c r="AG144" s="185">
        <v>62.87</v>
      </c>
      <c r="AH144" s="185">
        <v>1.4500000000000001E-2</v>
      </c>
      <c r="AI144" s="185">
        <v>62.29</v>
      </c>
      <c r="AJ144" s="185">
        <v>0.57999999999999996</v>
      </c>
      <c r="AK144" s="185">
        <v>120.03</v>
      </c>
      <c r="AL144" s="185">
        <v>30.05</v>
      </c>
      <c r="AM144" s="186">
        <v>219</v>
      </c>
      <c r="AN144" s="186" t="str">
        <f t="shared" ref="AN144:AN207" si="101">AB144&amp;AF144</f>
        <v>Taranaki RegionPeri-urban Roads</v>
      </c>
      <c r="AO144" s="186">
        <f t="shared" ref="AO144:AO175" si="102">IFERROR(MATCH($AN144,$AN$198:$AN$313,0),999)</f>
        <v>77</v>
      </c>
      <c r="AP144" s="187" t="s">
        <v>1105</v>
      </c>
      <c r="AQ144" s="187" t="str">
        <f t="shared" ref="AQ144:AQ175" si="103">AB144</f>
        <v>Taranaki Region</v>
      </c>
      <c r="AR144" s="187" t="str">
        <f t="shared" ref="AR144:AR175" si="104">AC144</f>
        <v>Combined</v>
      </c>
      <c r="AS144" s="187" t="str">
        <f t="shared" ref="AS144:AS175" si="105">AD144</f>
        <v>2019/20</v>
      </c>
      <c r="AT144" s="187" t="str">
        <f t="shared" ref="AT144:AT175" si="106">AE144</f>
        <v>RURAL</v>
      </c>
      <c r="AU144" s="187" t="str">
        <f t="shared" ref="AU144:AU175" si="107">AF144</f>
        <v>Peri-urban Roads</v>
      </c>
      <c r="AV144" s="187" cm="1">
        <f t="array" ref="AV144">IF($AO144=999,0,INDEX(AG$198:AG$313,$AO144))</f>
        <v>8.56</v>
      </c>
      <c r="AW144" s="187" cm="1">
        <f t="array" ref="AW144">IF($AO144=999,0,INDEX(AH$198:AH$313,$AO144))</f>
        <v>2.1399999999999999E-2</v>
      </c>
      <c r="AX144" s="187" cm="1">
        <f t="array" ref="AX144">IF($AO144=999,0,INDEX(AI$198:AI$313,$AO144))</f>
        <v>8.56</v>
      </c>
      <c r="AY144" s="187" cm="1">
        <f t="array" ref="AY144">IF($AO144=999,0,INDEX(AJ$198:AJ$313,$AO144))</f>
        <v>0</v>
      </c>
      <c r="AZ144" s="187" cm="1">
        <f t="array" ref="AZ144">IF($AO144=999,0,INDEX(AK$198:AK$313,$AO144))</f>
        <v>17.27</v>
      </c>
      <c r="BA144" s="187" cm="1">
        <f t="array" ref="BA144">IF($AO144=999,0,INDEX(AL$198:AL$313,$AO144))</f>
        <v>21.66</v>
      </c>
      <c r="BB144" s="252" t="str">
        <f>INDEX(pMenus!$C$10:$C$23,MATCH(AU144,pMenus!$B$10:$B$23,0))</f>
        <v>Interregional Connectors</v>
      </c>
      <c r="BC144" s="221">
        <f t="shared" si="96"/>
        <v>3436.1589897756025</v>
      </c>
      <c r="BD144" s="237">
        <f t="shared" si="97"/>
        <v>6932.5310459608236</v>
      </c>
      <c r="BE144" s="188" t="s">
        <v>591</v>
      </c>
      <c r="BF144" s="188" t="str">
        <f t="shared" ref="BF144:BF175" si="108">AB144</f>
        <v>Taranaki Region</v>
      </c>
      <c r="BG144" s="188" t="str">
        <f t="shared" ref="BG144:BG175" si="109">AC144</f>
        <v>Combined</v>
      </c>
      <c r="BH144" s="188" t="str">
        <f t="shared" ref="BH144:BH175" si="110">AD144</f>
        <v>2019/20</v>
      </c>
      <c r="BI144" s="188" t="str">
        <f t="shared" ref="BI144:BI175" si="111">AE144</f>
        <v>RURAL</v>
      </c>
      <c r="BJ144" s="188" t="str">
        <f t="shared" ref="BJ144:BJ175" si="112">AF144</f>
        <v>Peri-urban Roads</v>
      </c>
      <c r="BK144" s="188">
        <f t="shared" ref="BK144:BK175" si="113">AG144-AV144</f>
        <v>54.309999999999995</v>
      </c>
      <c r="BL144" s="188">
        <f t="shared" ref="BL144:BL175" si="114">AH144-AW144</f>
        <v>-6.8999999999999981E-3</v>
      </c>
      <c r="BM144" s="188">
        <f t="shared" ref="BM144:BM175" si="115">AI144-AX144</f>
        <v>53.73</v>
      </c>
      <c r="BN144" s="188">
        <f t="shared" ref="BN144:BN175" si="116">AJ144-AY144</f>
        <v>0.57999999999999996</v>
      </c>
      <c r="BO144" s="188">
        <f t="shared" ref="BO144:BO175" si="117">AK144-AZ144</f>
        <v>102.76</v>
      </c>
      <c r="BP144" s="188">
        <f t="shared" ref="BP144:BP175" si="118">AL144-BA144</f>
        <v>8.39</v>
      </c>
      <c r="BQ144" s="253" t="str">
        <f>INDEX(pMenus!$D$10:$D$23,MATCH(BJ144,pMenus!$B$10:$B$23,0))</f>
        <v>Rural Connectors</v>
      </c>
      <c r="BR144" s="226">
        <f t="shared" si="98"/>
        <v>223.68919199944546</v>
      </c>
      <c r="BS144" s="238">
        <f t="shared" si="99"/>
        <v>423.24252200079206</v>
      </c>
    </row>
    <row r="145" spans="1:71">
      <c r="A145" s="202"/>
      <c r="B145" s="210" t="str">
        <f t="shared" si="100"/>
        <v>Rural Connectors Local LTA Roads Taranaki Region</v>
      </c>
      <c r="C145" s="193">
        <f t="shared" si="94"/>
        <v>1729.3100000000002</v>
      </c>
      <c r="D145" s="193">
        <f t="shared" si="95"/>
        <v>151.82999999999998</v>
      </c>
      <c r="E145" s="194">
        <f t="shared" si="93"/>
        <v>240.54253010722539</v>
      </c>
      <c r="F145" s="202"/>
      <c r="AA145" s="185" t="s">
        <v>412</v>
      </c>
      <c r="AB145" s="185" t="s">
        <v>430</v>
      </c>
      <c r="AC145" s="185" t="s">
        <v>401</v>
      </c>
      <c r="AD145" s="185" t="s">
        <v>331</v>
      </c>
      <c r="AE145" s="185" t="s">
        <v>403</v>
      </c>
      <c r="AF145" s="185" t="s">
        <v>406</v>
      </c>
      <c r="AG145" s="185">
        <v>1048.3499999999999</v>
      </c>
      <c r="AH145" s="185">
        <v>0.24129999999999999</v>
      </c>
      <c r="AI145" s="185">
        <v>1025.9000000000001</v>
      </c>
      <c r="AJ145" s="185">
        <v>22.45</v>
      </c>
      <c r="AK145" s="185">
        <v>2052.0500000000002</v>
      </c>
      <c r="AL145" s="185">
        <v>279</v>
      </c>
      <c r="AM145" s="186">
        <v>220</v>
      </c>
      <c r="AN145" s="186" t="str">
        <f t="shared" si="101"/>
        <v>Taranaki RegionRural Connectors</v>
      </c>
      <c r="AO145" s="186">
        <f t="shared" si="102"/>
        <v>78</v>
      </c>
      <c r="AP145" s="187" t="s">
        <v>1105</v>
      </c>
      <c r="AQ145" s="187" t="str">
        <f t="shared" si="103"/>
        <v>Taranaki Region</v>
      </c>
      <c r="AR145" s="187" t="str">
        <f t="shared" si="104"/>
        <v>Combined</v>
      </c>
      <c r="AS145" s="187" t="str">
        <f t="shared" si="105"/>
        <v>2019/20</v>
      </c>
      <c r="AT145" s="187" t="str">
        <f t="shared" si="106"/>
        <v>RURAL</v>
      </c>
      <c r="AU145" s="187" t="str">
        <f t="shared" si="107"/>
        <v>Rural Connectors</v>
      </c>
      <c r="AV145" s="187" cm="1">
        <f t="array" ref="AV145">IF($AO145=999,0,INDEX(AG$198:AG$313,$AO145))</f>
        <v>159.61000000000001</v>
      </c>
      <c r="AW145" s="187" cm="1">
        <f t="array" ref="AW145">IF($AO145=999,0,INDEX(AH$198:AH$313,$AO145))</f>
        <v>0.39950000000000002</v>
      </c>
      <c r="AX145" s="187" cm="1">
        <f t="array" ref="AX145">IF($AO145=999,0,INDEX(AI$198:AI$313,$AO145))</f>
        <v>159.61000000000001</v>
      </c>
      <c r="AY145" s="187" cm="1">
        <f t="array" ref="AY145">IF($AO145=999,0,INDEX(AJ$198:AJ$313,$AO145))</f>
        <v>0</v>
      </c>
      <c r="AZ145" s="187" cm="1">
        <f t="array" ref="AZ145">IF($AO145=999,0,INDEX(AK$198:AK$313,$AO145))</f>
        <v>322.74</v>
      </c>
      <c r="BA145" s="187" cm="1">
        <f t="array" ref="BA145">IF($AO145=999,0,INDEX(AL$198:AL$313,$AO145))</f>
        <v>127.17</v>
      </c>
      <c r="BB145" s="252" t="str">
        <f>INDEX(pMenus!$C$10:$C$23,MATCH(AU145,pMenus!$B$10:$B$23,0))</f>
        <v>Rural Connectors</v>
      </c>
      <c r="BC145" s="221">
        <f t="shared" si="96"/>
        <v>1079.5406795070633</v>
      </c>
      <c r="BD145" s="237">
        <f t="shared" si="97"/>
        <v>2182.8892857847854</v>
      </c>
      <c r="BE145" s="188" t="s">
        <v>591</v>
      </c>
      <c r="BF145" s="188" t="str">
        <f t="shared" si="108"/>
        <v>Taranaki Region</v>
      </c>
      <c r="BG145" s="188" t="str">
        <f t="shared" si="109"/>
        <v>Combined</v>
      </c>
      <c r="BH145" s="188" t="str">
        <f t="shared" si="110"/>
        <v>2019/20</v>
      </c>
      <c r="BI145" s="188" t="str">
        <f t="shared" si="111"/>
        <v>RURAL</v>
      </c>
      <c r="BJ145" s="188" t="str">
        <f t="shared" si="112"/>
        <v>Rural Connectors</v>
      </c>
      <c r="BK145" s="188">
        <f t="shared" si="113"/>
        <v>888.7399999999999</v>
      </c>
      <c r="BL145" s="188">
        <f t="shared" si="114"/>
        <v>-0.15820000000000004</v>
      </c>
      <c r="BM145" s="188">
        <f t="shared" si="115"/>
        <v>866.29000000000008</v>
      </c>
      <c r="BN145" s="188">
        <f t="shared" si="116"/>
        <v>22.45</v>
      </c>
      <c r="BO145" s="188">
        <f t="shared" si="117"/>
        <v>1729.3100000000002</v>
      </c>
      <c r="BP145" s="188">
        <f t="shared" si="118"/>
        <v>151.82999999999998</v>
      </c>
      <c r="BQ145" s="253" t="str">
        <f>INDEX(pMenus!$D$10:$D$23,MATCH(BJ145,pMenus!$B$10:$B$23,0))</f>
        <v>Rural Connectors</v>
      </c>
      <c r="BR145" s="226">
        <f t="shared" si="98"/>
        <v>240.54253010722539</v>
      </c>
      <c r="BS145" s="238">
        <f t="shared" si="99"/>
        <v>468.04757605118039</v>
      </c>
    </row>
    <row r="146" spans="1:71">
      <c r="A146" s="202"/>
      <c r="B146" s="210" t="str">
        <f t="shared" si="100"/>
        <v>Rural Connectors Local LTA Roads Taranaki Region</v>
      </c>
      <c r="C146" s="193">
        <f t="shared" si="94"/>
        <v>4235.13</v>
      </c>
      <c r="D146" s="193">
        <f t="shared" si="95"/>
        <v>61.43</v>
      </c>
      <c r="E146" s="194">
        <f t="shared" si="93"/>
        <v>39.739363340207667</v>
      </c>
      <c r="F146" s="202"/>
      <c r="AA146" s="185" t="s">
        <v>412</v>
      </c>
      <c r="AB146" s="185" t="s">
        <v>430</v>
      </c>
      <c r="AC146" s="185" t="s">
        <v>401</v>
      </c>
      <c r="AD146" s="185" t="s">
        <v>331</v>
      </c>
      <c r="AE146" s="185" t="s">
        <v>403</v>
      </c>
      <c r="AF146" s="185" t="s">
        <v>414</v>
      </c>
      <c r="AG146" s="185">
        <v>2411.77</v>
      </c>
      <c r="AH146" s="185">
        <v>0.55520000000000003</v>
      </c>
      <c r="AI146" s="185">
        <v>1789.64</v>
      </c>
      <c r="AJ146" s="185">
        <v>622.13</v>
      </c>
      <c r="AK146" s="185">
        <v>4235.13</v>
      </c>
      <c r="AL146" s="185">
        <v>61.43</v>
      </c>
      <c r="AM146" s="186">
        <v>221</v>
      </c>
      <c r="AN146" s="186" t="str">
        <f t="shared" si="101"/>
        <v>Taranaki RegionRural Roads</v>
      </c>
      <c r="AO146" s="186">
        <f t="shared" si="102"/>
        <v>999</v>
      </c>
      <c r="AP146" s="187" t="s">
        <v>1105</v>
      </c>
      <c r="AQ146" s="187" t="str">
        <f t="shared" si="103"/>
        <v>Taranaki Region</v>
      </c>
      <c r="AR146" s="187" t="str">
        <f t="shared" si="104"/>
        <v>Combined</v>
      </c>
      <c r="AS146" s="187" t="str">
        <f t="shared" si="105"/>
        <v>2019/20</v>
      </c>
      <c r="AT146" s="187" t="str">
        <f t="shared" si="106"/>
        <v>RURAL</v>
      </c>
      <c r="AU146" s="187" t="str">
        <f t="shared" si="107"/>
        <v>Rural Roads</v>
      </c>
      <c r="AV146" s="187" cm="1">
        <f t="array" ref="AV146">IF($AO146=999,0,INDEX(AG$198:AG$313,$AO146))</f>
        <v>0</v>
      </c>
      <c r="AW146" s="187" cm="1">
        <f t="array" ref="AW146">IF($AO146=999,0,INDEX(AH$198:AH$313,$AO146))</f>
        <v>0</v>
      </c>
      <c r="AX146" s="187" cm="1">
        <f t="array" ref="AX146">IF($AO146=999,0,INDEX(AI$198:AI$313,$AO146))</f>
        <v>0</v>
      </c>
      <c r="AY146" s="187" cm="1">
        <f t="array" ref="AY146">IF($AO146=999,0,INDEX(AJ$198:AJ$313,$AO146))</f>
        <v>0</v>
      </c>
      <c r="AZ146" s="187" cm="1">
        <f t="array" ref="AZ146">IF($AO146=999,0,INDEX(AK$198:AK$313,$AO146))</f>
        <v>0</v>
      </c>
      <c r="BA146" s="187" cm="1">
        <f t="array" ref="BA146">IF($AO146=999,0,INDEX(AL$198:AL$313,$AO146))</f>
        <v>0</v>
      </c>
      <c r="BB146" s="252" t="str">
        <f>INDEX(pMenus!$C$10:$C$23,MATCH(AU146,pMenus!$B$10:$B$23,0))</f>
        <v>NA</v>
      </c>
      <c r="BC146" s="221">
        <f t="shared" si="96"/>
        <v>0</v>
      </c>
      <c r="BD146" s="237">
        <f t="shared" si="97"/>
        <v>0</v>
      </c>
      <c r="BE146" s="188" t="s">
        <v>591</v>
      </c>
      <c r="BF146" s="188" t="str">
        <f t="shared" si="108"/>
        <v>Taranaki Region</v>
      </c>
      <c r="BG146" s="188" t="str">
        <f t="shared" si="109"/>
        <v>Combined</v>
      </c>
      <c r="BH146" s="188" t="str">
        <f t="shared" si="110"/>
        <v>2019/20</v>
      </c>
      <c r="BI146" s="188" t="str">
        <f t="shared" si="111"/>
        <v>RURAL</v>
      </c>
      <c r="BJ146" s="188" t="str">
        <f t="shared" si="112"/>
        <v>Rural Roads</v>
      </c>
      <c r="BK146" s="188">
        <f t="shared" si="113"/>
        <v>2411.77</v>
      </c>
      <c r="BL146" s="188">
        <f t="shared" si="114"/>
        <v>0.55520000000000003</v>
      </c>
      <c r="BM146" s="188">
        <f t="shared" si="115"/>
        <v>1789.64</v>
      </c>
      <c r="BN146" s="188">
        <f t="shared" si="116"/>
        <v>622.13</v>
      </c>
      <c r="BO146" s="188">
        <f t="shared" si="117"/>
        <v>4235.13</v>
      </c>
      <c r="BP146" s="188">
        <f t="shared" si="118"/>
        <v>61.43</v>
      </c>
      <c r="BQ146" s="253" t="str">
        <f>INDEX(pMenus!$D$10:$D$23,MATCH(BJ146,pMenus!$B$10:$B$23,0))</f>
        <v>Rural Connectors</v>
      </c>
      <c r="BR146" s="226">
        <f t="shared" si="98"/>
        <v>39.739363340207667</v>
      </c>
      <c r="BS146" s="238">
        <f t="shared" si="99"/>
        <v>69.78334163830452</v>
      </c>
    </row>
    <row r="147" spans="1:71">
      <c r="A147" s="202"/>
      <c r="B147" s="210" t="str">
        <f t="shared" si="100"/>
        <v>Rural Connectors Local LTA Roads Taranaki Region</v>
      </c>
      <c r="C147" s="193">
        <f t="shared" si="94"/>
        <v>4.03</v>
      </c>
      <c r="D147" s="193">
        <f t="shared" si="95"/>
        <v>0.06</v>
      </c>
      <c r="E147" s="194">
        <f t="shared" si="93"/>
        <v>40.789965668445561</v>
      </c>
      <c r="F147" s="202"/>
      <c r="AA147" s="185" t="s">
        <v>412</v>
      </c>
      <c r="AB147" s="185" t="s">
        <v>430</v>
      </c>
      <c r="AC147" s="185" t="s">
        <v>401</v>
      </c>
      <c r="AD147" s="185" t="s">
        <v>331</v>
      </c>
      <c r="AE147" s="185" t="s">
        <v>403</v>
      </c>
      <c r="AF147" s="185" t="s">
        <v>415</v>
      </c>
      <c r="AG147" s="185">
        <v>2.0099999999999998</v>
      </c>
      <c r="AH147" s="185">
        <v>5.0000000000000001E-4</v>
      </c>
      <c r="AI147" s="185">
        <v>1.76</v>
      </c>
      <c r="AJ147" s="185">
        <v>0.26</v>
      </c>
      <c r="AK147" s="185">
        <v>4.03</v>
      </c>
      <c r="AL147" s="185">
        <v>0.06</v>
      </c>
      <c r="AM147" s="186">
        <v>222</v>
      </c>
      <c r="AN147" s="186" t="str">
        <f t="shared" si="101"/>
        <v>Taranaki RegionStopping Places</v>
      </c>
      <c r="AO147" s="186">
        <f t="shared" si="102"/>
        <v>999</v>
      </c>
      <c r="AP147" s="187" t="s">
        <v>1105</v>
      </c>
      <c r="AQ147" s="187" t="str">
        <f t="shared" si="103"/>
        <v>Taranaki Region</v>
      </c>
      <c r="AR147" s="187" t="str">
        <f t="shared" si="104"/>
        <v>Combined</v>
      </c>
      <c r="AS147" s="187" t="str">
        <f t="shared" si="105"/>
        <v>2019/20</v>
      </c>
      <c r="AT147" s="187" t="str">
        <f t="shared" si="106"/>
        <v>RURAL</v>
      </c>
      <c r="AU147" s="187" t="str">
        <f t="shared" si="107"/>
        <v>Stopping Places</v>
      </c>
      <c r="AV147" s="187" cm="1">
        <f t="array" ref="AV147">IF($AO147=999,0,INDEX(AG$198:AG$313,$AO147))</f>
        <v>0</v>
      </c>
      <c r="AW147" s="187" cm="1">
        <f t="array" ref="AW147">IF($AO147=999,0,INDEX(AH$198:AH$313,$AO147))</f>
        <v>0</v>
      </c>
      <c r="AX147" s="187" cm="1">
        <f t="array" ref="AX147">IF($AO147=999,0,INDEX(AI$198:AI$313,$AO147))</f>
        <v>0</v>
      </c>
      <c r="AY147" s="187" cm="1">
        <f t="array" ref="AY147">IF($AO147=999,0,INDEX(AJ$198:AJ$313,$AO147))</f>
        <v>0</v>
      </c>
      <c r="AZ147" s="187" cm="1">
        <f t="array" ref="AZ147">IF($AO147=999,0,INDEX(AK$198:AK$313,$AO147))</f>
        <v>0</v>
      </c>
      <c r="BA147" s="187" cm="1">
        <f t="array" ref="BA147">IF($AO147=999,0,INDEX(AL$198:AL$313,$AO147))</f>
        <v>0</v>
      </c>
      <c r="BB147" s="252" t="str">
        <f>INDEX(pMenus!$C$10:$C$23,MATCH(AU147,pMenus!$B$10:$B$23,0))</f>
        <v>Interregional Connectors</v>
      </c>
      <c r="BC147" s="221">
        <f t="shared" si="96"/>
        <v>0</v>
      </c>
      <c r="BD147" s="237">
        <f t="shared" si="97"/>
        <v>0</v>
      </c>
      <c r="BE147" s="188" t="s">
        <v>591</v>
      </c>
      <c r="BF147" s="188" t="str">
        <f t="shared" si="108"/>
        <v>Taranaki Region</v>
      </c>
      <c r="BG147" s="188" t="str">
        <f t="shared" si="109"/>
        <v>Combined</v>
      </c>
      <c r="BH147" s="188" t="str">
        <f t="shared" si="110"/>
        <v>2019/20</v>
      </c>
      <c r="BI147" s="188" t="str">
        <f t="shared" si="111"/>
        <v>RURAL</v>
      </c>
      <c r="BJ147" s="188" t="str">
        <f t="shared" si="112"/>
        <v>Stopping Places</v>
      </c>
      <c r="BK147" s="188">
        <f t="shared" si="113"/>
        <v>2.0099999999999998</v>
      </c>
      <c r="BL147" s="188">
        <f t="shared" si="114"/>
        <v>5.0000000000000001E-4</v>
      </c>
      <c r="BM147" s="188">
        <f t="shared" si="115"/>
        <v>1.76</v>
      </c>
      <c r="BN147" s="188">
        <f t="shared" si="116"/>
        <v>0.26</v>
      </c>
      <c r="BO147" s="188">
        <f t="shared" si="117"/>
        <v>4.03</v>
      </c>
      <c r="BP147" s="188">
        <f t="shared" si="118"/>
        <v>0.06</v>
      </c>
      <c r="BQ147" s="253" t="str">
        <f>INDEX(pMenus!$D$10:$D$23,MATCH(BJ147,pMenus!$B$10:$B$23,0))</f>
        <v>Rural Connectors</v>
      </c>
      <c r="BR147" s="226">
        <f t="shared" si="98"/>
        <v>40.789965668445561</v>
      </c>
      <c r="BS147" s="238">
        <f t="shared" si="99"/>
        <v>81.782866489470464</v>
      </c>
    </row>
    <row r="148" spans="1:71">
      <c r="A148" s="202"/>
      <c r="B148" s="210" t="str">
        <f t="shared" si="100"/>
        <v>Activity Streets Local LTA Roads Taranaki Region</v>
      </c>
      <c r="C148" s="193">
        <f t="shared" si="94"/>
        <v>64.089999999999989</v>
      </c>
      <c r="D148" s="193">
        <f t="shared" si="95"/>
        <v>35.559999999999995</v>
      </c>
      <c r="E148" s="194">
        <f t="shared" si="93"/>
        <v>1520.1226015641532</v>
      </c>
      <c r="F148" s="202"/>
      <c r="AA148" s="185" t="s">
        <v>412</v>
      </c>
      <c r="AB148" s="185" t="s">
        <v>430</v>
      </c>
      <c r="AC148" s="185" t="s">
        <v>401</v>
      </c>
      <c r="AD148" s="185" t="s">
        <v>331</v>
      </c>
      <c r="AE148" s="185" t="s">
        <v>407</v>
      </c>
      <c r="AF148" s="185" t="s">
        <v>408</v>
      </c>
      <c r="AG148" s="185">
        <v>44.65</v>
      </c>
      <c r="AH148" s="185">
        <v>1.03E-2</v>
      </c>
      <c r="AI148" s="185">
        <v>44.65</v>
      </c>
      <c r="AJ148" s="185">
        <v>0</v>
      </c>
      <c r="AK148" s="185">
        <v>89.96</v>
      </c>
      <c r="AL148" s="185">
        <v>89.46</v>
      </c>
      <c r="AM148" s="186">
        <v>223</v>
      </c>
      <c r="AN148" s="186" t="str">
        <f t="shared" si="101"/>
        <v>Taranaki RegionActivity Streets</v>
      </c>
      <c r="AO148" s="186">
        <f t="shared" si="102"/>
        <v>79</v>
      </c>
      <c r="AP148" s="187" t="s">
        <v>1105</v>
      </c>
      <c r="AQ148" s="187" t="str">
        <f t="shared" si="103"/>
        <v>Taranaki Region</v>
      </c>
      <c r="AR148" s="187" t="str">
        <f t="shared" si="104"/>
        <v>Combined</v>
      </c>
      <c r="AS148" s="187" t="str">
        <f t="shared" si="105"/>
        <v>2019/20</v>
      </c>
      <c r="AT148" s="187" t="str">
        <f t="shared" si="106"/>
        <v>URBAN</v>
      </c>
      <c r="AU148" s="187" t="str">
        <f t="shared" si="107"/>
        <v>Activity Streets</v>
      </c>
      <c r="AV148" s="187" cm="1">
        <f t="array" ref="AV148">IF($AO148=999,0,INDEX(AG$198:AG$313,$AO148))</f>
        <v>12.42</v>
      </c>
      <c r="AW148" s="187" cm="1">
        <f t="array" ref="AW148">IF($AO148=999,0,INDEX(AH$198:AH$313,$AO148))</f>
        <v>3.1099999999999999E-2</v>
      </c>
      <c r="AX148" s="187" cm="1">
        <f t="array" ref="AX148">IF($AO148=999,0,INDEX(AI$198:AI$313,$AO148))</f>
        <v>12.42</v>
      </c>
      <c r="AY148" s="187" cm="1">
        <f t="array" ref="AY148">IF($AO148=999,0,INDEX(AJ$198:AJ$313,$AO148))</f>
        <v>0</v>
      </c>
      <c r="AZ148" s="187" cm="1">
        <f t="array" ref="AZ148">IF($AO148=999,0,INDEX(AK$198:AK$313,$AO148))</f>
        <v>25.87</v>
      </c>
      <c r="BA148" s="187" cm="1">
        <f t="array" ref="BA148">IF($AO148=999,0,INDEX(AL$198:AL$313,$AO148))</f>
        <v>53.9</v>
      </c>
      <c r="BB148" s="252" t="str">
        <f>INDEX(pMenus!$C$10:$C$23,MATCH(AU148,pMenus!$B$10:$B$23,0))</f>
        <v>Urban Connectors</v>
      </c>
      <c r="BC148" s="221">
        <f t="shared" si="96"/>
        <v>5708.2038220607774</v>
      </c>
      <c r="BD148" s="237">
        <f t="shared" si="97"/>
        <v>11889.793307303729</v>
      </c>
      <c r="BE148" s="188" t="s">
        <v>591</v>
      </c>
      <c r="BF148" s="188" t="str">
        <f t="shared" si="108"/>
        <v>Taranaki Region</v>
      </c>
      <c r="BG148" s="188" t="str">
        <f t="shared" si="109"/>
        <v>Combined</v>
      </c>
      <c r="BH148" s="188" t="str">
        <f t="shared" si="110"/>
        <v>2019/20</v>
      </c>
      <c r="BI148" s="188" t="str">
        <f t="shared" si="111"/>
        <v>URBAN</v>
      </c>
      <c r="BJ148" s="188" t="str">
        <f t="shared" si="112"/>
        <v>Activity Streets</v>
      </c>
      <c r="BK148" s="188">
        <f t="shared" si="113"/>
        <v>32.229999999999997</v>
      </c>
      <c r="BL148" s="188">
        <f t="shared" si="114"/>
        <v>-2.0799999999999999E-2</v>
      </c>
      <c r="BM148" s="188">
        <f t="shared" si="115"/>
        <v>32.229999999999997</v>
      </c>
      <c r="BN148" s="188">
        <f t="shared" si="116"/>
        <v>0</v>
      </c>
      <c r="BO148" s="188">
        <f t="shared" si="117"/>
        <v>64.089999999999989</v>
      </c>
      <c r="BP148" s="188">
        <f t="shared" si="118"/>
        <v>35.559999999999995</v>
      </c>
      <c r="BQ148" s="253" t="str">
        <f>INDEX(pMenus!$D$10:$D$23,MATCH(BJ148,pMenus!$B$10:$B$23,0))</f>
        <v>Activity Streets</v>
      </c>
      <c r="BR148" s="226">
        <f t="shared" si="98"/>
        <v>1520.1226015641532</v>
      </c>
      <c r="BS148" s="238">
        <f t="shared" si="99"/>
        <v>3022.7942145282836</v>
      </c>
    </row>
    <row r="149" spans="1:71">
      <c r="A149" s="202"/>
      <c r="B149" s="210" t="str">
        <f t="shared" si="100"/>
        <v>Rural Connectors Local LTA Roads Taranaki Region</v>
      </c>
      <c r="C149" s="193">
        <f t="shared" si="94"/>
        <v>22.72</v>
      </c>
      <c r="D149" s="193">
        <f t="shared" si="95"/>
        <v>0.08</v>
      </c>
      <c r="E149" s="194">
        <f t="shared" si="93"/>
        <v>9.6469226316804946</v>
      </c>
      <c r="F149" s="202"/>
      <c r="AA149" s="185" t="s">
        <v>412</v>
      </c>
      <c r="AB149" s="185" t="s">
        <v>430</v>
      </c>
      <c r="AC149" s="185" t="s">
        <v>401</v>
      </c>
      <c r="AD149" s="185" t="s">
        <v>331</v>
      </c>
      <c r="AE149" s="185" t="s">
        <v>407</v>
      </c>
      <c r="AF149" s="185" t="s">
        <v>417</v>
      </c>
      <c r="AG149" s="185">
        <v>11.38</v>
      </c>
      <c r="AH149" s="185">
        <v>2.5999999999999999E-3</v>
      </c>
      <c r="AI149" s="185">
        <v>11.38</v>
      </c>
      <c r="AJ149" s="185">
        <v>0</v>
      </c>
      <c r="AK149" s="185">
        <v>22.72</v>
      </c>
      <c r="AL149" s="185">
        <v>0.08</v>
      </c>
      <c r="AM149" s="186">
        <v>224</v>
      </c>
      <c r="AN149" s="186" t="str">
        <f t="shared" si="101"/>
        <v>Taranaki RegionCivic Spaces</v>
      </c>
      <c r="AO149" s="186">
        <f t="shared" si="102"/>
        <v>999</v>
      </c>
      <c r="AP149" s="187" t="s">
        <v>1105</v>
      </c>
      <c r="AQ149" s="187" t="str">
        <f t="shared" si="103"/>
        <v>Taranaki Region</v>
      </c>
      <c r="AR149" s="187" t="str">
        <f t="shared" si="104"/>
        <v>Combined</v>
      </c>
      <c r="AS149" s="187" t="str">
        <f t="shared" si="105"/>
        <v>2019/20</v>
      </c>
      <c r="AT149" s="187" t="str">
        <f t="shared" si="106"/>
        <v>URBAN</v>
      </c>
      <c r="AU149" s="187" t="str">
        <f t="shared" si="107"/>
        <v>Civic Spaces</v>
      </c>
      <c r="AV149" s="187" cm="1">
        <f t="array" ref="AV149">IF($AO149=999,0,INDEX(AG$198:AG$313,$AO149))</f>
        <v>0</v>
      </c>
      <c r="AW149" s="187" cm="1">
        <f t="array" ref="AW149">IF($AO149=999,0,INDEX(AH$198:AH$313,$AO149))</f>
        <v>0</v>
      </c>
      <c r="AX149" s="187" cm="1">
        <f t="array" ref="AX149">IF($AO149=999,0,INDEX(AI$198:AI$313,$AO149))</f>
        <v>0</v>
      </c>
      <c r="AY149" s="187" cm="1">
        <f t="array" ref="AY149">IF($AO149=999,0,INDEX(AJ$198:AJ$313,$AO149))</f>
        <v>0</v>
      </c>
      <c r="AZ149" s="187" cm="1">
        <f t="array" ref="AZ149">IF($AO149=999,0,INDEX(AK$198:AK$313,$AO149))</f>
        <v>0</v>
      </c>
      <c r="BA149" s="187" cm="1">
        <f t="array" ref="BA149">IF($AO149=999,0,INDEX(AL$198:AL$313,$AO149))</f>
        <v>0</v>
      </c>
      <c r="BB149" s="252" t="str">
        <f>INDEX(pMenus!$C$10:$C$23,MATCH(AU149,pMenus!$B$10:$B$23,0))</f>
        <v>NA</v>
      </c>
      <c r="BC149" s="221">
        <f t="shared" si="96"/>
        <v>0</v>
      </c>
      <c r="BD149" s="237">
        <f t="shared" si="97"/>
        <v>0</v>
      </c>
      <c r="BE149" s="188" t="s">
        <v>591</v>
      </c>
      <c r="BF149" s="188" t="str">
        <f t="shared" si="108"/>
        <v>Taranaki Region</v>
      </c>
      <c r="BG149" s="188" t="str">
        <f t="shared" si="109"/>
        <v>Combined</v>
      </c>
      <c r="BH149" s="188" t="str">
        <f t="shared" si="110"/>
        <v>2019/20</v>
      </c>
      <c r="BI149" s="188" t="str">
        <f t="shared" si="111"/>
        <v>URBAN</v>
      </c>
      <c r="BJ149" s="188" t="str">
        <f t="shared" si="112"/>
        <v>Civic Spaces</v>
      </c>
      <c r="BK149" s="188">
        <f t="shared" si="113"/>
        <v>11.38</v>
      </c>
      <c r="BL149" s="188">
        <f t="shared" si="114"/>
        <v>2.5999999999999999E-3</v>
      </c>
      <c r="BM149" s="188">
        <f t="shared" si="115"/>
        <v>11.38</v>
      </c>
      <c r="BN149" s="188">
        <f t="shared" si="116"/>
        <v>0</v>
      </c>
      <c r="BO149" s="188">
        <f t="shared" si="117"/>
        <v>22.72</v>
      </c>
      <c r="BP149" s="188">
        <f t="shared" si="118"/>
        <v>0.08</v>
      </c>
      <c r="BQ149" s="253" t="str">
        <f>INDEX(pMenus!$D$10:$D$23,MATCH(BJ149,pMenus!$B$10:$B$23,0))</f>
        <v>Rural Connectors</v>
      </c>
      <c r="BR149" s="226">
        <f t="shared" si="98"/>
        <v>9.6469226316804946</v>
      </c>
      <c r="BS149" s="238">
        <f t="shared" si="99"/>
        <v>19.259936923706576</v>
      </c>
    </row>
    <row r="150" spans="1:71">
      <c r="A150" s="202"/>
      <c r="B150" s="210" t="str">
        <f t="shared" si="100"/>
        <v>Rural Connectors Local LTA Roads Taranaki Region</v>
      </c>
      <c r="C150" s="193">
        <f t="shared" si="94"/>
        <v>847.18</v>
      </c>
      <c r="D150" s="193">
        <f t="shared" si="95"/>
        <v>79.72</v>
      </c>
      <c r="E150" s="194">
        <f t="shared" si="93"/>
        <v>257.80938986296843</v>
      </c>
      <c r="F150" s="202"/>
      <c r="AA150" s="185" t="s">
        <v>412</v>
      </c>
      <c r="AB150" s="185" t="s">
        <v>430</v>
      </c>
      <c r="AC150" s="185" t="s">
        <v>401</v>
      </c>
      <c r="AD150" s="185" t="s">
        <v>331</v>
      </c>
      <c r="AE150" s="185" t="s">
        <v>407</v>
      </c>
      <c r="AF150" s="185" t="s">
        <v>418</v>
      </c>
      <c r="AG150" s="185">
        <v>428.88</v>
      </c>
      <c r="AH150" s="185">
        <v>9.8699999999999996E-2</v>
      </c>
      <c r="AI150" s="185">
        <v>425.56</v>
      </c>
      <c r="AJ150" s="185">
        <v>3.32</v>
      </c>
      <c r="AK150" s="185">
        <v>847.18</v>
      </c>
      <c r="AL150" s="185">
        <v>79.72</v>
      </c>
      <c r="AM150" s="186">
        <v>225</v>
      </c>
      <c r="AN150" s="186" t="str">
        <f t="shared" si="101"/>
        <v>Taranaki RegionLocal Streets</v>
      </c>
      <c r="AO150" s="186">
        <f t="shared" si="102"/>
        <v>999</v>
      </c>
      <c r="AP150" s="187" t="s">
        <v>1105</v>
      </c>
      <c r="AQ150" s="187" t="str">
        <f t="shared" si="103"/>
        <v>Taranaki Region</v>
      </c>
      <c r="AR150" s="187" t="str">
        <f t="shared" si="104"/>
        <v>Combined</v>
      </c>
      <c r="AS150" s="187" t="str">
        <f t="shared" si="105"/>
        <v>2019/20</v>
      </c>
      <c r="AT150" s="187" t="str">
        <f t="shared" si="106"/>
        <v>URBAN</v>
      </c>
      <c r="AU150" s="187" t="str">
        <f t="shared" si="107"/>
        <v>Local Streets</v>
      </c>
      <c r="AV150" s="187" cm="1">
        <f t="array" ref="AV150">IF($AO150=999,0,INDEX(AG$198:AG$313,$AO150))</f>
        <v>0</v>
      </c>
      <c r="AW150" s="187" cm="1">
        <f t="array" ref="AW150">IF($AO150=999,0,INDEX(AH$198:AH$313,$AO150))</f>
        <v>0</v>
      </c>
      <c r="AX150" s="187" cm="1">
        <f t="array" ref="AX150">IF($AO150=999,0,INDEX(AI$198:AI$313,$AO150))</f>
        <v>0</v>
      </c>
      <c r="AY150" s="187" cm="1">
        <f t="array" ref="AY150">IF($AO150=999,0,INDEX(AJ$198:AJ$313,$AO150))</f>
        <v>0</v>
      </c>
      <c r="AZ150" s="187" cm="1">
        <f t="array" ref="AZ150">IF($AO150=999,0,INDEX(AK$198:AK$313,$AO150))</f>
        <v>0</v>
      </c>
      <c r="BA150" s="187" cm="1">
        <f t="array" ref="BA150">IF($AO150=999,0,INDEX(AL$198:AL$313,$AO150))</f>
        <v>0</v>
      </c>
      <c r="BB150" s="252" t="str">
        <f>INDEX(pMenus!$C$10:$C$23,MATCH(AU150,pMenus!$B$10:$B$23,0))</f>
        <v>NA</v>
      </c>
      <c r="BC150" s="221">
        <f t="shared" si="96"/>
        <v>0</v>
      </c>
      <c r="BD150" s="237">
        <f t="shared" si="97"/>
        <v>0</v>
      </c>
      <c r="BE150" s="188" t="s">
        <v>591</v>
      </c>
      <c r="BF150" s="188" t="str">
        <f t="shared" si="108"/>
        <v>Taranaki Region</v>
      </c>
      <c r="BG150" s="188" t="str">
        <f t="shared" si="109"/>
        <v>Combined</v>
      </c>
      <c r="BH150" s="188" t="str">
        <f t="shared" si="110"/>
        <v>2019/20</v>
      </c>
      <c r="BI150" s="188" t="str">
        <f t="shared" si="111"/>
        <v>URBAN</v>
      </c>
      <c r="BJ150" s="188" t="str">
        <f t="shared" si="112"/>
        <v>Local Streets</v>
      </c>
      <c r="BK150" s="188">
        <f t="shared" si="113"/>
        <v>428.88</v>
      </c>
      <c r="BL150" s="188">
        <f t="shared" si="114"/>
        <v>9.8699999999999996E-2</v>
      </c>
      <c r="BM150" s="188">
        <f t="shared" si="115"/>
        <v>425.56</v>
      </c>
      <c r="BN150" s="188">
        <f t="shared" si="116"/>
        <v>3.32</v>
      </c>
      <c r="BO150" s="188">
        <f t="shared" si="117"/>
        <v>847.18</v>
      </c>
      <c r="BP150" s="188">
        <f t="shared" si="118"/>
        <v>79.72</v>
      </c>
      <c r="BQ150" s="253" t="str">
        <f>INDEX(pMenus!$D$10:$D$23,MATCH(BJ150,pMenus!$B$10:$B$23,0))</f>
        <v>Rural Connectors</v>
      </c>
      <c r="BR150" s="226">
        <f t="shared" si="98"/>
        <v>257.80938986296843</v>
      </c>
      <c r="BS150" s="238">
        <f t="shared" si="99"/>
        <v>509.25890436511276</v>
      </c>
    </row>
    <row r="151" spans="1:71">
      <c r="A151" s="202"/>
      <c r="B151" s="210" t="str">
        <f t="shared" si="100"/>
        <v>Urban Connectors Local LTA Roads Taranaki Region</v>
      </c>
      <c r="C151" s="193">
        <f t="shared" si="94"/>
        <v>2.4900000000000002</v>
      </c>
      <c r="D151" s="193">
        <f t="shared" si="95"/>
        <v>2.8600000000000003</v>
      </c>
      <c r="E151" s="194">
        <f t="shared" si="93"/>
        <v>3146.8339109864119</v>
      </c>
      <c r="F151" s="202"/>
      <c r="AA151" s="185" t="s">
        <v>412</v>
      </c>
      <c r="AB151" s="185" t="s">
        <v>430</v>
      </c>
      <c r="AC151" s="185" t="s">
        <v>401</v>
      </c>
      <c r="AD151" s="185" t="s">
        <v>331</v>
      </c>
      <c r="AE151" s="185" t="s">
        <v>407</v>
      </c>
      <c r="AF151" s="185" t="s">
        <v>409</v>
      </c>
      <c r="AG151" s="185">
        <v>2.2400000000000002</v>
      </c>
      <c r="AH151" s="185">
        <v>5.0000000000000001E-4</v>
      </c>
      <c r="AI151" s="185">
        <v>2.2400000000000002</v>
      </c>
      <c r="AJ151" s="185">
        <v>0</v>
      </c>
      <c r="AK151" s="185">
        <v>4.49</v>
      </c>
      <c r="AL151" s="185">
        <v>6.78</v>
      </c>
      <c r="AM151" s="186">
        <v>226</v>
      </c>
      <c r="AN151" s="186" t="str">
        <f t="shared" si="101"/>
        <v>Taranaki RegionMain Streets</v>
      </c>
      <c r="AO151" s="186">
        <f t="shared" si="102"/>
        <v>80</v>
      </c>
      <c r="AP151" s="187" t="s">
        <v>1105</v>
      </c>
      <c r="AQ151" s="187" t="str">
        <f t="shared" si="103"/>
        <v>Taranaki Region</v>
      </c>
      <c r="AR151" s="187" t="str">
        <f t="shared" si="104"/>
        <v>Combined</v>
      </c>
      <c r="AS151" s="187" t="str">
        <f t="shared" si="105"/>
        <v>2019/20</v>
      </c>
      <c r="AT151" s="187" t="str">
        <f t="shared" si="106"/>
        <v>URBAN</v>
      </c>
      <c r="AU151" s="187" t="str">
        <f t="shared" si="107"/>
        <v>Main Streets</v>
      </c>
      <c r="AV151" s="187" cm="1">
        <f t="array" ref="AV151">IF($AO151=999,0,INDEX(AG$198:AG$313,$AO151))</f>
        <v>1</v>
      </c>
      <c r="AW151" s="187" cm="1">
        <f t="array" ref="AW151">IF($AO151=999,0,INDEX(AH$198:AH$313,$AO151))</f>
        <v>2.5000000000000001E-3</v>
      </c>
      <c r="AX151" s="187" cm="1">
        <f t="array" ref="AX151">IF($AO151=999,0,INDEX(AI$198:AI$313,$AO151))</f>
        <v>1</v>
      </c>
      <c r="AY151" s="187" cm="1">
        <f t="array" ref="AY151">IF($AO151=999,0,INDEX(AJ$198:AJ$313,$AO151))</f>
        <v>0</v>
      </c>
      <c r="AZ151" s="187" cm="1">
        <f t="array" ref="AZ151">IF($AO151=999,0,INDEX(AK$198:AK$313,$AO151))</f>
        <v>2</v>
      </c>
      <c r="BA151" s="187" cm="1">
        <f t="array" ref="BA151">IF($AO151=999,0,INDEX(AL$198:AL$313,$AO151))</f>
        <v>3.92</v>
      </c>
      <c r="BB151" s="252" t="str">
        <f>INDEX(pMenus!$C$10:$C$23,MATCH(AU151,pMenus!$B$10:$B$23,0))</f>
        <v>Urban Connectors</v>
      </c>
      <c r="BC151" s="221">
        <f t="shared" si="96"/>
        <v>5369.8630136986303</v>
      </c>
      <c r="BD151" s="237">
        <f t="shared" si="97"/>
        <v>10739.726027397261</v>
      </c>
      <c r="BE151" s="188" t="s">
        <v>591</v>
      </c>
      <c r="BF151" s="188" t="str">
        <f t="shared" si="108"/>
        <v>Taranaki Region</v>
      </c>
      <c r="BG151" s="188" t="str">
        <f t="shared" si="109"/>
        <v>Combined</v>
      </c>
      <c r="BH151" s="188" t="str">
        <f t="shared" si="110"/>
        <v>2019/20</v>
      </c>
      <c r="BI151" s="188" t="str">
        <f t="shared" si="111"/>
        <v>URBAN</v>
      </c>
      <c r="BJ151" s="188" t="str">
        <f t="shared" si="112"/>
        <v>Main Streets</v>
      </c>
      <c r="BK151" s="188">
        <f t="shared" si="113"/>
        <v>1.2400000000000002</v>
      </c>
      <c r="BL151" s="188">
        <f t="shared" si="114"/>
        <v>-2E-3</v>
      </c>
      <c r="BM151" s="188">
        <f t="shared" si="115"/>
        <v>1.2400000000000002</v>
      </c>
      <c r="BN151" s="188">
        <f t="shared" si="116"/>
        <v>0</v>
      </c>
      <c r="BO151" s="188">
        <f t="shared" si="117"/>
        <v>2.4900000000000002</v>
      </c>
      <c r="BP151" s="188">
        <f t="shared" si="118"/>
        <v>2.8600000000000003</v>
      </c>
      <c r="BQ151" s="253" t="str">
        <f>INDEX(pMenus!$D$10:$D$23,MATCH(BJ151,pMenus!$B$10:$B$23,0))</f>
        <v>Urban Connectors</v>
      </c>
      <c r="BR151" s="226">
        <f t="shared" si="98"/>
        <v>3146.8339109864119</v>
      </c>
      <c r="BS151" s="238">
        <f t="shared" si="99"/>
        <v>6319.0455148033579</v>
      </c>
    </row>
    <row r="152" spans="1:71">
      <c r="A152" s="202"/>
      <c r="B152" s="210" t="str">
        <f t="shared" si="100"/>
        <v>Urban Connectors Local LTA Roads Taranaki Region</v>
      </c>
      <c r="C152" s="193">
        <f t="shared" si="94"/>
        <v>0</v>
      </c>
      <c r="D152" s="193">
        <f t="shared" si="95"/>
        <v>0</v>
      </c>
      <c r="E152" s="194">
        <f t="shared" si="93"/>
        <v>0</v>
      </c>
      <c r="F152" s="202"/>
      <c r="AA152" s="185" t="s">
        <v>412</v>
      </c>
      <c r="AB152" s="185" t="s">
        <v>430</v>
      </c>
      <c r="AC152" s="185" t="s">
        <v>401</v>
      </c>
      <c r="AD152" s="185" t="s">
        <v>331</v>
      </c>
      <c r="AE152" s="185" t="s">
        <v>407</v>
      </c>
      <c r="AF152" s="185" t="s">
        <v>410</v>
      </c>
      <c r="AG152" s="185">
        <v>4.37</v>
      </c>
      <c r="AH152" s="185">
        <v>1E-3</v>
      </c>
      <c r="AI152" s="185">
        <v>4.37</v>
      </c>
      <c r="AJ152" s="185">
        <v>0</v>
      </c>
      <c r="AK152" s="185">
        <v>8.75</v>
      </c>
      <c r="AL152" s="185">
        <v>24.66</v>
      </c>
      <c r="AM152" s="186">
        <v>227</v>
      </c>
      <c r="AN152" s="186" t="str">
        <f t="shared" si="101"/>
        <v>Taranaki RegionTransit Corridors</v>
      </c>
      <c r="AO152" s="186">
        <f t="shared" si="102"/>
        <v>81</v>
      </c>
      <c r="AP152" s="187" t="s">
        <v>1105</v>
      </c>
      <c r="AQ152" s="187" t="str">
        <f t="shared" si="103"/>
        <v>Taranaki Region</v>
      </c>
      <c r="AR152" s="187" t="str">
        <f t="shared" si="104"/>
        <v>Combined</v>
      </c>
      <c r="AS152" s="187" t="str">
        <f t="shared" si="105"/>
        <v>2019/20</v>
      </c>
      <c r="AT152" s="187" t="str">
        <f t="shared" si="106"/>
        <v>URBAN</v>
      </c>
      <c r="AU152" s="187" t="str">
        <f t="shared" si="107"/>
        <v>Transit Corridors</v>
      </c>
      <c r="AV152" s="187" cm="1">
        <f t="array" ref="AV152">IF($AO152=999,0,INDEX(AG$198:AG$313,$AO152))</f>
        <v>4.37</v>
      </c>
      <c r="AW152" s="187" cm="1">
        <f t="array" ref="AW152">IF($AO152=999,0,INDEX(AH$198:AH$313,$AO152))</f>
        <v>1.09E-2</v>
      </c>
      <c r="AX152" s="187" cm="1">
        <f t="array" ref="AX152">IF($AO152=999,0,INDEX(AI$198:AI$313,$AO152))</f>
        <v>4.37</v>
      </c>
      <c r="AY152" s="187" cm="1">
        <f t="array" ref="AY152">IF($AO152=999,0,INDEX(AJ$198:AJ$313,$AO152))</f>
        <v>0</v>
      </c>
      <c r="AZ152" s="187" cm="1">
        <f t="array" ref="AZ152">IF($AO152=999,0,INDEX(AK$198:AK$313,$AO152))</f>
        <v>8.75</v>
      </c>
      <c r="BA152" s="187" cm="1">
        <f t="array" ref="BA152">IF($AO152=999,0,INDEX(AL$198:AL$313,$AO152))</f>
        <v>24.66</v>
      </c>
      <c r="BB152" s="252" t="str">
        <f>INDEX(pMenus!$C$10:$C$23,MATCH(AU152,pMenus!$B$10:$B$23,0))</f>
        <v>Transit Corridors</v>
      </c>
      <c r="BC152" s="221">
        <f t="shared" si="96"/>
        <v>7721.3307240704507</v>
      </c>
      <c r="BD152" s="237">
        <f t="shared" si="97"/>
        <v>15460.330397166234</v>
      </c>
      <c r="BE152" s="188" t="s">
        <v>591</v>
      </c>
      <c r="BF152" s="188" t="str">
        <f t="shared" si="108"/>
        <v>Taranaki Region</v>
      </c>
      <c r="BG152" s="188" t="str">
        <f t="shared" si="109"/>
        <v>Combined</v>
      </c>
      <c r="BH152" s="188" t="str">
        <f t="shared" si="110"/>
        <v>2019/20</v>
      </c>
      <c r="BI152" s="188" t="str">
        <f t="shared" si="111"/>
        <v>URBAN</v>
      </c>
      <c r="BJ152" s="188" t="str">
        <f t="shared" si="112"/>
        <v>Transit Corridors</v>
      </c>
      <c r="BK152" s="188">
        <f t="shared" si="113"/>
        <v>0</v>
      </c>
      <c r="BL152" s="188">
        <f t="shared" si="114"/>
        <v>-9.8999999999999991E-3</v>
      </c>
      <c r="BM152" s="188">
        <f t="shared" si="115"/>
        <v>0</v>
      </c>
      <c r="BN152" s="188">
        <f t="shared" si="116"/>
        <v>0</v>
      </c>
      <c r="BO152" s="188">
        <f t="shared" si="117"/>
        <v>0</v>
      </c>
      <c r="BP152" s="188">
        <f t="shared" si="118"/>
        <v>0</v>
      </c>
      <c r="BQ152" s="253" t="str">
        <f>INDEX(pMenus!$D$10:$D$23,MATCH(BJ152,pMenus!$B$10:$B$23,0))</f>
        <v>Urban Connectors</v>
      </c>
      <c r="BR152" s="226">
        <f t="shared" si="98"/>
        <v>0</v>
      </c>
      <c r="BS152" s="238">
        <f t="shared" si="99"/>
        <v>0</v>
      </c>
    </row>
    <row r="153" spans="1:71">
      <c r="A153" s="202"/>
      <c r="B153" s="210" t="str">
        <f t="shared" si="100"/>
        <v>Urban Connectors Local LTA Roads Taranaki Region</v>
      </c>
      <c r="C153" s="193">
        <f t="shared" si="94"/>
        <v>146.13</v>
      </c>
      <c r="D153" s="193">
        <f t="shared" si="95"/>
        <v>98.52000000000001</v>
      </c>
      <c r="E153" s="194">
        <f t="shared" si="93"/>
        <v>1847.1074263955256</v>
      </c>
      <c r="F153" s="202"/>
      <c r="AA153" s="185" t="s">
        <v>412</v>
      </c>
      <c r="AB153" s="185" t="s">
        <v>430</v>
      </c>
      <c r="AC153" s="185" t="s">
        <v>401</v>
      </c>
      <c r="AD153" s="185" t="s">
        <v>331</v>
      </c>
      <c r="AE153" s="185" t="s">
        <v>407</v>
      </c>
      <c r="AF153" s="185" t="s">
        <v>411</v>
      </c>
      <c r="AG153" s="185">
        <v>105.06</v>
      </c>
      <c r="AH153" s="185">
        <v>2.4199999999999999E-2</v>
      </c>
      <c r="AI153" s="185">
        <v>105.06</v>
      </c>
      <c r="AJ153" s="185">
        <v>0</v>
      </c>
      <c r="AK153" s="185">
        <v>211.96</v>
      </c>
      <c r="AL153" s="185">
        <v>225.96</v>
      </c>
      <c r="AM153" s="186">
        <v>228</v>
      </c>
      <c r="AN153" s="186" t="str">
        <f t="shared" si="101"/>
        <v>Taranaki RegionUrban Connectors</v>
      </c>
      <c r="AO153" s="186">
        <f t="shared" si="102"/>
        <v>82</v>
      </c>
      <c r="AP153" s="187" t="s">
        <v>1105</v>
      </c>
      <c r="AQ153" s="187" t="str">
        <f t="shared" si="103"/>
        <v>Taranaki Region</v>
      </c>
      <c r="AR153" s="187" t="str">
        <f t="shared" si="104"/>
        <v>Combined</v>
      </c>
      <c r="AS153" s="187" t="str">
        <f t="shared" si="105"/>
        <v>2019/20</v>
      </c>
      <c r="AT153" s="187" t="str">
        <f t="shared" si="106"/>
        <v>URBAN</v>
      </c>
      <c r="AU153" s="187" t="str">
        <f t="shared" si="107"/>
        <v>Urban Connectors</v>
      </c>
      <c r="AV153" s="187" cm="1">
        <f t="array" ref="AV153">IF($AO153=999,0,INDEX(AG$198:AG$313,$AO153))</f>
        <v>31.89</v>
      </c>
      <c r="AW153" s="187" cm="1">
        <f t="array" ref="AW153">IF($AO153=999,0,INDEX(AH$198:AH$313,$AO153))</f>
        <v>7.9799999999999996E-2</v>
      </c>
      <c r="AX153" s="187" cm="1">
        <f t="array" ref="AX153">IF($AO153=999,0,INDEX(AI$198:AI$313,$AO153))</f>
        <v>31.89</v>
      </c>
      <c r="AY153" s="187" cm="1">
        <f t="array" ref="AY153">IF($AO153=999,0,INDEX(AJ$198:AJ$313,$AO153))</f>
        <v>0</v>
      </c>
      <c r="AZ153" s="187" cm="1">
        <f t="array" ref="AZ153">IF($AO153=999,0,INDEX(AK$198:AK$313,$AO153))</f>
        <v>65.83</v>
      </c>
      <c r="BA153" s="187" cm="1">
        <f t="array" ref="BA153">IF($AO153=999,0,INDEX(AL$198:AL$313,$AO153))</f>
        <v>127.44</v>
      </c>
      <c r="BB153" s="252" t="str">
        <f>INDEX(pMenus!$C$10:$C$23,MATCH(AU153,pMenus!$B$10:$B$23,0))</f>
        <v>Urban Connectors</v>
      </c>
      <c r="BC153" s="221">
        <f t="shared" si="96"/>
        <v>5303.8232558333102</v>
      </c>
      <c r="BD153" s="237">
        <f t="shared" si="97"/>
        <v>10948.594698385288</v>
      </c>
      <c r="BE153" s="188" t="s">
        <v>591</v>
      </c>
      <c r="BF153" s="188" t="str">
        <f t="shared" si="108"/>
        <v>Taranaki Region</v>
      </c>
      <c r="BG153" s="188" t="str">
        <f t="shared" si="109"/>
        <v>Combined</v>
      </c>
      <c r="BH153" s="188" t="str">
        <f t="shared" si="110"/>
        <v>2019/20</v>
      </c>
      <c r="BI153" s="188" t="str">
        <f t="shared" si="111"/>
        <v>URBAN</v>
      </c>
      <c r="BJ153" s="188" t="str">
        <f t="shared" si="112"/>
        <v>Urban Connectors</v>
      </c>
      <c r="BK153" s="188">
        <f t="shared" si="113"/>
        <v>73.17</v>
      </c>
      <c r="BL153" s="188">
        <f t="shared" si="114"/>
        <v>-5.5599999999999997E-2</v>
      </c>
      <c r="BM153" s="188">
        <f t="shared" si="115"/>
        <v>73.17</v>
      </c>
      <c r="BN153" s="188">
        <f t="shared" si="116"/>
        <v>0</v>
      </c>
      <c r="BO153" s="188">
        <f t="shared" si="117"/>
        <v>146.13</v>
      </c>
      <c r="BP153" s="188">
        <f t="shared" si="118"/>
        <v>98.52000000000001</v>
      </c>
      <c r="BQ153" s="253" t="str">
        <f>INDEX(pMenus!$D$10:$D$23,MATCH(BJ153,pMenus!$B$10:$B$23,0))</f>
        <v>Urban Connectors</v>
      </c>
      <c r="BR153" s="226">
        <f t="shared" si="98"/>
        <v>1847.1074263955256</v>
      </c>
      <c r="BS153" s="238">
        <f t="shared" si="99"/>
        <v>3688.913601464782</v>
      </c>
    </row>
    <row r="154" spans="1:71">
      <c r="A154" s="202"/>
      <c r="B154" s="210" t="str">
        <f t="shared" si="100"/>
        <v>NA Local LTA Roads Waikato Region</v>
      </c>
      <c r="C154" s="193">
        <f t="shared" si="94"/>
        <v>149.74999999999997</v>
      </c>
      <c r="D154" s="193">
        <f t="shared" si="95"/>
        <v>25.649999999999977</v>
      </c>
      <c r="E154" s="194">
        <f t="shared" si="93"/>
        <v>469.27527614517317</v>
      </c>
      <c r="F154" s="202"/>
      <c r="AA154" s="185" t="s">
        <v>412</v>
      </c>
      <c r="AB154" s="185" t="s">
        <v>432</v>
      </c>
      <c r="AC154" s="185" t="s">
        <v>401</v>
      </c>
      <c r="AD154" s="185" t="s">
        <v>331</v>
      </c>
      <c r="AE154" s="185"/>
      <c r="AF154" s="185" t="s">
        <v>402</v>
      </c>
      <c r="AG154" s="185">
        <v>161.41</v>
      </c>
      <c r="AH154" s="185">
        <v>1.4E-2</v>
      </c>
      <c r="AI154" s="185">
        <v>149.22999999999999</v>
      </c>
      <c r="AJ154" s="185">
        <v>12.18</v>
      </c>
      <c r="AK154" s="185">
        <v>294.83999999999997</v>
      </c>
      <c r="AL154" s="185">
        <v>342.64</v>
      </c>
      <c r="AM154" s="186">
        <v>249</v>
      </c>
      <c r="AN154" s="186" t="str">
        <f t="shared" si="101"/>
        <v>Waikato RegionUnclassified</v>
      </c>
      <c r="AO154" s="186">
        <f t="shared" si="102"/>
        <v>83</v>
      </c>
      <c r="AP154" s="187" t="s">
        <v>1105</v>
      </c>
      <c r="AQ154" s="187" t="str">
        <f t="shared" si="103"/>
        <v>Waikato Region</v>
      </c>
      <c r="AR154" s="187" t="str">
        <f t="shared" si="104"/>
        <v>Combined</v>
      </c>
      <c r="AS154" s="187" t="str">
        <f t="shared" si="105"/>
        <v>2019/20</v>
      </c>
      <c r="AT154" s="187">
        <f t="shared" si="106"/>
        <v>0</v>
      </c>
      <c r="AU154" s="187" t="str">
        <f t="shared" si="107"/>
        <v>Unclassified</v>
      </c>
      <c r="AV154" s="187" cm="1">
        <f t="array" ref="AV154">IF($AO154=999,0,INDEX(AG$198:AG$313,$AO154))</f>
        <v>74.099999999999994</v>
      </c>
      <c r="AW154" s="187" cm="1">
        <f t="array" ref="AW154">IF($AO154=999,0,INDEX(AH$198:AH$313,$AO154))</f>
        <v>3.9899999999999998E-2</v>
      </c>
      <c r="AX154" s="187" cm="1">
        <f t="array" ref="AX154">IF($AO154=999,0,INDEX(AI$198:AI$313,$AO154))</f>
        <v>74.099999999999994</v>
      </c>
      <c r="AY154" s="187" cm="1">
        <f t="array" ref="AY154">IF($AO154=999,0,INDEX(AJ$198:AJ$313,$AO154))</f>
        <v>0</v>
      </c>
      <c r="AZ154" s="187" cm="1">
        <f t="array" ref="AZ154">IF($AO154=999,0,INDEX(AK$198:AK$313,$AO154))</f>
        <v>145.09</v>
      </c>
      <c r="BA154" s="187" cm="1">
        <f t="array" ref="BA154">IF($AO154=999,0,INDEX(AL$198:AL$313,$AO154))</f>
        <v>316.99</v>
      </c>
      <c r="BB154" s="252" t="str">
        <f>INDEX(pMenus!$C$10:$C$23,MATCH(AU154,pMenus!$B$10:$B$23,0))</f>
        <v>NA</v>
      </c>
      <c r="BC154" s="221">
        <f t="shared" si="96"/>
        <v>5985.7037247546868</v>
      </c>
      <c r="BD154" s="237">
        <f t="shared" si="97"/>
        <v>11720.185606270685</v>
      </c>
      <c r="BE154" s="188" t="s">
        <v>591</v>
      </c>
      <c r="BF154" s="188" t="str">
        <f t="shared" si="108"/>
        <v>Waikato Region</v>
      </c>
      <c r="BG154" s="188" t="str">
        <f t="shared" si="109"/>
        <v>Combined</v>
      </c>
      <c r="BH154" s="188" t="str">
        <f t="shared" si="110"/>
        <v>2019/20</v>
      </c>
      <c r="BI154" s="188">
        <f t="shared" si="111"/>
        <v>0</v>
      </c>
      <c r="BJ154" s="188" t="str">
        <f t="shared" si="112"/>
        <v>Unclassified</v>
      </c>
      <c r="BK154" s="188">
        <f t="shared" si="113"/>
        <v>87.31</v>
      </c>
      <c r="BL154" s="188">
        <f t="shared" si="114"/>
        <v>-2.5899999999999999E-2</v>
      </c>
      <c r="BM154" s="188">
        <f t="shared" si="115"/>
        <v>75.13</v>
      </c>
      <c r="BN154" s="188">
        <f t="shared" si="116"/>
        <v>12.18</v>
      </c>
      <c r="BO154" s="188">
        <f t="shared" si="117"/>
        <v>149.74999999999997</v>
      </c>
      <c r="BP154" s="188">
        <f t="shared" si="118"/>
        <v>25.649999999999977</v>
      </c>
      <c r="BQ154" s="253" t="str">
        <f>INDEX(pMenus!$D$10:$D$23,MATCH(BJ154,pMenus!$B$10:$B$23,0))</f>
        <v>NA</v>
      </c>
      <c r="BR154" s="226">
        <f t="shared" si="98"/>
        <v>469.27527614517317</v>
      </c>
      <c r="BS154" s="238">
        <f t="shared" si="99"/>
        <v>804.87885239651439</v>
      </c>
    </row>
    <row r="155" spans="1:71">
      <c r="A155" s="202"/>
      <c r="B155" s="210" t="str">
        <f t="shared" si="100"/>
        <v>Interregional Connectors Local LTA Roads Waikato Region</v>
      </c>
      <c r="C155" s="193">
        <f t="shared" si="94"/>
        <v>38.599999999999909</v>
      </c>
      <c r="D155" s="193">
        <f t="shared" si="95"/>
        <v>55.769999999999982</v>
      </c>
      <c r="E155" s="194">
        <f t="shared" si="93"/>
        <v>3958.4072680814902</v>
      </c>
      <c r="F155" s="202"/>
      <c r="AA155" s="185" t="s">
        <v>412</v>
      </c>
      <c r="AB155" s="185" t="s">
        <v>432</v>
      </c>
      <c r="AC155" s="185" t="s">
        <v>401</v>
      </c>
      <c r="AD155" s="185" t="s">
        <v>331</v>
      </c>
      <c r="AE155" s="185" t="s">
        <v>403</v>
      </c>
      <c r="AF155" s="185" t="s">
        <v>404</v>
      </c>
      <c r="AG155" s="185">
        <v>702.36</v>
      </c>
      <c r="AH155" s="185">
        <v>6.0900000000000003E-2</v>
      </c>
      <c r="AI155" s="185">
        <v>702.36</v>
      </c>
      <c r="AJ155" s="185">
        <v>0</v>
      </c>
      <c r="AK155" s="185">
        <v>1462.58</v>
      </c>
      <c r="AL155" s="185">
        <v>1969.04</v>
      </c>
      <c r="AM155" s="186">
        <v>250</v>
      </c>
      <c r="AN155" s="186" t="str">
        <f t="shared" si="101"/>
        <v>Waikato RegionInterregional Connectors</v>
      </c>
      <c r="AO155" s="186">
        <f t="shared" si="102"/>
        <v>84</v>
      </c>
      <c r="AP155" s="187" t="s">
        <v>1105</v>
      </c>
      <c r="AQ155" s="187" t="str">
        <f t="shared" si="103"/>
        <v>Waikato Region</v>
      </c>
      <c r="AR155" s="187" t="str">
        <f t="shared" si="104"/>
        <v>Combined</v>
      </c>
      <c r="AS155" s="187" t="str">
        <f t="shared" si="105"/>
        <v>2019/20</v>
      </c>
      <c r="AT155" s="187" t="str">
        <f t="shared" si="106"/>
        <v>RURAL</v>
      </c>
      <c r="AU155" s="187" t="str">
        <f t="shared" si="107"/>
        <v>Interregional Connectors</v>
      </c>
      <c r="AV155" s="187" cm="1">
        <f t="array" ref="AV155">IF($AO155=999,0,INDEX(AG$198:AG$313,$AO155))</f>
        <v>683.45</v>
      </c>
      <c r="AW155" s="187" cm="1">
        <f t="array" ref="AW155">IF($AO155=999,0,INDEX(AH$198:AH$313,$AO155))</f>
        <v>0.36840000000000001</v>
      </c>
      <c r="AX155" s="187" cm="1">
        <f t="array" ref="AX155">IF($AO155=999,0,INDEX(AI$198:AI$313,$AO155))</f>
        <v>683.45</v>
      </c>
      <c r="AY155" s="187" cm="1">
        <f t="array" ref="AY155">IF($AO155=999,0,INDEX(AJ$198:AJ$313,$AO155))</f>
        <v>0</v>
      </c>
      <c r="AZ155" s="187" cm="1">
        <f t="array" ref="AZ155">IF($AO155=999,0,INDEX(AK$198:AK$313,$AO155))</f>
        <v>1423.98</v>
      </c>
      <c r="BA155" s="187" cm="1">
        <f t="array" ref="BA155">IF($AO155=999,0,INDEX(AL$198:AL$313,$AO155))</f>
        <v>1913.27</v>
      </c>
      <c r="BB155" s="252" t="str">
        <f>INDEX(pMenus!$C$10:$C$23,MATCH(AU155,pMenus!$B$10:$B$23,0))</f>
        <v>Interregional Connectors</v>
      </c>
      <c r="BC155" s="221">
        <f t="shared" si="96"/>
        <v>3681.1160384544419</v>
      </c>
      <c r="BD155" s="237">
        <f t="shared" si="97"/>
        <v>7669.6694951179388</v>
      </c>
      <c r="BE155" s="188" t="s">
        <v>591</v>
      </c>
      <c r="BF155" s="188" t="str">
        <f t="shared" si="108"/>
        <v>Waikato Region</v>
      </c>
      <c r="BG155" s="188" t="str">
        <f t="shared" si="109"/>
        <v>Combined</v>
      </c>
      <c r="BH155" s="188" t="str">
        <f t="shared" si="110"/>
        <v>2019/20</v>
      </c>
      <c r="BI155" s="188" t="str">
        <f t="shared" si="111"/>
        <v>RURAL</v>
      </c>
      <c r="BJ155" s="188" t="str">
        <f t="shared" si="112"/>
        <v>Interregional Connectors</v>
      </c>
      <c r="BK155" s="188">
        <f t="shared" si="113"/>
        <v>18.909999999999968</v>
      </c>
      <c r="BL155" s="188">
        <f t="shared" si="114"/>
        <v>-0.3075</v>
      </c>
      <c r="BM155" s="188">
        <f t="shared" si="115"/>
        <v>18.909999999999968</v>
      </c>
      <c r="BN155" s="188">
        <f t="shared" si="116"/>
        <v>0</v>
      </c>
      <c r="BO155" s="188">
        <f t="shared" si="117"/>
        <v>38.599999999999909</v>
      </c>
      <c r="BP155" s="188">
        <f t="shared" si="118"/>
        <v>55.769999999999982</v>
      </c>
      <c r="BQ155" s="253" t="str">
        <f>INDEX(pMenus!$D$10:$D$23,MATCH(BJ155,pMenus!$B$10:$B$23,0))</f>
        <v>Interregional Connectors</v>
      </c>
      <c r="BR155" s="226">
        <f t="shared" si="98"/>
        <v>3958.4072680814902</v>
      </c>
      <c r="BS155" s="238">
        <f t="shared" si="99"/>
        <v>8080.0909861420105</v>
      </c>
    </row>
    <row r="156" spans="1:71">
      <c r="A156" s="202"/>
      <c r="B156" s="210" t="str">
        <f t="shared" si="100"/>
        <v>Rural Connectors Local LTA Roads Waikato Region</v>
      </c>
      <c r="C156" s="193">
        <f t="shared" si="94"/>
        <v>310.51</v>
      </c>
      <c r="D156" s="193">
        <f t="shared" si="95"/>
        <v>34.239999999999995</v>
      </c>
      <c r="E156" s="194">
        <f t="shared" si="93"/>
        <v>302.11013873331672</v>
      </c>
      <c r="F156" s="202"/>
      <c r="AA156" s="185" t="s">
        <v>412</v>
      </c>
      <c r="AB156" s="185" t="s">
        <v>432</v>
      </c>
      <c r="AC156" s="185" t="s">
        <v>401</v>
      </c>
      <c r="AD156" s="185" t="s">
        <v>331</v>
      </c>
      <c r="AE156" s="185" t="s">
        <v>403</v>
      </c>
      <c r="AF156" s="185" t="s">
        <v>405</v>
      </c>
      <c r="AG156" s="185">
        <v>193.93</v>
      </c>
      <c r="AH156" s="185">
        <v>1.6799999999999999E-2</v>
      </c>
      <c r="AI156" s="185">
        <v>187.46</v>
      </c>
      <c r="AJ156" s="185">
        <v>6.47</v>
      </c>
      <c r="AK156" s="185">
        <v>379.16</v>
      </c>
      <c r="AL156" s="185">
        <v>106.61</v>
      </c>
      <c r="AM156" s="186">
        <v>251</v>
      </c>
      <c r="AN156" s="186" t="str">
        <f t="shared" si="101"/>
        <v>Waikato RegionPeri-urban Roads</v>
      </c>
      <c r="AO156" s="186">
        <f t="shared" si="102"/>
        <v>85</v>
      </c>
      <c r="AP156" s="187" t="s">
        <v>1105</v>
      </c>
      <c r="AQ156" s="187" t="str">
        <f t="shared" si="103"/>
        <v>Waikato Region</v>
      </c>
      <c r="AR156" s="187" t="str">
        <f t="shared" si="104"/>
        <v>Combined</v>
      </c>
      <c r="AS156" s="187" t="str">
        <f t="shared" si="105"/>
        <v>2019/20</v>
      </c>
      <c r="AT156" s="187" t="str">
        <f t="shared" si="106"/>
        <v>RURAL</v>
      </c>
      <c r="AU156" s="187" t="str">
        <f t="shared" si="107"/>
        <v>Peri-urban Roads</v>
      </c>
      <c r="AV156" s="187" cm="1">
        <f t="array" ref="AV156">IF($AO156=999,0,INDEX(AG$198:AG$313,$AO156))</f>
        <v>33.619999999999997</v>
      </c>
      <c r="AW156" s="187" cm="1">
        <f t="array" ref="AW156">IF($AO156=999,0,INDEX(AH$198:AH$313,$AO156))</f>
        <v>1.8100000000000002E-2</v>
      </c>
      <c r="AX156" s="187" cm="1">
        <f t="array" ref="AX156">IF($AO156=999,0,INDEX(AI$198:AI$313,$AO156))</f>
        <v>33.619999999999997</v>
      </c>
      <c r="AY156" s="187" cm="1">
        <f t="array" ref="AY156">IF($AO156=999,0,INDEX(AJ$198:AJ$313,$AO156))</f>
        <v>0</v>
      </c>
      <c r="AZ156" s="187" cm="1">
        <f t="array" ref="AZ156">IF($AO156=999,0,INDEX(AK$198:AK$313,$AO156))</f>
        <v>68.650000000000006</v>
      </c>
      <c r="BA156" s="187" cm="1">
        <f t="array" ref="BA156">IF($AO156=999,0,INDEX(AL$198:AL$313,$AO156))</f>
        <v>72.37</v>
      </c>
      <c r="BB156" s="252" t="str">
        <f>INDEX(pMenus!$C$10:$C$23,MATCH(AU156,pMenus!$B$10:$B$23,0))</f>
        <v>Interregional Connectors</v>
      </c>
      <c r="BC156" s="221">
        <f t="shared" si="96"/>
        <v>2888.1860539364852</v>
      </c>
      <c r="BD156" s="237">
        <f t="shared" si="97"/>
        <v>5897.500672300409</v>
      </c>
      <c r="BE156" s="188" t="s">
        <v>591</v>
      </c>
      <c r="BF156" s="188" t="str">
        <f t="shared" si="108"/>
        <v>Waikato Region</v>
      </c>
      <c r="BG156" s="188" t="str">
        <f t="shared" si="109"/>
        <v>Combined</v>
      </c>
      <c r="BH156" s="188" t="str">
        <f t="shared" si="110"/>
        <v>2019/20</v>
      </c>
      <c r="BI156" s="188" t="str">
        <f t="shared" si="111"/>
        <v>RURAL</v>
      </c>
      <c r="BJ156" s="188" t="str">
        <f t="shared" si="112"/>
        <v>Peri-urban Roads</v>
      </c>
      <c r="BK156" s="188">
        <f t="shared" si="113"/>
        <v>160.31</v>
      </c>
      <c r="BL156" s="188">
        <f t="shared" si="114"/>
        <v>-1.3000000000000025E-3</v>
      </c>
      <c r="BM156" s="188">
        <f t="shared" si="115"/>
        <v>153.84</v>
      </c>
      <c r="BN156" s="188">
        <f t="shared" si="116"/>
        <v>6.47</v>
      </c>
      <c r="BO156" s="188">
        <f t="shared" si="117"/>
        <v>310.51</v>
      </c>
      <c r="BP156" s="188">
        <f t="shared" si="118"/>
        <v>34.239999999999995</v>
      </c>
      <c r="BQ156" s="253" t="str">
        <f>INDEX(pMenus!$D$10:$D$23,MATCH(BJ156,pMenus!$B$10:$B$23,0))</f>
        <v>Rural Connectors</v>
      </c>
      <c r="BR156" s="226">
        <f t="shared" si="98"/>
        <v>302.11013873331672</v>
      </c>
      <c r="BS156" s="238">
        <f t="shared" si="99"/>
        <v>585.16760762324361</v>
      </c>
    </row>
    <row r="157" spans="1:71">
      <c r="A157" s="202"/>
      <c r="B157" s="210" t="str">
        <f t="shared" si="100"/>
        <v>Rural Connectors Local LTA Roads Waikato Region</v>
      </c>
      <c r="C157" s="193">
        <f t="shared" si="94"/>
        <v>5472.0499999999993</v>
      </c>
      <c r="D157" s="193">
        <f t="shared" si="95"/>
        <v>1064.4500000000003</v>
      </c>
      <c r="E157" s="194">
        <f t="shared" si="93"/>
        <v>532.94494199852249</v>
      </c>
      <c r="F157" s="202"/>
      <c r="AA157" s="185" t="s">
        <v>412</v>
      </c>
      <c r="AB157" s="185" t="s">
        <v>432</v>
      </c>
      <c r="AC157" s="185" t="s">
        <v>401</v>
      </c>
      <c r="AD157" s="185" t="s">
        <v>331</v>
      </c>
      <c r="AE157" s="185" t="s">
        <v>403</v>
      </c>
      <c r="AF157" s="185" t="s">
        <v>406</v>
      </c>
      <c r="AG157" s="185">
        <v>3685.25</v>
      </c>
      <c r="AH157" s="185">
        <v>0.31929999999999997</v>
      </c>
      <c r="AI157" s="185">
        <v>3615.94</v>
      </c>
      <c r="AJ157" s="185">
        <v>69.31</v>
      </c>
      <c r="AK157" s="185">
        <v>7365.03</v>
      </c>
      <c r="AL157" s="185">
        <v>2286.2600000000002</v>
      </c>
      <c r="AM157" s="186">
        <v>252</v>
      </c>
      <c r="AN157" s="186" t="str">
        <f t="shared" si="101"/>
        <v>Waikato RegionRural Connectors</v>
      </c>
      <c r="AO157" s="186">
        <f t="shared" si="102"/>
        <v>86</v>
      </c>
      <c r="AP157" s="187" t="s">
        <v>1105</v>
      </c>
      <c r="AQ157" s="187" t="str">
        <f t="shared" si="103"/>
        <v>Waikato Region</v>
      </c>
      <c r="AR157" s="187" t="str">
        <f t="shared" si="104"/>
        <v>Combined</v>
      </c>
      <c r="AS157" s="187" t="str">
        <f t="shared" si="105"/>
        <v>2019/20</v>
      </c>
      <c r="AT157" s="187" t="str">
        <f t="shared" si="106"/>
        <v>RURAL</v>
      </c>
      <c r="AU157" s="187" t="str">
        <f t="shared" si="107"/>
        <v>Rural Connectors</v>
      </c>
      <c r="AV157" s="187" cm="1">
        <f t="array" ref="AV157">IF($AO157=999,0,INDEX(AG$198:AG$313,$AO157))</f>
        <v>947.47</v>
      </c>
      <c r="AW157" s="187" cm="1">
        <f t="array" ref="AW157">IF($AO157=999,0,INDEX(AH$198:AH$313,$AO157))</f>
        <v>0.51070000000000004</v>
      </c>
      <c r="AX157" s="187" cm="1">
        <f t="array" ref="AX157">IF($AO157=999,0,INDEX(AI$198:AI$313,$AO157))</f>
        <v>947.47</v>
      </c>
      <c r="AY157" s="187" cm="1">
        <f t="array" ref="AY157">IF($AO157=999,0,INDEX(AJ$198:AJ$313,$AO157))</f>
        <v>0</v>
      </c>
      <c r="AZ157" s="187" cm="1">
        <f t="array" ref="AZ157">IF($AO157=999,0,INDEX(AK$198:AK$313,$AO157))</f>
        <v>1892.98</v>
      </c>
      <c r="BA157" s="187" cm="1">
        <f t="array" ref="BA157">IF($AO157=999,0,INDEX(AL$198:AL$313,$AO157))</f>
        <v>1221.81</v>
      </c>
      <c r="BB157" s="252" t="str">
        <f>INDEX(pMenus!$C$10:$C$23,MATCH(AU157,pMenus!$B$10:$B$23,0))</f>
        <v>Rural Connectors</v>
      </c>
      <c r="BC157" s="221">
        <f t="shared" si="96"/>
        <v>1768.3359874558878</v>
      </c>
      <c r="BD157" s="237">
        <f t="shared" si="97"/>
        <v>3533.01387646495</v>
      </c>
      <c r="BE157" s="188" t="s">
        <v>591</v>
      </c>
      <c r="BF157" s="188" t="str">
        <f t="shared" si="108"/>
        <v>Waikato Region</v>
      </c>
      <c r="BG157" s="188" t="str">
        <f t="shared" si="109"/>
        <v>Combined</v>
      </c>
      <c r="BH157" s="188" t="str">
        <f t="shared" si="110"/>
        <v>2019/20</v>
      </c>
      <c r="BI157" s="188" t="str">
        <f t="shared" si="111"/>
        <v>RURAL</v>
      </c>
      <c r="BJ157" s="188" t="str">
        <f t="shared" si="112"/>
        <v>Rural Connectors</v>
      </c>
      <c r="BK157" s="188">
        <f t="shared" si="113"/>
        <v>2737.7799999999997</v>
      </c>
      <c r="BL157" s="188">
        <f t="shared" si="114"/>
        <v>-0.19140000000000007</v>
      </c>
      <c r="BM157" s="188">
        <f t="shared" si="115"/>
        <v>2668.4700000000003</v>
      </c>
      <c r="BN157" s="188">
        <f t="shared" si="116"/>
        <v>69.31</v>
      </c>
      <c r="BO157" s="188">
        <f t="shared" si="117"/>
        <v>5472.0499999999993</v>
      </c>
      <c r="BP157" s="188">
        <f t="shared" si="118"/>
        <v>1064.4500000000003</v>
      </c>
      <c r="BQ157" s="253" t="str">
        <f>INDEX(pMenus!$D$10:$D$23,MATCH(BJ157,pMenus!$B$10:$B$23,0))</f>
        <v>Rural Connectors</v>
      </c>
      <c r="BR157" s="226">
        <f t="shared" si="98"/>
        <v>532.94494199852249</v>
      </c>
      <c r="BS157" s="238">
        <f t="shared" si="99"/>
        <v>1065.2066162595295</v>
      </c>
    </row>
    <row r="158" spans="1:71">
      <c r="A158" s="202"/>
      <c r="B158" s="210" t="str">
        <f t="shared" si="100"/>
        <v>Rural Connectors Local LTA Roads Waikato Region</v>
      </c>
      <c r="C158" s="193">
        <f t="shared" si="94"/>
        <v>8176.96</v>
      </c>
      <c r="D158" s="193">
        <f t="shared" si="95"/>
        <v>173.22</v>
      </c>
      <c r="E158" s="194">
        <f t="shared" si="93"/>
        <v>58.038114710815933</v>
      </c>
      <c r="F158" s="202"/>
      <c r="AA158" s="185" t="s">
        <v>412</v>
      </c>
      <c r="AB158" s="185" t="s">
        <v>432</v>
      </c>
      <c r="AC158" s="185" t="s">
        <v>401</v>
      </c>
      <c r="AD158" s="185" t="s">
        <v>331</v>
      </c>
      <c r="AE158" s="185" t="s">
        <v>403</v>
      </c>
      <c r="AF158" s="185" t="s">
        <v>414</v>
      </c>
      <c r="AG158" s="185">
        <v>4637.05</v>
      </c>
      <c r="AH158" s="185">
        <v>0.40179999999999999</v>
      </c>
      <c r="AI158" s="185">
        <v>2824.78</v>
      </c>
      <c r="AJ158" s="185">
        <v>1812.27</v>
      </c>
      <c r="AK158" s="185">
        <v>8176.96</v>
      </c>
      <c r="AL158" s="185">
        <v>173.22</v>
      </c>
      <c r="AM158" s="186">
        <v>253</v>
      </c>
      <c r="AN158" s="186" t="str">
        <f t="shared" si="101"/>
        <v>Waikato RegionRural Roads</v>
      </c>
      <c r="AO158" s="186">
        <f t="shared" si="102"/>
        <v>999</v>
      </c>
      <c r="AP158" s="187" t="s">
        <v>1105</v>
      </c>
      <c r="AQ158" s="187" t="str">
        <f t="shared" si="103"/>
        <v>Waikato Region</v>
      </c>
      <c r="AR158" s="187" t="str">
        <f t="shared" si="104"/>
        <v>Combined</v>
      </c>
      <c r="AS158" s="187" t="str">
        <f t="shared" si="105"/>
        <v>2019/20</v>
      </c>
      <c r="AT158" s="187" t="str">
        <f t="shared" si="106"/>
        <v>RURAL</v>
      </c>
      <c r="AU158" s="187" t="str">
        <f t="shared" si="107"/>
        <v>Rural Roads</v>
      </c>
      <c r="AV158" s="187" cm="1">
        <f t="array" ref="AV158">IF($AO158=999,0,INDEX(AG$198:AG$313,$AO158))</f>
        <v>0</v>
      </c>
      <c r="AW158" s="187" cm="1">
        <f t="array" ref="AW158">IF($AO158=999,0,INDEX(AH$198:AH$313,$AO158))</f>
        <v>0</v>
      </c>
      <c r="AX158" s="187" cm="1">
        <f t="array" ref="AX158">IF($AO158=999,0,INDEX(AI$198:AI$313,$AO158))</f>
        <v>0</v>
      </c>
      <c r="AY158" s="187" cm="1">
        <f t="array" ref="AY158">IF($AO158=999,0,INDEX(AJ$198:AJ$313,$AO158))</f>
        <v>0</v>
      </c>
      <c r="AZ158" s="187" cm="1">
        <f t="array" ref="AZ158">IF($AO158=999,0,INDEX(AK$198:AK$313,$AO158))</f>
        <v>0</v>
      </c>
      <c r="BA158" s="187" cm="1">
        <f t="array" ref="BA158">IF($AO158=999,0,INDEX(AL$198:AL$313,$AO158))</f>
        <v>0</v>
      </c>
      <c r="BB158" s="252" t="str">
        <f>INDEX(pMenus!$C$10:$C$23,MATCH(AU158,pMenus!$B$10:$B$23,0))</f>
        <v>NA</v>
      </c>
      <c r="BC158" s="221">
        <f t="shared" si="96"/>
        <v>0</v>
      </c>
      <c r="BD158" s="237">
        <f t="shared" si="97"/>
        <v>0</v>
      </c>
      <c r="BE158" s="188" t="s">
        <v>591</v>
      </c>
      <c r="BF158" s="188" t="str">
        <f t="shared" si="108"/>
        <v>Waikato Region</v>
      </c>
      <c r="BG158" s="188" t="str">
        <f t="shared" si="109"/>
        <v>Combined</v>
      </c>
      <c r="BH158" s="188" t="str">
        <f t="shared" si="110"/>
        <v>2019/20</v>
      </c>
      <c r="BI158" s="188" t="str">
        <f t="shared" si="111"/>
        <v>RURAL</v>
      </c>
      <c r="BJ158" s="188" t="str">
        <f t="shared" si="112"/>
        <v>Rural Roads</v>
      </c>
      <c r="BK158" s="188">
        <f t="shared" si="113"/>
        <v>4637.05</v>
      </c>
      <c r="BL158" s="188">
        <f t="shared" si="114"/>
        <v>0.40179999999999999</v>
      </c>
      <c r="BM158" s="188">
        <f t="shared" si="115"/>
        <v>2824.78</v>
      </c>
      <c r="BN158" s="188">
        <f t="shared" si="116"/>
        <v>1812.27</v>
      </c>
      <c r="BO158" s="188">
        <f t="shared" si="117"/>
        <v>8176.96</v>
      </c>
      <c r="BP158" s="188">
        <f t="shared" si="118"/>
        <v>173.22</v>
      </c>
      <c r="BQ158" s="253" t="str">
        <f>INDEX(pMenus!$D$10:$D$23,MATCH(BJ158,pMenus!$B$10:$B$23,0))</f>
        <v>Rural Connectors</v>
      </c>
      <c r="BR158" s="226">
        <f t="shared" si="98"/>
        <v>58.038114710815933</v>
      </c>
      <c r="BS158" s="238">
        <f t="shared" si="99"/>
        <v>102.34423663013195</v>
      </c>
    </row>
    <row r="159" spans="1:71">
      <c r="A159" s="202"/>
      <c r="B159" s="210" t="str">
        <f t="shared" si="100"/>
        <v>Rural Connectors Local LTA Roads Waikato Region</v>
      </c>
      <c r="C159" s="193">
        <f t="shared" si="94"/>
        <v>62.5</v>
      </c>
      <c r="D159" s="193">
        <f t="shared" si="95"/>
        <v>8.26</v>
      </c>
      <c r="E159" s="194">
        <f t="shared" si="93"/>
        <v>362.08219178082192</v>
      </c>
      <c r="F159" s="202"/>
      <c r="AA159" s="185" t="s">
        <v>412</v>
      </c>
      <c r="AB159" s="185" t="s">
        <v>432</v>
      </c>
      <c r="AC159" s="185" t="s">
        <v>401</v>
      </c>
      <c r="AD159" s="185" t="s">
        <v>331</v>
      </c>
      <c r="AE159" s="185" t="s">
        <v>403</v>
      </c>
      <c r="AF159" s="185" t="s">
        <v>415</v>
      </c>
      <c r="AG159" s="185">
        <v>34.93</v>
      </c>
      <c r="AH159" s="185">
        <v>3.0000000000000001E-3</v>
      </c>
      <c r="AI159" s="185">
        <v>33.85</v>
      </c>
      <c r="AJ159" s="185">
        <v>1.08</v>
      </c>
      <c r="AK159" s="185">
        <v>67.97</v>
      </c>
      <c r="AL159" s="185">
        <v>15.49</v>
      </c>
      <c r="AM159" s="186">
        <v>254</v>
      </c>
      <c r="AN159" s="186" t="str">
        <f t="shared" si="101"/>
        <v>Waikato RegionStopping Places</v>
      </c>
      <c r="AO159" s="186">
        <f t="shared" si="102"/>
        <v>87</v>
      </c>
      <c r="AP159" s="187" t="s">
        <v>1105</v>
      </c>
      <c r="AQ159" s="187" t="str">
        <f t="shared" si="103"/>
        <v>Waikato Region</v>
      </c>
      <c r="AR159" s="187" t="str">
        <f t="shared" si="104"/>
        <v>Combined</v>
      </c>
      <c r="AS159" s="187" t="str">
        <f t="shared" si="105"/>
        <v>2019/20</v>
      </c>
      <c r="AT159" s="187" t="str">
        <f t="shared" si="106"/>
        <v>RURAL</v>
      </c>
      <c r="AU159" s="187" t="str">
        <f t="shared" si="107"/>
        <v>Stopping Places</v>
      </c>
      <c r="AV159" s="187" cm="1">
        <f t="array" ref="AV159">IF($AO159=999,0,INDEX(AG$198:AG$313,$AO159))</f>
        <v>2.65</v>
      </c>
      <c r="AW159" s="187" cm="1">
        <f t="array" ref="AW159">IF($AO159=999,0,INDEX(AH$198:AH$313,$AO159))</f>
        <v>1.4E-3</v>
      </c>
      <c r="AX159" s="187" cm="1">
        <f t="array" ref="AX159">IF($AO159=999,0,INDEX(AI$198:AI$313,$AO159))</f>
        <v>2.65</v>
      </c>
      <c r="AY159" s="187" cm="1">
        <f t="array" ref="AY159">IF($AO159=999,0,INDEX(AJ$198:AJ$313,$AO159))</f>
        <v>0</v>
      </c>
      <c r="AZ159" s="187" cm="1">
        <f t="array" ref="AZ159">IF($AO159=999,0,INDEX(AK$198:AK$313,$AO159))</f>
        <v>5.47</v>
      </c>
      <c r="BA159" s="187" cm="1">
        <f t="array" ref="BA159">IF($AO159=999,0,INDEX(AL$198:AL$313,$AO159))</f>
        <v>7.23</v>
      </c>
      <c r="BB159" s="252" t="str">
        <f>INDEX(pMenus!$C$10:$C$23,MATCH(AU159,pMenus!$B$10:$B$23,0))</f>
        <v>Interregional Connectors</v>
      </c>
      <c r="BC159" s="221">
        <f t="shared" si="96"/>
        <v>3621.2466504720646</v>
      </c>
      <c r="BD159" s="237">
        <f t="shared" si="97"/>
        <v>7474.7996898423371</v>
      </c>
      <c r="BE159" s="188" t="s">
        <v>591</v>
      </c>
      <c r="BF159" s="188" t="str">
        <f t="shared" si="108"/>
        <v>Waikato Region</v>
      </c>
      <c r="BG159" s="188" t="str">
        <f t="shared" si="109"/>
        <v>Combined</v>
      </c>
      <c r="BH159" s="188" t="str">
        <f t="shared" si="110"/>
        <v>2019/20</v>
      </c>
      <c r="BI159" s="188" t="str">
        <f t="shared" si="111"/>
        <v>RURAL</v>
      </c>
      <c r="BJ159" s="188" t="str">
        <f t="shared" si="112"/>
        <v>Stopping Places</v>
      </c>
      <c r="BK159" s="188">
        <f t="shared" si="113"/>
        <v>32.28</v>
      </c>
      <c r="BL159" s="188">
        <f t="shared" si="114"/>
        <v>1.6000000000000001E-3</v>
      </c>
      <c r="BM159" s="188">
        <f t="shared" si="115"/>
        <v>31.200000000000003</v>
      </c>
      <c r="BN159" s="188">
        <f t="shared" si="116"/>
        <v>1.08</v>
      </c>
      <c r="BO159" s="188">
        <f t="shared" si="117"/>
        <v>62.5</v>
      </c>
      <c r="BP159" s="188">
        <f t="shared" si="118"/>
        <v>8.26</v>
      </c>
      <c r="BQ159" s="253" t="str">
        <f>INDEX(pMenus!$D$10:$D$23,MATCH(BJ159,pMenus!$B$10:$B$23,0))</f>
        <v>Rural Connectors</v>
      </c>
      <c r="BR159" s="226">
        <f t="shared" si="98"/>
        <v>362.08219178082192</v>
      </c>
      <c r="BS159" s="238">
        <f t="shared" si="99"/>
        <v>701.05752745667189</v>
      </c>
    </row>
    <row r="160" spans="1:71">
      <c r="A160" s="202"/>
      <c r="B160" s="210" t="str">
        <f t="shared" si="100"/>
        <v>Activity Streets Local LTA Roads Waikato Region</v>
      </c>
      <c r="C160" s="193">
        <f t="shared" si="94"/>
        <v>239.51999999999998</v>
      </c>
      <c r="D160" s="193">
        <f t="shared" si="95"/>
        <v>142.98000000000002</v>
      </c>
      <c r="E160" s="194">
        <f t="shared" si="93"/>
        <v>1635.4627062343868</v>
      </c>
      <c r="F160" s="202"/>
      <c r="AA160" s="185" t="s">
        <v>412</v>
      </c>
      <c r="AB160" s="185" t="s">
        <v>432</v>
      </c>
      <c r="AC160" s="185" t="s">
        <v>401</v>
      </c>
      <c r="AD160" s="185" t="s">
        <v>331</v>
      </c>
      <c r="AE160" s="185" t="s">
        <v>407</v>
      </c>
      <c r="AF160" s="185" t="s">
        <v>408</v>
      </c>
      <c r="AG160" s="185">
        <v>134.96</v>
      </c>
      <c r="AH160" s="185">
        <v>1.17E-2</v>
      </c>
      <c r="AI160" s="185">
        <v>134.62</v>
      </c>
      <c r="AJ160" s="185">
        <v>0.34</v>
      </c>
      <c r="AK160" s="185">
        <v>265.20999999999998</v>
      </c>
      <c r="AL160" s="185">
        <v>189.05</v>
      </c>
      <c r="AM160" s="186">
        <v>255</v>
      </c>
      <c r="AN160" s="186" t="str">
        <f t="shared" si="101"/>
        <v>Waikato RegionActivity Streets</v>
      </c>
      <c r="AO160" s="186">
        <f t="shared" si="102"/>
        <v>88</v>
      </c>
      <c r="AP160" s="187" t="s">
        <v>1105</v>
      </c>
      <c r="AQ160" s="187" t="str">
        <f t="shared" si="103"/>
        <v>Waikato Region</v>
      </c>
      <c r="AR160" s="187" t="str">
        <f t="shared" si="104"/>
        <v>Combined</v>
      </c>
      <c r="AS160" s="187" t="str">
        <f t="shared" si="105"/>
        <v>2019/20</v>
      </c>
      <c r="AT160" s="187" t="str">
        <f t="shared" si="106"/>
        <v>URBAN</v>
      </c>
      <c r="AU160" s="187" t="str">
        <f t="shared" si="107"/>
        <v>Activity Streets</v>
      </c>
      <c r="AV160" s="187" cm="1">
        <f t="array" ref="AV160">IF($AO160=999,0,INDEX(AG$198:AG$313,$AO160))</f>
        <v>13.39</v>
      </c>
      <c r="AW160" s="187" cm="1">
        <f t="array" ref="AW160">IF($AO160=999,0,INDEX(AH$198:AH$313,$AO160))</f>
        <v>7.1999999999999998E-3</v>
      </c>
      <c r="AX160" s="187" cm="1">
        <f t="array" ref="AX160">IF($AO160=999,0,INDEX(AI$198:AI$313,$AO160))</f>
        <v>13.39</v>
      </c>
      <c r="AY160" s="187" cm="1">
        <f t="array" ref="AY160">IF($AO160=999,0,INDEX(AJ$198:AJ$313,$AO160))</f>
        <v>0</v>
      </c>
      <c r="AZ160" s="187" cm="1">
        <f t="array" ref="AZ160">IF($AO160=999,0,INDEX(AK$198:AK$313,$AO160))</f>
        <v>25.69</v>
      </c>
      <c r="BA160" s="187" cm="1">
        <f t="array" ref="BA160">IF($AO160=999,0,INDEX(AL$198:AL$313,$AO160))</f>
        <v>46.07</v>
      </c>
      <c r="BB160" s="252" t="str">
        <f>INDEX(pMenus!$C$10:$C$23,MATCH(AU160,pMenus!$B$10:$B$23,0))</f>
        <v>Urban Connectors</v>
      </c>
      <c r="BC160" s="221">
        <f t="shared" si="96"/>
        <v>4913.1638023430041</v>
      </c>
      <c r="BD160" s="237">
        <f t="shared" si="97"/>
        <v>9426.3762570718281</v>
      </c>
      <c r="BE160" s="188" t="s">
        <v>591</v>
      </c>
      <c r="BF160" s="188" t="str">
        <f t="shared" si="108"/>
        <v>Waikato Region</v>
      </c>
      <c r="BG160" s="188" t="str">
        <f t="shared" si="109"/>
        <v>Combined</v>
      </c>
      <c r="BH160" s="188" t="str">
        <f t="shared" si="110"/>
        <v>2019/20</v>
      </c>
      <c r="BI160" s="188" t="str">
        <f t="shared" si="111"/>
        <v>URBAN</v>
      </c>
      <c r="BJ160" s="188" t="str">
        <f t="shared" si="112"/>
        <v>Activity Streets</v>
      </c>
      <c r="BK160" s="188">
        <f t="shared" si="113"/>
        <v>121.57000000000001</v>
      </c>
      <c r="BL160" s="188">
        <f t="shared" si="114"/>
        <v>4.5000000000000005E-3</v>
      </c>
      <c r="BM160" s="188">
        <f t="shared" si="115"/>
        <v>121.23</v>
      </c>
      <c r="BN160" s="188">
        <f t="shared" si="116"/>
        <v>0.34</v>
      </c>
      <c r="BO160" s="188">
        <f t="shared" si="117"/>
        <v>239.51999999999998</v>
      </c>
      <c r="BP160" s="188">
        <f t="shared" si="118"/>
        <v>142.98000000000002</v>
      </c>
      <c r="BQ160" s="253" t="str">
        <f>INDEX(pMenus!$D$10:$D$23,MATCH(BJ160,pMenus!$B$10:$B$23,0))</f>
        <v>Activity Streets</v>
      </c>
      <c r="BR160" s="226">
        <f t="shared" si="98"/>
        <v>1635.4627062343868</v>
      </c>
      <c r="BS160" s="238">
        <f t="shared" si="99"/>
        <v>3222.226103456941</v>
      </c>
    </row>
    <row r="161" spans="1:71">
      <c r="A161" s="202"/>
      <c r="B161" s="210" t="str">
        <f t="shared" si="100"/>
        <v>Rural Connectors Local LTA Roads Waikato Region</v>
      </c>
      <c r="C161" s="193">
        <f t="shared" si="94"/>
        <v>0.82</v>
      </c>
      <c r="D161" s="193">
        <f t="shared" si="95"/>
        <v>0.44</v>
      </c>
      <c r="E161" s="194">
        <f t="shared" si="93"/>
        <v>1470.0968927497495</v>
      </c>
      <c r="F161" s="202"/>
      <c r="AA161" s="185" t="s">
        <v>412</v>
      </c>
      <c r="AB161" s="185" t="s">
        <v>432</v>
      </c>
      <c r="AC161" s="185" t="s">
        <v>401</v>
      </c>
      <c r="AD161" s="185" t="s">
        <v>331</v>
      </c>
      <c r="AE161" s="185" t="s">
        <v>407</v>
      </c>
      <c r="AF161" s="185" t="s">
        <v>417</v>
      </c>
      <c r="AG161" s="185">
        <v>0.62</v>
      </c>
      <c r="AH161" s="185">
        <v>1E-4</v>
      </c>
      <c r="AI161" s="185">
        <v>0.62</v>
      </c>
      <c r="AJ161" s="185">
        <v>0</v>
      </c>
      <c r="AK161" s="185">
        <v>0.82</v>
      </c>
      <c r="AL161" s="185">
        <v>0.44</v>
      </c>
      <c r="AM161" s="186">
        <v>256</v>
      </c>
      <c r="AN161" s="186" t="str">
        <f t="shared" si="101"/>
        <v>Waikato RegionCivic Spaces</v>
      </c>
      <c r="AO161" s="186">
        <f t="shared" si="102"/>
        <v>999</v>
      </c>
      <c r="AP161" s="187" t="s">
        <v>1105</v>
      </c>
      <c r="AQ161" s="187" t="str">
        <f t="shared" si="103"/>
        <v>Waikato Region</v>
      </c>
      <c r="AR161" s="187" t="str">
        <f t="shared" si="104"/>
        <v>Combined</v>
      </c>
      <c r="AS161" s="187" t="str">
        <f t="shared" si="105"/>
        <v>2019/20</v>
      </c>
      <c r="AT161" s="187" t="str">
        <f t="shared" si="106"/>
        <v>URBAN</v>
      </c>
      <c r="AU161" s="187" t="str">
        <f t="shared" si="107"/>
        <v>Civic Spaces</v>
      </c>
      <c r="AV161" s="187" cm="1">
        <f t="array" ref="AV161">IF($AO161=999,0,INDEX(AG$198:AG$313,$AO161))</f>
        <v>0</v>
      </c>
      <c r="AW161" s="187" cm="1">
        <f t="array" ref="AW161">IF($AO161=999,0,INDEX(AH$198:AH$313,$AO161))</f>
        <v>0</v>
      </c>
      <c r="AX161" s="187" cm="1">
        <f t="array" ref="AX161">IF($AO161=999,0,INDEX(AI$198:AI$313,$AO161))</f>
        <v>0</v>
      </c>
      <c r="AY161" s="187" cm="1">
        <f t="array" ref="AY161">IF($AO161=999,0,INDEX(AJ$198:AJ$313,$AO161))</f>
        <v>0</v>
      </c>
      <c r="AZ161" s="187" cm="1">
        <f t="array" ref="AZ161">IF($AO161=999,0,INDEX(AK$198:AK$313,$AO161))</f>
        <v>0</v>
      </c>
      <c r="BA161" s="187" cm="1">
        <f t="array" ref="BA161">IF($AO161=999,0,INDEX(AL$198:AL$313,$AO161))</f>
        <v>0</v>
      </c>
      <c r="BB161" s="252" t="str">
        <f>INDEX(pMenus!$C$10:$C$23,MATCH(AU161,pMenus!$B$10:$B$23,0))</f>
        <v>NA</v>
      </c>
      <c r="BC161" s="221">
        <f t="shared" si="96"/>
        <v>0</v>
      </c>
      <c r="BD161" s="237">
        <f t="shared" si="97"/>
        <v>0</v>
      </c>
      <c r="BE161" s="188" t="s">
        <v>591</v>
      </c>
      <c r="BF161" s="188" t="str">
        <f t="shared" si="108"/>
        <v>Waikato Region</v>
      </c>
      <c r="BG161" s="188" t="str">
        <f t="shared" si="109"/>
        <v>Combined</v>
      </c>
      <c r="BH161" s="188" t="str">
        <f t="shared" si="110"/>
        <v>2019/20</v>
      </c>
      <c r="BI161" s="188" t="str">
        <f t="shared" si="111"/>
        <v>URBAN</v>
      </c>
      <c r="BJ161" s="188" t="str">
        <f t="shared" si="112"/>
        <v>Civic Spaces</v>
      </c>
      <c r="BK161" s="188">
        <f t="shared" si="113"/>
        <v>0.62</v>
      </c>
      <c r="BL161" s="188">
        <f t="shared" si="114"/>
        <v>1E-4</v>
      </c>
      <c r="BM161" s="188">
        <f t="shared" si="115"/>
        <v>0.62</v>
      </c>
      <c r="BN161" s="188">
        <f t="shared" si="116"/>
        <v>0</v>
      </c>
      <c r="BO161" s="188">
        <f t="shared" si="117"/>
        <v>0.82</v>
      </c>
      <c r="BP161" s="188">
        <f t="shared" si="118"/>
        <v>0.44</v>
      </c>
      <c r="BQ161" s="253" t="str">
        <f>INDEX(pMenus!$D$10:$D$23,MATCH(BJ161,pMenus!$B$10:$B$23,0))</f>
        <v>Rural Connectors</v>
      </c>
      <c r="BR161" s="226">
        <f t="shared" si="98"/>
        <v>1470.0968927497495</v>
      </c>
      <c r="BS161" s="238">
        <f t="shared" si="99"/>
        <v>1944.321696862572</v>
      </c>
    </row>
    <row r="162" spans="1:71">
      <c r="A162" s="202"/>
      <c r="B162" s="210" t="str">
        <f t="shared" si="100"/>
        <v>Rural Connectors Local LTA Roads Waikato Region</v>
      </c>
      <c r="C162" s="193">
        <f t="shared" si="94"/>
        <v>2930.13</v>
      </c>
      <c r="D162" s="193">
        <f t="shared" si="95"/>
        <v>270.83</v>
      </c>
      <c r="E162" s="194">
        <f t="shared" si="93"/>
        <v>253.23108531020804</v>
      </c>
      <c r="F162" s="202"/>
      <c r="AA162" s="185" t="s">
        <v>412</v>
      </c>
      <c r="AB162" s="185" t="s">
        <v>432</v>
      </c>
      <c r="AC162" s="185" t="s">
        <v>401</v>
      </c>
      <c r="AD162" s="185" t="s">
        <v>331</v>
      </c>
      <c r="AE162" s="185" t="s">
        <v>407</v>
      </c>
      <c r="AF162" s="185" t="s">
        <v>418</v>
      </c>
      <c r="AG162" s="185">
        <v>1506.53</v>
      </c>
      <c r="AH162" s="185">
        <v>0.1305</v>
      </c>
      <c r="AI162" s="185">
        <v>1496.45</v>
      </c>
      <c r="AJ162" s="185">
        <v>10.07</v>
      </c>
      <c r="AK162" s="185">
        <v>2930.13</v>
      </c>
      <c r="AL162" s="185">
        <v>270.83</v>
      </c>
      <c r="AM162" s="186">
        <v>257</v>
      </c>
      <c r="AN162" s="186" t="str">
        <f t="shared" si="101"/>
        <v>Waikato RegionLocal Streets</v>
      </c>
      <c r="AO162" s="186">
        <f t="shared" si="102"/>
        <v>999</v>
      </c>
      <c r="AP162" s="187" t="s">
        <v>1105</v>
      </c>
      <c r="AQ162" s="187" t="str">
        <f t="shared" si="103"/>
        <v>Waikato Region</v>
      </c>
      <c r="AR162" s="187" t="str">
        <f t="shared" si="104"/>
        <v>Combined</v>
      </c>
      <c r="AS162" s="187" t="str">
        <f t="shared" si="105"/>
        <v>2019/20</v>
      </c>
      <c r="AT162" s="187" t="str">
        <f t="shared" si="106"/>
        <v>URBAN</v>
      </c>
      <c r="AU162" s="187" t="str">
        <f t="shared" si="107"/>
        <v>Local Streets</v>
      </c>
      <c r="AV162" s="187" cm="1">
        <f t="array" ref="AV162">IF($AO162=999,0,INDEX(AG$198:AG$313,$AO162))</f>
        <v>0</v>
      </c>
      <c r="AW162" s="187" cm="1">
        <f t="array" ref="AW162">IF($AO162=999,0,INDEX(AH$198:AH$313,$AO162))</f>
        <v>0</v>
      </c>
      <c r="AX162" s="187" cm="1">
        <f t="array" ref="AX162">IF($AO162=999,0,INDEX(AI$198:AI$313,$AO162))</f>
        <v>0</v>
      </c>
      <c r="AY162" s="187" cm="1">
        <f t="array" ref="AY162">IF($AO162=999,0,INDEX(AJ$198:AJ$313,$AO162))</f>
        <v>0</v>
      </c>
      <c r="AZ162" s="187" cm="1">
        <f t="array" ref="AZ162">IF($AO162=999,0,INDEX(AK$198:AK$313,$AO162))</f>
        <v>0</v>
      </c>
      <c r="BA162" s="187" cm="1">
        <f t="array" ref="BA162">IF($AO162=999,0,INDEX(AL$198:AL$313,$AO162))</f>
        <v>0</v>
      </c>
      <c r="BB162" s="252" t="str">
        <f>INDEX(pMenus!$C$10:$C$23,MATCH(AU162,pMenus!$B$10:$B$23,0))</f>
        <v>NA</v>
      </c>
      <c r="BC162" s="221">
        <f t="shared" si="96"/>
        <v>0</v>
      </c>
      <c r="BD162" s="237">
        <f t="shared" si="97"/>
        <v>0</v>
      </c>
      <c r="BE162" s="188" t="s">
        <v>591</v>
      </c>
      <c r="BF162" s="188" t="str">
        <f t="shared" si="108"/>
        <v>Waikato Region</v>
      </c>
      <c r="BG162" s="188" t="str">
        <f t="shared" si="109"/>
        <v>Combined</v>
      </c>
      <c r="BH162" s="188" t="str">
        <f t="shared" si="110"/>
        <v>2019/20</v>
      </c>
      <c r="BI162" s="188" t="str">
        <f t="shared" si="111"/>
        <v>URBAN</v>
      </c>
      <c r="BJ162" s="188" t="str">
        <f t="shared" si="112"/>
        <v>Local Streets</v>
      </c>
      <c r="BK162" s="188">
        <f t="shared" si="113"/>
        <v>1506.53</v>
      </c>
      <c r="BL162" s="188">
        <f t="shared" si="114"/>
        <v>0.1305</v>
      </c>
      <c r="BM162" s="188">
        <f t="shared" si="115"/>
        <v>1496.45</v>
      </c>
      <c r="BN162" s="188">
        <f t="shared" si="116"/>
        <v>10.07</v>
      </c>
      <c r="BO162" s="188">
        <f t="shared" si="117"/>
        <v>2930.13</v>
      </c>
      <c r="BP162" s="188">
        <f t="shared" si="118"/>
        <v>270.83</v>
      </c>
      <c r="BQ162" s="253" t="str">
        <f>INDEX(pMenus!$D$10:$D$23,MATCH(BJ162,pMenus!$B$10:$B$23,0))</f>
        <v>Rural Connectors</v>
      </c>
      <c r="BR162" s="226">
        <f t="shared" si="98"/>
        <v>253.23108531020804</v>
      </c>
      <c r="BS162" s="238">
        <f t="shared" si="99"/>
        <v>492.52255182439114</v>
      </c>
    </row>
    <row r="163" spans="1:71">
      <c r="A163" s="202"/>
      <c r="B163" s="210" t="str">
        <f t="shared" si="100"/>
        <v>Urban Connectors Local LTA Roads Waikato Region</v>
      </c>
      <c r="C163" s="193">
        <f t="shared" si="94"/>
        <v>23.84</v>
      </c>
      <c r="D163" s="193">
        <f t="shared" si="95"/>
        <v>32.75</v>
      </c>
      <c r="E163" s="194">
        <f t="shared" si="93"/>
        <v>3763.6756458582327</v>
      </c>
      <c r="F163" s="202"/>
      <c r="AA163" s="185" t="s">
        <v>412</v>
      </c>
      <c r="AB163" s="185" t="s">
        <v>432</v>
      </c>
      <c r="AC163" s="185" t="s">
        <v>401</v>
      </c>
      <c r="AD163" s="185" t="s">
        <v>331</v>
      </c>
      <c r="AE163" s="185" t="s">
        <v>407</v>
      </c>
      <c r="AF163" s="185" t="s">
        <v>409</v>
      </c>
      <c r="AG163" s="185">
        <v>14.86</v>
      </c>
      <c r="AH163" s="185">
        <v>1.2999999999999999E-3</v>
      </c>
      <c r="AI163" s="185">
        <v>14.86</v>
      </c>
      <c r="AJ163" s="185">
        <v>0</v>
      </c>
      <c r="AK163" s="185">
        <v>26.91</v>
      </c>
      <c r="AL163" s="185">
        <v>38.19</v>
      </c>
      <c r="AM163" s="186">
        <v>258</v>
      </c>
      <c r="AN163" s="186" t="str">
        <f t="shared" si="101"/>
        <v>Waikato RegionMain Streets</v>
      </c>
      <c r="AO163" s="186">
        <f t="shared" si="102"/>
        <v>89</v>
      </c>
      <c r="AP163" s="187" t="s">
        <v>1105</v>
      </c>
      <c r="AQ163" s="187" t="str">
        <f t="shared" si="103"/>
        <v>Waikato Region</v>
      </c>
      <c r="AR163" s="187" t="str">
        <f t="shared" si="104"/>
        <v>Combined</v>
      </c>
      <c r="AS163" s="187" t="str">
        <f t="shared" si="105"/>
        <v>2019/20</v>
      </c>
      <c r="AT163" s="187" t="str">
        <f t="shared" si="106"/>
        <v>URBAN</v>
      </c>
      <c r="AU163" s="187" t="str">
        <f t="shared" si="107"/>
        <v>Main Streets</v>
      </c>
      <c r="AV163" s="187" cm="1">
        <f t="array" ref="AV163">IF($AO163=999,0,INDEX(AG$198:AG$313,$AO163))</f>
        <v>1.77</v>
      </c>
      <c r="AW163" s="187" cm="1">
        <f t="array" ref="AW163">IF($AO163=999,0,INDEX(AH$198:AH$313,$AO163))</f>
        <v>1E-3</v>
      </c>
      <c r="AX163" s="187" cm="1">
        <f t="array" ref="AX163">IF($AO163=999,0,INDEX(AI$198:AI$313,$AO163))</f>
        <v>1.77</v>
      </c>
      <c r="AY163" s="187" cm="1">
        <f t="array" ref="AY163">IF($AO163=999,0,INDEX(AJ$198:AJ$313,$AO163))</f>
        <v>0</v>
      </c>
      <c r="AZ163" s="187" cm="1">
        <f t="array" ref="AZ163">IF($AO163=999,0,INDEX(AK$198:AK$313,$AO163))</f>
        <v>3.07</v>
      </c>
      <c r="BA163" s="187" cm="1">
        <f t="array" ref="BA163">IF($AO163=999,0,INDEX(AL$198:AL$313,$AO163))</f>
        <v>5.44</v>
      </c>
      <c r="BB163" s="252" t="str">
        <f>INDEX(pMenus!$C$10:$C$23,MATCH(AU163,pMenus!$B$10:$B$23,0))</f>
        <v>Urban Connectors</v>
      </c>
      <c r="BC163" s="221">
        <f t="shared" si="96"/>
        <v>4854.7588237918881</v>
      </c>
      <c r="BD163" s="237">
        <f t="shared" si="97"/>
        <v>8420.4008977633312</v>
      </c>
      <c r="BE163" s="188" t="s">
        <v>591</v>
      </c>
      <c r="BF163" s="188" t="str">
        <f t="shared" si="108"/>
        <v>Waikato Region</v>
      </c>
      <c r="BG163" s="188" t="str">
        <f t="shared" si="109"/>
        <v>Combined</v>
      </c>
      <c r="BH163" s="188" t="str">
        <f t="shared" si="110"/>
        <v>2019/20</v>
      </c>
      <c r="BI163" s="188" t="str">
        <f t="shared" si="111"/>
        <v>URBAN</v>
      </c>
      <c r="BJ163" s="188" t="str">
        <f t="shared" si="112"/>
        <v>Main Streets</v>
      </c>
      <c r="BK163" s="188">
        <f t="shared" si="113"/>
        <v>13.09</v>
      </c>
      <c r="BL163" s="188">
        <f t="shared" si="114"/>
        <v>2.9999999999999992E-4</v>
      </c>
      <c r="BM163" s="188">
        <f t="shared" si="115"/>
        <v>13.09</v>
      </c>
      <c r="BN163" s="188">
        <f t="shared" si="116"/>
        <v>0</v>
      </c>
      <c r="BO163" s="188">
        <f t="shared" si="117"/>
        <v>23.84</v>
      </c>
      <c r="BP163" s="188">
        <f t="shared" si="118"/>
        <v>32.75</v>
      </c>
      <c r="BQ163" s="253" t="str">
        <f>INDEX(pMenus!$D$10:$D$23,MATCH(BJ163,pMenus!$B$10:$B$23,0))</f>
        <v>Urban Connectors</v>
      </c>
      <c r="BR163" s="226">
        <f t="shared" si="98"/>
        <v>3763.6756458582327</v>
      </c>
      <c r="BS163" s="238">
        <f t="shared" si="99"/>
        <v>6854.5475475370722</v>
      </c>
    </row>
    <row r="164" spans="1:71">
      <c r="A164" s="202"/>
      <c r="B164" s="210" t="str">
        <f t="shared" si="100"/>
        <v>Urban Connectors Local LTA Roads Waikato Region</v>
      </c>
      <c r="C164" s="193">
        <f t="shared" si="94"/>
        <v>57.220000000000006</v>
      </c>
      <c r="D164" s="193">
        <f t="shared" si="95"/>
        <v>138.58999999999997</v>
      </c>
      <c r="E164" s="194">
        <f t="shared" si="93"/>
        <v>6635.7677409469798</v>
      </c>
      <c r="F164" s="202"/>
      <c r="AA164" s="185" t="s">
        <v>412</v>
      </c>
      <c r="AB164" s="185" t="s">
        <v>432</v>
      </c>
      <c r="AC164" s="185" t="s">
        <v>401</v>
      </c>
      <c r="AD164" s="185" t="s">
        <v>331</v>
      </c>
      <c r="AE164" s="185" t="s">
        <v>407</v>
      </c>
      <c r="AF164" s="185" t="s">
        <v>410</v>
      </c>
      <c r="AG164" s="185">
        <v>32.619999999999997</v>
      </c>
      <c r="AH164" s="185">
        <v>2.8E-3</v>
      </c>
      <c r="AI164" s="185">
        <v>32.619999999999997</v>
      </c>
      <c r="AJ164" s="185">
        <v>0</v>
      </c>
      <c r="AK164" s="185">
        <v>63.27</v>
      </c>
      <c r="AL164" s="185">
        <v>161.19999999999999</v>
      </c>
      <c r="AM164" s="186">
        <v>259</v>
      </c>
      <c r="AN164" s="186" t="str">
        <f t="shared" si="101"/>
        <v>Waikato RegionTransit Corridors</v>
      </c>
      <c r="AO164" s="186">
        <f t="shared" si="102"/>
        <v>90</v>
      </c>
      <c r="AP164" s="187" t="s">
        <v>1105</v>
      </c>
      <c r="AQ164" s="187" t="str">
        <f t="shared" si="103"/>
        <v>Waikato Region</v>
      </c>
      <c r="AR164" s="187" t="str">
        <f t="shared" si="104"/>
        <v>Combined</v>
      </c>
      <c r="AS164" s="187" t="str">
        <f t="shared" si="105"/>
        <v>2019/20</v>
      </c>
      <c r="AT164" s="187" t="str">
        <f t="shared" si="106"/>
        <v>URBAN</v>
      </c>
      <c r="AU164" s="187" t="str">
        <f t="shared" si="107"/>
        <v>Transit Corridors</v>
      </c>
      <c r="AV164" s="187" cm="1">
        <f t="array" ref="AV164">IF($AO164=999,0,INDEX(AG$198:AG$313,$AO164))</f>
        <v>2.92</v>
      </c>
      <c r="AW164" s="187" cm="1">
        <f t="array" ref="AW164">IF($AO164=999,0,INDEX(AH$198:AH$313,$AO164))</f>
        <v>1.6000000000000001E-3</v>
      </c>
      <c r="AX164" s="187" cm="1">
        <f t="array" ref="AX164">IF($AO164=999,0,INDEX(AI$198:AI$313,$AO164))</f>
        <v>2.92</v>
      </c>
      <c r="AY164" s="187" cm="1">
        <f t="array" ref="AY164">IF($AO164=999,0,INDEX(AJ$198:AJ$313,$AO164))</f>
        <v>0</v>
      </c>
      <c r="AZ164" s="187" cm="1">
        <f t="array" ref="AZ164">IF($AO164=999,0,INDEX(AK$198:AK$313,$AO164))</f>
        <v>6.05</v>
      </c>
      <c r="BA164" s="187" cm="1">
        <f t="array" ref="BA164">IF($AO164=999,0,INDEX(AL$198:AL$313,$AO164))</f>
        <v>22.61</v>
      </c>
      <c r="BB164" s="252" t="str">
        <f>INDEX(pMenus!$C$10:$C$23,MATCH(AU164,pMenus!$B$10:$B$23,0))</f>
        <v>Transit Corridors</v>
      </c>
      <c r="BC164" s="221">
        <f t="shared" si="96"/>
        <v>10238.876938752404</v>
      </c>
      <c r="BD164" s="237">
        <f t="shared" si="97"/>
        <v>21214.111465565773</v>
      </c>
      <c r="BE164" s="188" t="s">
        <v>591</v>
      </c>
      <c r="BF164" s="188" t="str">
        <f t="shared" si="108"/>
        <v>Waikato Region</v>
      </c>
      <c r="BG164" s="188" t="str">
        <f t="shared" si="109"/>
        <v>Combined</v>
      </c>
      <c r="BH164" s="188" t="str">
        <f t="shared" si="110"/>
        <v>2019/20</v>
      </c>
      <c r="BI164" s="188" t="str">
        <f t="shared" si="111"/>
        <v>URBAN</v>
      </c>
      <c r="BJ164" s="188" t="str">
        <f t="shared" si="112"/>
        <v>Transit Corridors</v>
      </c>
      <c r="BK164" s="188">
        <f t="shared" si="113"/>
        <v>29.699999999999996</v>
      </c>
      <c r="BL164" s="188">
        <f t="shared" si="114"/>
        <v>1.1999999999999999E-3</v>
      </c>
      <c r="BM164" s="188">
        <f t="shared" si="115"/>
        <v>29.699999999999996</v>
      </c>
      <c r="BN164" s="188">
        <f t="shared" si="116"/>
        <v>0</v>
      </c>
      <c r="BO164" s="188">
        <f t="shared" si="117"/>
        <v>57.220000000000006</v>
      </c>
      <c r="BP164" s="188">
        <f t="shared" si="118"/>
        <v>138.58999999999997</v>
      </c>
      <c r="BQ164" s="253" t="str">
        <f>INDEX(pMenus!$D$10:$D$23,MATCH(BJ164,pMenus!$B$10:$B$23,0))</f>
        <v>Urban Connectors</v>
      </c>
      <c r="BR164" s="226">
        <f t="shared" si="98"/>
        <v>6635.7677409469798</v>
      </c>
      <c r="BS164" s="238">
        <f t="shared" si="99"/>
        <v>12784.46566117799</v>
      </c>
    </row>
    <row r="165" spans="1:71">
      <c r="A165" s="202"/>
      <c r="B165" s="210" t="str">
        <f t="shared" si="100"/>
        <v>Urban Connectors Local LTA Roads Waikato Region</v>
      </c>
      <c r="C165" s="193">
        <f t="shared" si="94"/>
        <v>671.9</v>
      </c>
      <c r="D165" s="193">
        <f t="shared" si="95"/>
        <v>744.52</v>
      </c>
      <c r="E165" s="194">
        <f t="shared" si="93"/>
        <v>3035.8398897422362</v>
      </c>
      <c r="F165" s="202"/>
      <c r="AA165" s="185" t="s">
        <v>412</v>
      </c>
      <c r="AB165" s="185" t="s">
        <v>432</v>
      </c>
      <c r="AC165" s="185" t="s">
        <v>401</v>
      </c>
      <c r="AD165" s="185" t="s">
        <v>331</v>
      </c>
      <c r="AE165" s="185" t="s">
        <v>407</v>
      </c>
      <c r="AF165" s="185" t="s">
        <v>411</v>
      </c>
      <c r="AG165" s="185">
        <v>436.33</v>
      </c>
      <c r="AH165" s="185">
        <v>3.78E-2</v>
      </c>
      <c r="AI165" s="185">
        <v>436.33</v>
      </c>
      <c r="AJ165" s="185">
        <v>0</v>
      </c>
      <c r="AK165" s="185">
        <v>863.88</v>
      </c>
      <c r="AL165" s="185">
        <v>1059.32</v>
      </c>
      <c r="AM165" s="186">
        <v>260</v>
      </c>
      <c r="AN165" s="186" t="str">
        <f t="shared" si="101"/>
        <v>Waikato RegionUrban Connectors</v>
      </c>
      <c r="AO165" s="186">
        <f t="shared" si="102"/>
        <v>91</v>
      </c>
      <c r="AP165" s="187" t="s">
        <v>1105</v>
      </c>
      <c r="AQ165" s="187" t="str">
        <f t="shared" si="103"/>
        <v>Waikato Region</v>
      </c>
      <c r="AR165" s="187" t="str">
        <f t="shared" si="104"/>
        <v>Combined</v>
      </c>
      <c r="AS165" s="187" t="str">
        <f t="shared" si="105"/>
        <v>2019/20</v>
      </c>
      <c r="AT165" s="187" t="str">
        <f t="shared" si="106"/>
        <v>URBAN</v>
      </c>
      <c r="AU165" s="187" t="str">
        <f t="shared" si="107"/>
        <v>Urban Connectors</v>
      </c>
      <c r="AV165" s="187" cm="1">
        <f t="array" ref="AV165">IF($AO165=999,0,INDEX(AG$198:AG$313,$AO165))</f>
        <v>95.69</v>
      </c>
      <c r="AW165" s="187" cm="1">
        <f t="array" ref="AW165">IF($AO165=999,0,INDEX(AH$198:AH$313,$AO165))</f>
        <v>5.16E-2</v>
      </c>
      <c r="AX165" s="187" cm="1">
        <f t="array" ref="AX165">IF($AO165=999,0,INDEX(AI$198:AI$313,$AO165))</f>
        <v>95.69</v>
      </c>
      <c r="AY165" s="187" cm="1">
        <f t="array" ref="AY165">IF($AO165=999,0,INDEX(AJ$198:AJ$313,$AO165))</f>
        <v>0</v>
      </c>
      <c r="AZ165" s="187" cm="1">
        <f t="array" ref="AZ165">IF($AO165=999,0,INDEX(AK$198:AK$313,$AO165))</f>
        <v>191.98</v>
      </c>
      <c r="BA165" s="187" cm="1">
        <f t="array" ref="BA165">IF($AO165=999,0,INDEX(AL$198:AL$313,$AO165))</f>
        <v>314.8</v>
      </c>
      <c r="BB165" s="252" t="str">
        <f>INDEX(pMenus!$C$10:$C$23,MATCH(AU165,pMenus!$B$10:$B$23,0))</f>
        <v>Urban Connectors</v>
      </c>
      <c r="BC165" s="221">
        <f t="shared" si="96"/>
        <v>4492.4770987845477</v>
      </c>
      <c r="BD165" s="237">
        <f t="shared" si="97"/>
        <v>9013.1231416517676</v>
      </c>
      <c r="BE165" s="188" t="s">
        <v>591</v>
      </c>
      <c r="BF165" s="188" t="str">
        <f t="shared" si="108"/>
        <v>Waikato Region</v>
      </c>
      <c r="BG165" s="188" t="str">
        <f t="shared" si="109"/>
        <v>Combined</v>
      </c>
      <c r="BH165" s="188" t="str">
        <f t="shared" si="110"/>
        <v>2019/20</v>
      </c>
      <c r="BI165" s="188" t="str">
        <f t="shared" si="111"/>
        <v>URBAN</v>
      </c>
      <c r="BJ165" s="188" t="str">
        <f t="shared" si="112"/>
        <v>Urban Connectors</v>
      </c>
      <c r="BK165" s="188">
        <f t="shared" si="113"/>
        <v>340.64</v>
      </c>
      <c r="BL165" s="188">
        <f t="shared" si="114"/>
        <v>-1.38E-2</v>
      </c>
      <c r="BM165" s="188">
        <f t="shared" si="115"/>
        <v>340.64</v>
      </c>
      <c r="BN165" s="188">
        <f t="shared" si="116"/>
        <v>0</v>
      </c>
      <c r="BO165" s="188">
        <f t="shared" si="117"/>
        <v>671.9</v>
      </c>
      <c r="BP165" s="188">
        <f t="shared" si="118"/>
        <v>744.52</v>
      </c>
      <c r="BQ165" s="253" t="str">
        <f>INDEX(pMenus!$D$10:$D$23,MATCH(BJ165,pMenus!$B$10:$B$23,0))</f>
        <v>Urban Connectors</v>
      </c>
      <c r="BR165" s="226">
        <f t="shared" si="98"/>
        <v>3035.8398897422362</v>
      </c>
      <c r="BS165" s="238">
        <f t="shared" si="99"/>
        <v>5988.0836716704098</v>
      </c>
    </row>
    <row r="166" spans="1:71">
      <c r="A166" s="202"/>
      <c r="B166" s="210" t="str">
        <f t="shared" si="100"/>
        <v>NA Local LTA Roads Wellington Region</v>
      </c>
      <c r="C166" s="193">
        <f t="shared" si="94"/>
        <v>99.02000000000001</v>
      </c>
      <c r="D166" s="193">
        <f t="shared" si="95"/>
        <v>27.599999999999966</v>
      </c>
      <c r="E166" s="194">
        <f t="shared" si="93"/>
        <v>763.64813528745992</v>
      </c>
      <c r="F166" s="202"/>
      <c r="AA166" s="185" t="s">
        <v>412</v>
      </c>
      <c r="AB166" s="185" t="s">
        <v>433</v>
      </c>
      <c r="AC166" s="185" t="s">
        <v>401</v>
      </c>
      <c r="AD166" s="185" t="s">
        <v>331</v>
      </c>
      <c r="AE166" s="185"/>
      <c r="AF166" s="185" t="s">
        <v>402</v>
      </c>
      <c r="AG166" s="185">
        <v>133.53</v>
      </c>
      <c r="AH166" s="185">
        <v>3.0300000000000001E-2</v>
      </c>
      <c r="AI166" s="185">
        <v>121.25</v>
      </c>
      <c r="AJ166" s="185">
        <v>12.28</v>
      </c>
      <c r="AK166" s="185">
        <v>258.12</v>
      </c>
      <c r="AL166" s="185">
        <v>521.27</v>
      </c>
      <c r="AM166" s="186">
        <v>278</v>
      </c>
      <c r="AN166" s="186" t="str">
        <f t="shared" si="101"/>
        <v>Wellington RegionUnclassified</v>
      </c>
      <c r="AO166" s="186">
        <f t="shared" si="102"/>
        <v>100</v>
      </c>
      <c r="AP166" s="187" t="s">
        <v>1105</v>
      </c>
      <c r="AQ166" s="187" t="str">
        <f t="shared" si="103"/>
        <v>Wellington Region</v>
      </c>
      <c r="AR166" s="187" t="str">
        <f t="shared" si="104"/>
        <v>Combined</v>
      </c>
      <c r="AS166" s="187" t="str">
        <f t="shared" si="105"/>
        <v>2019/20</v>
      </c>
      <c r="AT166" s="187">
        <f t="shared" si="106"/>
        <v>0</v>
      </c>
      <c r="AU166" s="187" t="str">
        <f t="shared" si="107"/>
        <v>Unclassified</v>
      </c>
      <c r="AV166" s="187" cm="1">
        <f t="array" ref="AV166">IF($AO166=999,0,INDEX(AG$198:AG$313,$AO166))</f>
        <v>78.42</v>
      </c>
      <c r="AW166" s="187" cm="1">
        <f t="array" ref="AW166">IF($AO166=999,0,INDEX(AH$198:AH$313,$AO166))</f>
        <v>0.21129999999999999</v>
      </c>
      <c r="AX166" s="187" cm="1">
        <f t="array" ref="AX166">IF($AO166=999,0,INDEX(AI$198:AI$313,$AO166))</f>
        <v>78.42</v>
      </c>
      <c r="AY166" s="187" cm="1">
        <f t="array" ref="AY166">IF($AO166=999,0,INDEX(AJ$198:AJ$313,$AO166))</f>
        <v>0</v>
      </c>
      <c r="AZ166" s="187" cm="1">
        <f t="array" ref="AZ166">IF($AO166=999,0,INDEX(AK$198:AK$313,$AO166))</f>
        <v>159.1</v>
      </c>
      <c r="BA166" s="187" cm="1">
        <f t="array" ref="BA166">IF($AO166=999,0,INDEX(AL$198:AL$313,$AO166))</f>
        <v>493.67</v>
      </c>
      <c r="BB166" s="252" t="str">
        <f>INDEX(pMenus!$C$10:$C$23,MATCH(AU166,pMenus!$B$10:$B$23,0))</f>
        <v>NA</v>
      </c>
      <c r="BC166" s="221">
        <f t="shared" si="96"/>
        <v>8501.0719544010408</v>
      </c>
      <c r="BD166" s="237">
        <f t="shared" si="97"/>
        <v>17247.137821285454</v>
      </c>
      <c r="BE166" s="188" t="s">
        <v>591</v>
      </c>
      <c r="BF166" s="188" t="str">
        <f t="shared" si="108"/>
        <v>Wellington Region</v>
      </c>
      <c r="BG166" s="188" t="str">
        <f t="shared" si="109"/>
        <v>Combined</v>
      </c>
      <c r="BH166" s="188" t="str">
        <f t="shared" si="110"/>
        <v>2019/20</v>
      </c>
      <c r="BI166" s="188">
        <f t="shared" si="111"/>
        <v>0</v>
      </c>
      <c r="BJ166" s="188" t="str">
        <f t="shared" si="112"/>
        <v>Unclassified</v>
      </c>
      <c r="BK166" s="188">
        <f t="shared" si="113"/>
        <v>55.11</v>
      </c>
      <c r="BL166" s="188">
        <f t="shared" si="114"/>
        <v>-0.18099999999999999</v>
      </c>
      <c r="BM166" s="188">
        <f t="shared" si="115"/>
        <v>42.83</v>
      </c>
      <c r="BN166" s="188">
        <f t="shared" si="116"/>
        <v>12.28</v>
      </c>
      <c r="BO166" s="188">
        <f t="shared" si="117"/>
        <v>99.02000000000001</v>
      </c>
      <c r="BP166" s="188">
        <f t="shared" si="118"/>
        <v>27.599999999999966</v>
      </c>
      <c r="BQ166" s="253" t="str">
        <f>INDEX(pMenus!$D$10:$D$23,MATCH(BJ166,pMenus!$B$10:$B$23,0))</f>
        <v>NA</v>
      </c>
      <c r="BR166" s="226">
        <f t="shared" si="98"/>
        <v>763.64813528745992</v>
      </c>
      <c r="BS166" s="238">
        <f t="shared" si="99"/>
        <v>1372.1001334814789</v>
      </c>
    </row>
    <row r="167" spans="1:71">
      <c r="A167" s="202"/>
      <c r="B167" s="210" t="str">
        <f t="shared" si="100"/>
        <v>Interregional Connectors Local LTA Roads Wellington Region</v>
      </c>
      <c r="C167" s="193">
        <f t="shared" si="94"/>
        <v>0</v>
      </c>
      <c r="D167" s="193">
        <f t="shared" si="95"/>
        <v>0</v>
      </c>
      <c r="E167" s="194">
        <f t="shared" si="93"/>
        <v>0</v>
      </c>
      <c r="F167" s="202"/>
      <c r="AA167" s="185" t="s">
        <v>412</v>
      </c>
      <c r="AB167" s="185" t="s">
        <v>433</v>
      </c>
      <c r="AC167" s="185" t="s">
        <v>401</v>
      </c>
      <c r="AD167" s="185" t="s">
        <v>331</v>
      </c>
      <c r="AE167" s="185" t="s">
        <v>403</v>
      </c>
      <c r="AF167" s="185" t="s">
        <v>404</v>
      </c>
      <c r="AG167" s="185">
        <v>125.34</v>
      </c>
      <c r="AH167" s="185">
        <v>2.8400000000000002E-2</v>
      </c>
      <c r="AI167" s="185">
        <v>125.34</v>
      </c>
      <c r="AJ167" s="185">
        <v>0</v>
      </c>
      <c r="AK167" s="185">
        <v>255.15</v>
      </c>
      <c r="AL167" s="185">
        <v>310.32</v>
      </c>
      <c r="AM167" s="186">
        <v>279</v>
      </c>
      <c r="AN167" s="186" t="str">
        <f t="shared" si="101"/>
        <v>Wellington RegionInterregional Connectors</v>
      </c>
      <c r="AO167" s="186">
        <f t="shared" si="102"/>
        <v>101</v>
      </c>
      <c r="AP167" s="187" t="s">
        <v>1105</v>
      </c>
      <c r="AQ167" s="187" t="str">
        <f t="shared" si="103"/>
        <v>Wellington Region</v>
      </c>
      <c r="AR167" s="187" t="str">
        <f t="shared" si="104"/>
        <v>Combined</v>
      </c>
      <c r="AS167" s="187" t="str">
        <f t="shared" si="105"/>
        <v>2019/20</v>
      </c>
      <c r="AT167" s="187" t="str">
        <f t="shared" si="106"/>
        <v>RURAL</v>
      </c>
      <c r="AU167" s="187" t="str">
        <f t="shared" si="107"/>
        <v>Interregional Connectors</v>
      </c>
      <c r="AV167" s="187" cm="1">
        <f t="array" ref="AV167">IF($AO167=999,0,INDEX(AG$198:AG$313,$AO167))</f>
        <v>125.34</v>
      </c>
      <c r="AW167" s="187" cm="1">
        <f t="array" ref="AW167">IF($AO167=999,0,INDEX(AH$198:AH$313,$AO167))</f>
        <v>0.33760000000000001</v>
      </c>
      <c r="AX167" s="187" cm="1">
        <f t="array" ref="AX167">IF($AO167=999,0,INDEX(AI$198:AI$313,$AO167))</f>
        <v>125.34</v>
      </c>
      <c r="AY167" s="187" cm="1">
        <f t="array" ref="AY167">IF($AO167=999,0,INDEX(AJ$198:AJ$313,$AO167))</f>
        <v>0</v>
      </c>
      <c r="AZ167" s="187" cm="1">
        <f t="array" ref="AZ167">IF($AO167=999,0,INDEX(AK$198:AK$313,$AO167))</f>
        <v>255.15</v>
      </c>
      <c r="BA167" s="187" cm="1">
        <f t="array" ref="BA167">IF($AO167=999,0,INDEX(AL$198:AL$313,$AO167))</f>
        <v>310.32</v>
      </c>
      <c r="BB167" s="252" t="str">
        <f>INDEX(pMenus!$C$10:$C$23,MATCH(AU167,pMenus!$B$10:$B$23,0))</f>
        <v>Interregional Connectors</v>
      </c>
      <c r="BC167" s="221">
        <f t="shared" si="96"/>
        <v>3332.1253412577616</v>
      </c>
      <c r="BD167" s="237">
        <f t="shared" si="97"/>
        <v>6783.0842573952277</v>
      </c>
      <c r="BE167" s="188" t="s">
        <v>591</v>
      </c>
      <c r="BF167" s="188" t="str">
        <f t="shared" si="108"/>
        <v>Wellington Region</v>
      </c>
      <c r="BG167" s="188" t="str">
        <f t="shared" si="109"/>
        <v>Combined</v>
      </c>
      <c r="BH167" s="188" t="str">
        <f t="shared" si="110"/>
        <v>2019/20</v>
      </c>
      <c r="BI167" s="188" t="str">
        <f t="shared" si="111"/>
        <v>RURAL</v>
      </c>
      <c r="BJ167" s="188" t="str">
        <f t="shared" si="112"/>
        <v>Interregional Connectors</v>
      </c>
      <c r="BK167" s="188">
        <f t="shared" si="113"/>
        <v>0</v>
      </c>
      <c r="BL167" s="188">
        <f t="shared" si="114"/>
        <v>-0.30920000000000003</v>
      </c>
      <c r="BM167" s="188">
        <f t="shared" si="115"/>
        <v>0</v>
      </c>
      <c r="BN167" s="188">
        <f t="shared" si="116"/>
        <v>0</v>
      </c>
      <c r="BO167" s="188">
        <f t="shared" si="117"/>
        <v>0</v>
      </c>
      <c r="BP167" s="188">
        <f t="shared" si="118"/>
        <v>0</v>
      </c>
      <c r="BQ167" s="253" t="str">
        <f>INDEX(pMenus!$D$10:$D$23,MATCH(BJ167,pMenus!$B$10:$B$23,0))</f>
        <v>Interregional Connectors</v>
      </c>
      <c r="BR167" s="226">
        <f t="shared" si="98"/>
        <v>0</v>
      </c>
      <c r="BS167" s="238">
        <f t="shared" si="99"/>
        <v>0</v>
      </c>
    </row>
    <row r="168" spans="1:71">
      <c r="A168" s="202"/>
      <c r="B168" s="210" t="str">
        <f t="shared" si="100"/>
        <v>Rural Connectors Local LTA Roads Wellington Region</v>
      </c>
      <c r="C168" s="193">
        <f t="shared" si="94"/>
        <v>282.16999999999996</v>
      </c>
      <c r="D168" s="193">
        <f t="shared" si="95"/>
        <v>37.129999999999995</v>
      </c>
      <c r="E168" s="194">
        <f t="shared" si="93"/>
        <v>360.51326291689509</v>
      </c>
      <c r="F168" s="202"/>
      <c r="AA168" s="185" t="s">
        <v>412</v>
      </c>
      <c r="AB168" s="185" t="s">
        <v>433</v>
      </c>
      <c r="AC168" s="185" t="s">
        <v>401</v>
      </c>
      <c r="AD168" s="185" t="s">
        <v>331</v>
      </c>
      <c r="AE168" s="185" t="s">
        <v>403</v>
      </c>
      <c r="AF168" s="185" t="s">
        <v>405</v>
      </c>
      <c r="AG168" s="185">
        <v>154.74</v>
      </c>
      <c r="AH168" s="185">
        <v>3.5099999999999999E-2</v>
      </c>
      <c r="AI168" s="185">
        <v>148.88</v>
      </c>
      <c r="AJ168" s="185">
        <v>5.86</v>
      </c>
      <c r="AK168" s="185">
        <v>296.70999999999998</v>
      </c>
      <c r="AL168" s="185">
        <v>62.54</v>
      </c>
      <c r="AM168" s="186">
        <v>280</v>
      </c>
      <c r="AN168" s="186" t="str">
        <f t="shared" si="101"/>
        <v>Wellington RegionPeri-urban Roads</v>
      </c>
      <c r="AO168" s="186">
        <f t="shared" si="102"/>
        <v>102</v>
      </c>
      <c r="AP168" s="187" t="s">
        <v>1105</v>
      </c>
      <c r="AQ168" s="187" t="str">
        <f t="shared" si="103"/>
        <v>Wellington Region</v>
      </c>
      <c r="AR168" s="187" t="str">
        <f t="shared" si="104"/>
        <v>Combined</v>
      </c>
      <c r="AS168" s="187" t="str">
        <f t="shared" si="105"/>
        <v>2019/20</v>
      </c>
      <c r="AT168" s="187" t="str">
        <f t="shared" si="106"/>
        <v>RURAL</v>
      </c>
      <c r="AU168" s="187" t="str">
        <f t="shared" si="107"/>
        <v>Peri-urban Roads</v>
      </c>
      <c r="AV168" s="187" cm="1">
        <f t="array" ref="AV168">IF($AO168=999,0,INDEX(AG$198:AG$313,$AO168))</f>
        <v>7.71</v>
      </c>
      <c r="AW168" s="187" cm="1">
        <f t="array" ref="AW168">IF($AO168=999,0,INDEX(AH$198:AH$313,$AO168))</f>
        <v>2.0799999999999999E-2</v>
      </c>
      <c r="AX168" s="187" cm="1">
        <f t="array" ref="AX168">IF($AO168=999,0,INDEX(AI$198:AI$313,$AO168))</f>
        <v>7.71</v>
      </c>
      <c r="AY168" s="187" cm="1">
        <f t="array" ref="AY168">IF($AO168=999,0,INDEX(AJ$198:AJ$313,$AO168))</f>
        <v>0</v>
      </c>
      <c r="AZ168" s="187" cm="1">
        <f t="array" ref="AZ168">IF($AO168=999,0,INDEX(AK$198:AK$313,$AO168))</f>
        <v>14.54</v>
      </c>
      <c r="BA168" s="187" cm="1">
        <f t="array" ref="BA168">IF($AO168=999,0,INDEX(AL$198:AL$313,$AO168))</f>
        <v>25.41</v>
      </c>
      <c r="BB168" s="252" t="str">
        <f>INDEX(pMenus!$C$10:$C$23,MATCH(AU168,pMenus!$B$10:$B$23,0))</f>
        <v>Interregional Connectors</v>
      </c>
      <c r="BC168" s="221">
        <f t="shared" si="96"/>
        <v>4787.9256090897106</v>
      </c>
      <c r="BD168" s="237">
        <f t="shared" si="97"/>
        <v>9029.3694365971969</v>
      </c>
      <c r="BE168" s="188" t="s">
        <v>591</v>
      </c>
      <c r="BF168" s="188" t="str">
        <f t="shared" si="108"/>
        <v>Wellington Region</v>
      </c>
      <c r="BG168" s="188" t="str">
        <f t="shared" si="109"/>
        <v>Combined</v>
      </c>
      <c r="BH168" s="188" t="str">
        <f t="shared" si="110"/>
        <v>2019/20</v>
      </c>
      <c r="BI168" s="188" t="str">
        <f t="shared" si="111"/>
        <v>RURAL</v>
      </c>
      <c r="BJ168" s="188" t="str">
        <f t="shared" si="112"/>
        <v>Peri-urban Roads</v>
      </c>
      <c r="BK168" s="188">
        <f t="shared" si="113"/>
        <v>147.03</v>
      </c>
      <c r="BL168" s="188">
        <f t="shared" si="114"/>
        <v>1.43E-2</v>
      </c>
      <c r="BM168" s="188">
        <f t="shared" si="115"/>
        <v>141.16999999999999</v>
      </c>
      <c r="BN168" s="188">
        <f t="shared" si="116"/>
        <v>5.86</v>
      </c>
      <c r="BO168" s="188">
        <f t="shared" si="117"/>
        <v>282.16999999999996</v>
      </c>
      <c r="BP168" s="188">
        <f t="shared" si="118"/>
        <v>37.129999999999995</v>
      </c>
      <c r="BQ168" s="253" t="str">
        <f>INDEX(pMenus!$D$10:$D$23,MATCH(BJ168,pMenus!$B$10:$B$23,0))</f>
        <v>Rural Connectors</v>
      </c>
      <c r="BR168" s="226">
        <f t="shared" si="98"/>
        <v>360.51326291689509</v>
      </c>
      <c r="BS168" s="238">
        <f t="shared" si="99"/>
        <v>691.87259332966232</v>
      </c>
    </row>
    <row r="169" spans="1:71">
      <c r="A169" s="202"/>
      <c r="B169" s="210" t="str">
        <f t="shared" si="100"/>
        <v>Rural Connectors Local LTA Roads Wellington Region</v>
      </c>
      <c r="C169" s="193">
        <f t="shared" si="94"/>
        <v>1023.8399999999999</v>
      </c>
      <c r="D169" s="193">
        <f t="shared" si="95"/>
        <v>108.22999999999999</v>
      </c>
      <c r="E169" s="194">
        <f t="shared" si="93"/>
        <v>289.6161001183832</v>
      </c>
      <c r="F169" s="202"/>
      <c r="AA169" s="185" t="s">
        <v>412</v>
      </c>
      <c r="AB169" s="185" t="s">
        <v>433</v>
      </c>
      <c r="AC169" s="185" t="s">
        <v>401</v>
      </c>
      <c r="AD169" s="185" t="s">
        <v>331</v>
      </c>
      <c r="AE169" s="185" t="s">
        <v>403</v>
      </c>
      <c r="AF169" s="185" t="s">
        <v>406</v>
      </c>
      <c r="AG169" s="185">
        <v>528.52</v>
      </c>
      <c r="AH169" s="185">
        <v>0.12</v>
      </c>
      <c r="AI169" s="185">
        <v>522.76</v>
      </c>
      <c r="AJ169" s="185">
        <v>5.76</v>
      </c>
      <c r="AK169" s="185">
        <v>1055.28</v>
      </c>
      <c r="AL169" s="185">
        <v>121.07</v>
      </c>
      <c r="AM169" s="186">
        <v>281</v>
      </c>
      <c r="AN169" s="186" t="str">
        <f t="shared" si="101"/>
        <v>Wellington RegionRural Connectors</v>
      </c>
      <c r="AO169" s="186">
        <f t="shared" si="102"/>
        <v>103</v>
      </c>
      <c r="AP169" s="187" t="s">
        <v>1105</v>
      </c>
      <c r="AQ169" s="187" t="str">
        <f t="shared" si="103"/>
        <v>Wellington Region</v>
      </c>
      <c r="AR169" s="187" t="str">
        <f t="shared" si="104"/>
        <v>Combined</v>
      </c>
      <c r="AS169" s="187" t="str">
        <f t="shared" si="105"/>
        <v>2019/20</v>
      </c>
      <c r="AT169" s="187" t="str">
        <f t="shared" si="106"/>
        <v>RURAL</v>
      </c>
      <c r="AU169" s="187" t="str">
        <f t="shared" si="107"/>
        <v>Rural Connectors</v>
      </c>
      <c r="AV169" s="187" cm="1">
        <f t="array" ref="AV169">IF($AO169=999,0,INDEX(AG$198:AG$313,$AO169))</f>
        <v>15.72</v>
      </c>
      <c r="AW169" s="187" cm="1">
        <f t="array" ref="AW169">IF($AO169=999,0,INDEX(AH$198:AH$313,$AO169))</f>
        <v>4.2299999999999997E-2</v>
      </c>
      <c r="AX169" s="187" cm="1">
        <f t="array" ref="AX169">IF($AO169=999,0,INDEX(AI$198:AI$313,$AO169))</f>
        <v>15.72</v>
      </c>
      <c r="AY169" s="187" cm="1">
        <f t="array" ref="AY169">IF($AO169=999,0,INDEX(AJ$198:AJ$313,$AO169))</f>
        <v>0</v>
      </c>
      <c r="AZ169" s="187" cm="1">
        <f t="array" ref="AZ169">IF($AO169=999,0,INDEX(AK$198:AK$313,$AO169))</f>
        <v>31.44</v>
      </c>
      <c r="BA169" s="187" cm="1">
        <f t="array" ref="BA169">IF($AO169=999,0,INDEX(AL$198:AL$313,$AO169))</f>
        <v>12.84</v>
      </c>
      <c r="BB169" s="252" t="str">
        <f>INDEX(pMenus!$C$10:$C$23,MATCH(AU169,pMenus!$B$10:$B$23,0))</f>
        <v>Rural Connectors</v>
      </c>
      <c r="BC169" s="221">
        <f t="shared" si="96"/>
        <v>1118.8957440133847</v>
      </c>
      <c r="BD169" s="237">
        <f t="shared" si="97"/>
        <v>2237.7914880267695</v>
      </c>
      <c r="BE169" s="188" t="s">
        <v>591</v>
      </c>
      <c r="BF169" s="188" t="str">
        <f t="shared" si="108"/>
        <v>Wellington Region</v>
      </c>
      <c r="BG169" s="188" t="str">
        <f t="shared" si="109"/>
        <v>Combined</v>
      </c>
      <c r="BH169" s="188" t="str">
        <f t="shared" si="110"/>
        <v>2019/20</v>
      </c>
      <c r="BI169" s="188" t="str">
        <f t="shared" si="111"/>
        <v>RURAL</v>
      </c>
      <c r="BJ169" s="188" t="str">
        <f t="shared" si="112"/>
        <v>Rural Connectors</v>
      </c>
      <c r="BK169" s="188">
        <f t="shared" si="113"/>
        <v>512.79999999999995</v>
      </c>
      <c r="BL169" s="188">
        <f t="shared" si="114"/>
        <v>7.7699999999999991E-2</v>
      </c>
      <c r="BM169" s="188">
        <f t="shared" si="115"/>
        <v>507.03999999999996</v>
      </c>
      <c r="BN169" s="188">
        <f t="shared" si="116"/>
        <v>5.76</v>
      </c>
      <c r="BO169" s="188">
        <f t="shared" si="117"/>
        <v>1023.8399999999999</v>
      </c>
      <c r="BP169" s="188">
        <f t="shared" si="118"/>
        <v>108.22999999999999</v>
      </c>
      <c r="BQ169" s="253" t="str">
        <f>INDEX(pMenus!$D$10:$D$23,MATCH(BJ169,pMenus!$B$10:$B$23,0))</f>
        <v>Rural Connectors</v>
      </c>
      <c r="BR169" s="226">
        <f t="shared" si="98"/>
        <v>289.6161001183832</v>
      </c>
      <c r="BS169" s="238">
        <f t="shared" si="99"/>
        <v>578.23819802107153</v>
      </c>
    </row>
    <row r="170" spans="1:71">
      <c r="A170" s="202"/>
      <c r="B170" s="210" t="str">
        <f t="shared" si="100"/>
        <v>Rural Connectors Local LTA Roads Wellington Region</v>
      </c>
      <c r="C170" s="193">
        <f t="shared" si="94"/>
        <v>2313.35</v>
      </c>
      <c r="D170" s="193">
        <f t="shared" si="95"/>
        <v>67.61</v>
      </c>
      <c r="E170" s="194">
        <f t="shared" si="93"/>
        <v>80.071271840546729</v>
      </c>
      <c r="F170" s="202"/>
      <c r="AA170" s="185" t="s">
        <v>412</v>
      </c>
      <c r="AB170" s="185" t="s">
        <v>433</v>
      </c>
      <c r="AC170" s="185" t="s">
        <v>401</v>
      </c>
      <c r="AD170" s="185" t="s">
        <v>331</v>
      </c>
      <c r="AE170" s="185" t="s">
        <v>403</v>
      </c>
      <c r="AF170" s="185" t="s">
        <v>414</v>
      </c>
      <c r="AG170" s="185">
        <v>1383.99</v>
      </c>
      <c r="AH170" s="185">
        <v>0.31409999999999999</v>
      </c>
      <c r="AI170" s="185">
        <v>704.41</v>
      </c>
      <c r="AJ170" s="185">
        <v>679.58</v>
      </c>
      <c r="AK170" s="185">
        <v>2313.35</v>
      </c>
      <c r="AL170" s="185">
        <v>67.61</v>
      </c>
      <c r="AM170" s="186">
        <v>282</v>
      </c>
      <c r="AN170" s="186" t="str">
        <f t="shared" si="101"/>
        <v>Wellington RegionRural Roads</v>
      </c>
      <c r="AO170" s="186">
        <f t="shared" si="102"/>
        <v>999</v>
      </c>
      <c r="AP170" s="187" t="s">
        <v>1105</v>
      </c>
      <c r="AQ170" s="187" t="str">
        <f t="shared" si="103"/>
        <v>Wellington Region</v>
      </c>
      <c r="AR170" s="187" t="str">
        <f t="shared" si="104"/>
        <v>Combined</v>
      </c>
      <c r="AS170" s="187" t="str">
        <f t="shared" si="105"/>
        <v>2019/20</v>
      </c>
      <c r="AT170" s="187" t="str">
        <f t="shared" si="106"/>
        <v>RURAL</v>
      </c>
      <c r="AU170" s="187" t="str">
        <f t="shared" si="107"/>
        <v>Rural Roads</v>
      </c>
      <c r="AV170" s="187" cm="1">
        <f t="array" ref="AV170">IF($AO170=999,0,INDEX(AG$198:AG$313,$AO170))</f>
        <v>0</v>
      </c>
      <c r="AW170" s="187" cm="1">
        <f t="array" ref="AW170">IF($AO170=999,0,INDEX(AH$198:AH$313,$AO170))</f>
        <v>0</v>
      </c>
      <c r="AX170" s="187" cm="1">
        <f t="array" ref="AX170">IF($AO170=999,0,INDEX(AI$198:AI$313,$AO170))</f>
        <v>0</v>
      </c>
      <c r="AY170" s="187" cm="1">
        <f t="array" ref="AY170">IF($AO170=999,0,INDEX(AJ$198:AJ$313,$AO170))</f>
        <v>0</v>
      </c>
      <c r="AZ170" s="187" cm="1">
        <f t="array" ref="AZ170">IF($AO170=999,0,INDEX(AK$198:AK$313,$AO170))</f>
        <v>0</v>
      </c>
      <c r="BA170" s="187" cm="1">
        <f t="array" ref="BA170">IF($AO170=999,0,INDEX(AL$198:AL$313,$AO170))</f>
        <v>0</v>
      </c>
      <c r="BB170" s="252" t="str">
        <f>INDEX(pMenus!$C$10:$C$23,MATCH(AU170,pMenus!$B$10:$B$23,0))</f>
        <v>NA</v>
      </c>
      <c r="BC170" s="221">
        <f t="shared" si="96"/>
        <v>0</v>
      </c>
      <c r="BD170" s="237">
        <f t="shared" si="97"/>
        <v>0</v>
      </c>
      <c r="BE170" s="188" t="s">
        <v>591</v>
      </c>
      <c r="BF170" s="188" t="str">
        <f t="shared" si="108"/>
        <v>Wellington Region</v>
      </c>
      <c r="BG170" s="188" t="str">
        <f t="shared" si="109"/>
        <v>Combined</v>
      </c>
      <c r="BH170" s="188" t="str">
        <f t="shared" si="110"/>
        <v>2019/20</v>
      </c>
      <c r="BI170" s="188" t="str">
        <f t="shared" si="111"/>
        <v>RURAL</v>
      </c>
      <c r="BJ170" s="188" t="str">
        <f t="shared" si="112"/>
        <v>Rural Roads</v>
      </c>
      <c r="BK170" s="188">
        <f t="shared" si="113"/>
        <v>1383.99</v>
      </c>
      <c r="BL170" s="188">
        <f t="shared" si="114"/>
        <v>0.31409999999999999</v>
      </c>
      <c r="BM170" s="188">
        <f t="shared" si="115"/>
        <v>704.41</v>
      </c>
      <c r="BN170" s="188">
        <f t="shared" si="116"/>
        <v>679.58</v>
      </c>
      <c r="BO170" s="188">
        <f t="shared" si="117"/>
        <v>2313.35</v>
      </c>
      <c r="BP170" s="188">
        <f t="shared" si="118"/>
        <v>67.61</v>
      </c>
      <c r="BQ170" s="253" t="str">
        <f>INDEX(pMenus!$D$10:$D$23,MATCH(BJ170,pMenus!$B$10:$B$23,0))</f>
        <v>Rural Connectors</v>
      </c>
      <c r="BR170" s="226">
        <f t="shared" si="98"/>
        <v>80.071271840546729</v>
      </c>
      <c r="BS170" s="238">
        <f t="shared" si="99"/>
        <v>133.83975080190521</v>
      </c>
    </row>
    <row r="171" spans="1:71">
      <c r="A171" s="202"/>
      <c r="B171" s="210" t="str">
        <f t="shared" si="100"/>
        <v>Rural Connectors Local LTA Roads Wellington Region</v>
      </c>
      <c r="C171" s="193">
        <f t="shared" si="94"/>
        <v>43.239999999999995</v>
      </c>
      <c r="D171" s="193">
        <f t="shared" si="95"/>
        <v>4.54</v>
      </c>
      <c r="E171" s="194">
        <f t="shared" si="93"/>
        <v>287.65856069342186</v>
      </c>
      <c r="F171" s="202"/>
      <c r="AA171" s="185" t="s">
        <v>412</v>
      </c>
      <c r="AB171" s="185" t="s">
        <v>433</v>
      </c>
      <c r="AC171" s="185" t="s">
        <v>401</v>
      </c>
      <c r="AD171" s="185" t="s">
        <v>331</v>
      </c>
      <c r="AE171" s="185" t="s">
        <v>403</v>
      </c>
      <c r="AF171" s="185" t="s">
        <v>415</v>
      </c>
      <c r="AG171" s="185">
        <v>21.76</v>
      </c>
      <c r="AH171" s="185">
        <v>4.8999999999999998E-3</v>
      </c>
      <c r="AI171" s="185">
        <v>17.52</v>
      </c>
      <c r="AJ171" s="185">
        <v>4.25</v>
      </c>
      <c r="AK171" s="185">
        <v>43.62</v>
      </c>
      <c r="AL171" s="185">
        <v>5.05</v>
      </c>
      <c r="AM171" s="186">
        <v>283</v>
      </c>
      <c r="AN171" s="186" t="str">
        <f t="shared" si="101"/>
        <v>Wellington RegionStopping Places</v>
      </c>
      <c r="AO171" s="186">
        <f t="shared" si="102"/>
        <v>104</v>
      </c>
      <c r="AP171" s="187" t="s">
        <v>1105</v>
      </c>
      <c r="AQ171" s="187" t="str">
        <f t="shared" si="103"/>
        <v>Wellington Region</v>
      </c>
      <c r="AR171" s="187" t="str">
        <f t="shared" si="104"/>
        <v>Combined</v>
      </c>
      <c r="AS171" s="187" t="str">
        <f t="shared" si="105"/>
        <v>2019/20</v>
      </c>
      <c r="AT171" s="187" t="str">
        <f t="shared" si="106"/>
        <v>RURAL</v>
      </c>
      <c r="AU171" s="187" t="str">
        <f t="shared" si="107"/>
        <v>Stopping Places</v>
      </c>
      <c r="AV171" s="187" cm="1">
        <f t="array" ref="AV171">IF($AO171=999,0,INDEX(AG$198:AG$313,$AO171))</f>
        <v>0.19</v>
      </c>
      <c r="AW171" s="187" cm="1">
        <f t="array" ref="AW171">IF($AO171=999,0,INDEX(AH$198:AH$313,$AO171))</f>
        <v>5.0000000000000001E-4</v>
      </c>
      <c r="AX171" s="187" cm="1">
        <f t="array" ref="AX171">IF($AO171=999,0,INDEX(AI$198:AI$313,$AO171))</f>
        <v>0.19</v>
      </c>
      <c r="AY171" s="187" cm="1">
        <f t="array" ref="AY171">IF($AO171=999,0,INDEX(AJ$198:AJ$313,$AO171))</f>
        <v>0</v>
      </c>
      <c r="AZ171" s="187" cm="1">
        <f t="array" ref="AZ171">IF($AO171=999,0,INDEX(AK$198:AK$313,$AO171))</f>
        <v>0.38</v>
      </c>
      <c r="BA171" s="187" cm="1">
        <f t="array" ref="BA171">IF($AO171=999,0,INDEX(AL$198:AL$313,$AO171))</f>
        <v>0.51</v>
      </c>
      <c r="BB171" s="252" t="str">
        <f>INDEX(pMenus!$C$10:$C$23,MATCH(AU171,pMenus!$B$10:$B$23,0))</f>
        <v>Interregional Connectors</v>
      </c>
      <c r="BC171" s="221">
        <f t="shared" si="96"/>
        <v>3677.0007209805331</v>
      </c>
      <c r="BD171" s="237">
        <f t="shared" si="97"/>
        <v>7354.0014419610661</v>
      </c>
      <c r="BE171" s="188" t="s">
        <v>591</v>
      </c>
      <c r="BF171" s="188" t="str">
        <f t="shared" si="108"/>
        <v>Wellington Region</v>
      </c>
      <c r="BG171" s="188" t="str">
        <f t="shared" si="109"/>
        <v>Combined</v>
      </c>
      <c r="BH171" s="188" t="str">
        <f t="shared" si="110"/>
        <v>2019/20</v>
      </c>
      <c r="BI171" s="188" t="str">
        <f t="shared" si="111"/>
        <v>RURAL</v>
      </c>
      <c r="BJ171" s="188" t="str">
        <f t="shared" si="112"/>
        <v>Stopping Places</v>
      </c>
      <c r="BK171" s="188">
        <f t="shared" si="113"/>
        <v>21.57</v>
      </c>
      <c r="BL171" s="188">
        <f t="shared" si="114"/>
        <v>4.3999999999999994E-3</v>
      </c>
      <c r="BM171" s="188">
        <f t="shared" si="115"/>
        <v>17.329999999999998</v>
      </c>
      <c r="BN171" s="188">
        <f t="shared" si="116"/>
        <v>4.25</v>
      </c>
      <c r="BO171" s="188">
        <f t="shared" si="117"/>
        <v>43.239999999999995</v>
      </c>
      <c r="BP171" s="188">
        <f t="shared" si="118"/>
        <v>4.54</v>
      </c>
      <c r="BQ171" s="253" t="str">
        <f>INDEX(pMenus!$D$10:$D$23,MATCH(BJ171,pMenus!$B$10:$B$23,0))</f>
        <v>Rural Connectors</v>
      </c>
      <c r="BR171" s="226">
        <f t="shared" si="98"/>
        <v>287.65856069342186</v>
      </c>
      <c r="BS171" s="238">
        <f t="shared" si="99"/>
        <v>576.6507262115698</v>
      </c>
    </row>
    <row r="172" spans="1:71">
      <c r="A172" s="202"/>
      <c r="B172" s="210" t="str">
        <f t="shared" si="100"/>
        <v>Activity Streets Local LTA Roads Wellington Region</v>
      </c>
      <c r="C172" s="193">
        <f t="shared" si="94"/>
        <v>312.85999999999996</v>
      </c>
      <c r="D172" s="193">
        <f t="shared" si="95"/>
        <v>275.02000000000004</v>
      </c>
      <c r="E172" s="194">
        <f t="shared" si="93"/>
        <v>2408.3598160672336</v>
      </c>
      <c r="F172" s="202"/>
      <c r="AA172" s="185" t="s">
        <v>412</v>
      </c>
      <c r="AB172" s="185" t="s">
        <v>433</v>
      </c>
      <c r="AC172" s="185" t="s">
        <v>401</v>
      </c>
      <c r="AD172" s="185" t="s">
        <v>331</v>
      </c>
      <c r="AE172" s="185" t="s">
        <v>407</v>
      </c>
      <c r="AF172" s="185" t="s">
        <v>408</v>
      </c>
      <c r="AG172" s="185">
        <v>158.72999999999999</v>
      </c>
      <c r="AH172" s="185">
        <v>3.5999999999999997E-2</v>
      </c>
      <c r="AI172" s="185">
        <v>158.72999999999999</v>
      </c>
      <c r="AJ172" s="185">
        <v>0</v>
      </c>
      <c r="AK172" s="185">
        <v>317.64999999999998</v>
      </c>
      <c r="AL172" s="185">
        <v>286.04000000000002</v>
      </c>
      <c r="AM172" s="186">
        <v>284</v>
      </c>
      <c r="AN172" s="186" t="str">
        <f t="shared" si="101"/>
        <v>Wellington RegionActivity Streets</v>
      </c>
      <c r="AO172" s="186">
        <f t="shared" si="102"/>
        <v>105</v>
      </c>
      <c r="AP172" s="187" t="s">
        <v>1105</v>
      </c>
      <c r="AQ172" s="187" t="str">
        <f t="shared" si="103"/>
        <v>Wellington Region</v>
      </c>
      <c r="AR172" s="187" t="str">
        <f t="shared" si="104"/>
        <v>Combined</v>
      </c>
      <c r="AS172" s="187" t="str">
        <f t="shared" si="105"/>
        <v>2019/20</v>
      </c>
      <c r="AT172" s="187" t="str">
        <f t="shared" si="106"/>
        <v>URBAN</v>
      </c>
      <c r="AU172" s="187" t="str">
        <f t="shared" si="107"/>
        <v>Activity Streets</v>
      </c>
      <c r="AV172" s="187" cm="1">
        <f t="array" ref="AV172">IF($AO172=999,0,INDEX(AG$198:AG$313,$AO172))</f>
        <v>2.39</v>
      </c>
      <c r="AW172" s="187" cm="1">
        <f t="array" ref="AW172">IF($AO172=999,0,INDEX(AH$198:AH$313,$AO172))</f>
        <v>6.4000000000000003E-3</v>
      </c>
      <c r="AX172" s="187" cm="1">
        <f t="array" ref="AX172">IF($AO172=999,0,INDEX(AI$198:AI$313,$AO172))</f>
        <v>2.39</v>
      </c>
      <c r="AY172" s="187" cm="1">
        <f t="array" ref="AY172">IF($AO172=999,0,INDEX(AJ$198:AJ$313,$AO172))</f>
        <v>0</v>
      </c>
      <c r="AZ172" s="187" cm="1">
        <f t="array" ref="AZ172">IF($AO172=999,0,INDEX(AK$198:AK$313,$AO172))</f>
        <v>4.79</v>
      </c>
      <c r="BA172" s="187" cm="1">
        <f t="array" ref="BA172">IF($AO172=999,0,INDEX(AL$198:AL$313,$AO172))</f>
        <v>11.02</v>
      </c>
      <c r="BB172" s="252" t="str">
        <f>INDEX(pMenus!$C$10:$C$23,MATCH(AU172,pMenus!$B$10:$B$23,0))</f>
        <v>Urban Connectors</v>
      </c>
      <c r="BC172" s="221">
        <f t="shared" si="96"/>
        <v>6303.0857665799176</v>
      </c>
      <c r="BD172" s="237">
        <f t="shared" si="97"/>
        <v>12632.544276953058</v>
      </c>
      <c r="BE172" s="188" t="s">
        <v>591</v>
      </c>
      <c r="BF172" s="188" t="str">
        <f t="shared" si="108"/>
        <v>Wellington Region</v>
      </c>
      <c r="BG172" s="188" t="str">
        <f t="shared" si="109"/>
        <v>Combined</v>
      </c>
      <c r="BH172" s="188" t="str">
        <f t="shared" si="110"/>
        <v>2019/20</v>
      </c>
      <c r="BI172" s="188" t="str">
        <f t="shared" si="111"/>
        <v>URBAN</v>
      </c>
      <c r="BJ172" s="188" t="str">
        <f t="shared" si="112"/>
        <v>Activity Streets</v>
      </c>
      <c r="BK172" s="188">
        <f t="shared" si="113"/>
        <v>156.34</v>
      </c>
      <c r="BL172" s="188">
        <f t="shared" si="114"/>
        <v>2.9599999999999998E-2</v>
      </c>
      <c r="BM172" s="188">
        <f t="shared" si="115"/>
        <v>156.34</v>
      </c>
      <c r="BN172" s="188">
        <f t="shared" si="116"/>
        <v>0</v>
      </c>
      <c r="BO172" s="188">
        <f t="shared" si="117"/>
        <v>312.85999999999996</v>
      </c>
      <c r="BP172" s="188">
        <f t="shared" si="118"/>
        <v>275.02000000000004</v>
      </c>
      <c r="BQ172" s="253" t="str">
        <f>INDEX(pMenus!$D$10:$D$23,MATCH(BJ172,pMenus!$B$10:$B$23,0))</f>
        <v>Activity Streets</v>
      </c>
      <c r="BR172" s="226">
        <f t="shared" si="98"/>
        <v>2408.3598160672336</v>
      </c>
      <c r="BS172" s="238">
        <f t="shared" si="99"/>
        <v>4819.4924654905626</v>
      </c>
    </row>
    <row r="173" spans="1:71">
      <c r="A173" s="202"/>
      <c r="B173" s="210" t="str">
        <f t="shared" si="100"/>
        <v>City Hubs Local LTA Roads Wellington Region</v>
      </c>
      <c r="C173" s="193">
        <f t="shared" si="94"/>
        <v>7.84</v>
      </c>
      <c r="D173" s="193">
        <f t="shared" si="95"/>
        <v>5.46</v>
      </c>
      <c r="E173" s="194">
        <f t="shared" si="93"/>
        <v>1908.023483365949</v>
      </c>
      <c r="F173" s="202"/>
      <c r="AA173" s="185" t="s">
        <v>412</v>
      </c>
      <c r="AB173" s="185" t="s">
        <v>433</v>
      </c>
      <c r="AC173" s="185" t="s">
        <v>401</v>
      </c>
      <c r="AD173" s="185" t="s">
        <v>331</v>
      </c>
      <c r="AE173" s="185" t="s">
        <v>407</v>
      </c>
      <c r="AF173" s="185" t="s">
        <v>416</v>
      </c>
      <c r="AG173" s="185">
        <v>3.72</v>
      </c>
      <c r="AH173" s="185">
        <v>8.0000000000000004E-4</v>
      </c>
      <c r="AI173" s="185">
        <v>3.72</v>
      </c>
      <c r="AJ173" s="185">
        <v>0</v>
      </c>
      <c r="AK173" s="185">
        <v>7.84</v>
      </c>
      <c r="AL173" s="185">
        <v>5.46</v>
      </c>
      <c r="AM173" s="186">
        <v>285</v>
      </c>
      <c r="AN173" s="186" t="str">
        <f t="shared" si="101"/>
        <v>Wellington RegionCity Hubs</v>
      </c>
      <c r="AO173" s="186">
        <f t="shared" si="102"/>
        <v>999</v>
      </c>
      <c r="AP173" s="187" t="s">
        <v>1105</v>
      </c>
      <c r="AQ173" s="187" t="str">
        <f t="shared" si="103"/>
        <v>Wellington Region</v>
      </c>
      <c r="AR173" s="187" t="str">
        <f t="shared" si="104"/>
        <v>Combined</v>
      </c>
      <c r="AS173" s="187" t="str">
        <f t="shared" si="105"/>
        <v>2019/20</v>
      </c>
      <c r="AT173" s="187" t="str">
        <f t="shared" si="106"/>
        <v>URBAN</v>
      </c>
      <c r="AU173" s="187" t="str">
        <f t="shared" si="107"/>
        <v>City Hubs</v>
      </c>
      <c r="AV173" s="187" cm="1">
        <f t="array" ref="AV173">IF($AO173=999,0,INDEX(AG$198:AG$313,$AO173))</f>
        <v>0</v>
      </c>
      <c r="AW173" s="187" cm="1">
        <f t="array" ref="AW173">IF($AO173=999,0,INDEX(AH$198:AH$313,$AO173))</f>
        <v>0</v>
      </c>
      <c r="AX173" s="187" cm="1">
        <f t="array" ref="AX173">IF($AO173=999,0,INDEX(AI$198:AI$313,$AO173))</f>
        <v>0</v>
      </c>
      <c r="AY173" s="187" cm="1">
        <f t="array" ref="AY173">IF($AO173=999,0,INDEX(AJ$198:AJ$313,$AO173))</f>
        <v>0</v>
      </c>
      <c r="AZ173" s="187" cm="1">
        <f t="array" ref="AZ173">IF($AO173=999,0,INDEX(AK$198:AK$313,$AO173))</f>
        <v>0</v>
      </c>
      <c r="BA173" s="187" cm="1">
        <f t="array" ref="BA173">IF($AO173=999,0,INDEX(AL$198:AL$313,$AO173))</f>
        <v>0</v>
      </c>
      <c r="BB173" s="252" t="str">
        <f>INDEX(pMenus!$C$10:$C$23,MATCH(AU173,pMenus!$B$10:$B$23,0))</f>
        <v>NA</v>
      </c>
      <c r="BC173" s="221">
        <f t="shared" si="96"/>
        <v>0</v>
      </c>
      <c r="BD173" s="237">
        <f t="shared" si="97"/>
        <v>0</v>
      </c>
      <c r="BE173" s="188" t="s">
        <v>591</v>
      </c>
      <c r="BF173" s="188" t="str">
        <f t="shared" si="108"/>
        <v>Wellington Region</v>
      </c>
      <c r="BG173" s="188" t="str">
        <f t="shared" si="109"/>
        <v>Combined</v>
      </c>
      <c r="BH173" s="188" t="str">
        <f t="shared" si="110"/>
        <v>2019/20</v>
      </c>
      <c r="BI173" s="188" t="str">
        <f t="shared" si="111"/>
        <v>URBAN</v>
      </c>
      <c r="BJ173" s="188" t="str">
        <f t="shared" si="112"/>
        <v>City Hubs</v>
      </c>
      <c r="BK173" s="188">
        <f t="shared" si="113"/>
        <v>3.72</v>
      </c>
      <c r="BL173" s="188">
        <f t="shared" si="114"/>
        <v>8.0000000000000004E-4</v>
      </c>
      <c r="BM173" s="188">
        <f t="shared" si="115"/>
        <v>3.72</v>
      </c>
      <c r="BN173" s="188">
        <f t="shared" si="116"/>
        <v>0</v>
      </c>
      <c r="BO173" s="188">
        <f t="shared" si="117"/>
        <v>7.84</v>
      </c>
      <c r="BP173" s="188">
        <f t="shared" si="118"/>
        <v>5.46</v>
      </c>
      <c r="BQ173" s="253" t="str">
        <f>INDEX(pMenus!$D$10:$D$23,MATCH(BJ173,pMenus!$B$10:$B$23,0))</f>
        <v>City Hubs</v>
      </c>
      <c r="BR173" s="226">
        <f t="shared" si="98"/>
        <v>1908.023483365949</v>
      </c>
      <c r="BS173" s="238">
        <f t="shared" si="99"/>
        <v>4021.2107821475911</v>
      </c>
    </row>
    <row r="174" spans="1:71">
      <c r="A174" s="202"/>
      <c r="B174" s="210" t="str">
        <f t="shared" si="100"/>
        <v>Rural Connectors Local LTA Roads Wellington Region</v>
      </c>
      <c r="C174" s="193">
        <f t="shared" si="94"/>
        <v>1.72</v>
      </c>
      <c r="D174" s="193">
        <f t="shared" si="95"/>
        <v>0.31</v>
      </c>
      <c r="E174" s="194">
        <f t="shared" si="93"/>
        <v>493.78783051927371</v>
      </c>
      <c r="F174" s="202"/>
      <c r="AA174" s="185" t="s">
        <v>412</v>
      </c>
      <c r="AB174" s="185" t="s">
        <v>433</v>
      </c>
      <c r="AC174" s="185" t="s">
        <v>401</v>
      </c>
      <c r="AD174" s="185" t="s">
        <v>331</v>
      </c>
      <c r="AE174" s="185" t="s">
        <v>407</v>
      </c>
      <c r="AF174" s="185" t="s">
        <v>417</v>
      </c>
      <c r="AG174" s="185">
        <v>1.04</v>
      </c>
      <c r="AH174" s="185">
        <v>2.0000000000000001E-4</v>
      </c>
      <c r="AI174" s="185">
        <v>1.04</v>
      </c>
      <c r="AJ174" s="185">
        <v>0</v>
      </c>
      <c r="AK174" s="185">
        <v>1.72</v>
      </c>
      <c r="AL174" s="185">
        <v>0.31</v>
      </c>
      <c r="AM174" s="186">
        <v>286</v>
      </c>
      <c r="AN174" s="186" t="str">
        <f t="shared" si="101"/>
        <v>Wellington RegionCivic Spaces</v>
      </c>
      <c r="AO174" s="186">
        <f t="shared" si="102"/>
        <v>999</v>
      </c>
      <c r="AP174" s="187" t="s">
        <v>1105</v>
      </c>
      <c r="AQ174" s="187" t="str">
        <f t="shared" si="103"/>
        <v>Wellington Region</v>
      </c>
      <c r="AR174" s="187" t="str">
        <f t="shared" si="104"/>
        <v>Combined</v>
      </c>
      <c r="AS174" s="187" t="str">
        <f t="shared" si="105"/>
        <v>2019/20</v>
      </c>
      <c r="AT174" s="187" t="str">
        <f t="shared" si="106"/>
        <v>URBAN</v>
      </c>
      <c r="AU174" s="187" t="str">
        <f t="shared" si="107"/>
        <v>Civic Spaces</v>
      </c>
      <c r="AV174" s="187" cm="1">
        <f t="array" ref="AV174">IF($AO174=999,0,INDEX(AG$198:AG$313,$AO174))</f>
        <v>0</v>
      </c>
      <c r="AW174" s="187" cm="1">
        <f t="array" ref="AW174">IF($AO174=999,0,INDEX(AH$198:AH$313,$AO174))</f>
        <v>0</v>
      </c>
      <c r="AX174" s="187" cm="1">
        <f t="array" ref="AX174">IF($AO174=999,0,INDEX(AI$198:AI$313,$AO174))</f>
        <v>0</v>
      </c>
      <c r="AY174" s="187" cm="1">
        <f t="array" ref="AY174">IF($AO174=999,0,INDEX(AJ$198:AJ$313,$AO174))</f>
        <v>0</v>
      </c>
      <c r="AZ174" s="187" cm="1">
        <f t="array" ref="AZ174">IF($AO174=999,0,INDEX(AK$198:AK$313,$AO174))</f>
        <v>0</v>
      </c>
      <c r="BA174" s="187" cm="1">
        <f t="array" ref="BA174">IF($AO174=999,0,INDEX(AL$198:AL$313,$AO174))</f>
        <v>0</v>
      </c>
      <c r="BB174" s="252" t="str">
        <f>INDEX(pMenus!$C$10:$C$23,MATCH(AU174,pMenus!$B$10:$B$23,0))</f>
        <v>NA</v>
      </c>
      <c r="BC174" s="221">
        <f t="shared" si="96"/>
        <v>0</v>
      </c>
      <c r="BD174" s="237">
        <f t="shared" si="97"/>
        <v>0</v>
      </c>
      <c r="BE174" s="188" t="s">
        <v>591</v>
      </c>
      <c r="BF174" s="188" t="str">
        <f t="shared" si="108"/>
        <v>Wellington Region</v>
      </c>
      <c r="BG174" s="188" t="str">
        <f t="shared" si="109"/>
        <v>Combined</v>
      </c>
      <c r="BH174" s="188" t="str">
        <f t="shared" si="110"/>
        <v>2019/20</v>
      </c>
      <c r="BI174" s="188" t="str">
        <f t="shared" si="111"/>
        <v>URBAN</v>
      </c>
      <c r="BJ174" s="188" t="str">
        <f t="shared" si="112"/>
        <v>Civic Spaces</v>
      </c>
      <c r="BK174" s="188">
        <f t="shared" si="113"/>
        <v>1.04</v>
      </c>
      <c r="BL174" s="188">
        <f t="shared" si="114"/>
        <v>2.0000000000000001E-4</v>
      </c>
      <c r="BM174" s="188">
        <f t="shared" si="115"/>
        <v>1.04</v>
      </c>
      <c r="BN174" s="188">
        <f t="shared" si="116"/>
        <v>0</v>
      </c>
      <c r="BO174" s="188">
        <f t="shared" si="117"/>
        <v>1.72</v>
      </c>
      <c r="BP174" s="188">
        <f t="shared" si="118"/>
        <v>0.31</v>
      </c>
      <c r="BQ174" s="253" t="str">
        <f>INDEX(pMenus!$D$10:$D$23,MATCH(BJ174,pMenus!$B$10:$B$23,0))</f>
        <v>Rural Connectors</v>
      </c>
      <c r="BR174" s="226">
        <f t="shared" si="98"/>
        <v>493.78783051927371</v>
      </c>
      <c r="BS174" s="238">
        <f t="shared" si="99"/>
        <v>816.64910432033719</v>
      </c>
    </row>
    <row r="175" spans="1:71">
      <c r="A175" s="202"/>
      <c r="B175" s="210" t="str">
        <f t="shared" si="100"/>
        <v>Rural Connectors Local LTA Roads Wellington Region</v>
      </c>
      <c r="C175" s="193">
        <f t="shared" si="94"/>
        <v>2600.77</v>
      </c>
      <c r="D175" s="193">
        <f t="shared" si="95"/>
        <v>282.54000000000002</v>
      </c>
      <c r="E175" s="194">
        <f t="shared" si="93"/>
        <v>297.63577393649649</v>
      </c>
      <c r="F175" s="202"/>
      <c r="AA175" s="185" t="s">
        <v>412</v>
      </c>
      <c r="AB175" s="185" t="s">
        <v>433</v>
      </c>
      <c r="AC175" s="185" t="s">
        <v>401</v>
      </c>
      <c r="AD175" s="185" t="s">
        <v>331</v>
      </c>
      <c r="AE175" s="185" t="s">
        <v>407</v>
      </c>
      <c r="AF175" s="185" t="s">
        <v>418</v>
      </c>
      <c r="AG175" s="185">
        <v>1319.57</v>
      </c>
      <c r="AH175" s="185">
        <v>0.29949999999999999</v>
      </c>
      <c r="AI175" s="185">
        <v>1318.53</v>
      </c>
      <c r="AJ175" s="185">
        <v>1.04</v>
      </c>
      <c r="AK175" s="185">
        <v>2600.77</v>
      </c>
      <c r="AL175" s="185">
        <v>282.54000000000002</v>
      </c>
      <c r="AM175" s="186">
        <v>287</v>
      </c>
      <c r="AN175" s="186" t="str">
        <f t="shared" si="101"/>
        <v>Wellington RegionLocal Streets</v>
      </c>
      <c r="AO175" s="186">
        <f t="shared" si="102"/>
        <v>999</v>
      </c>
      <c r="AP175" s="187" t="s">
        <v>1105</v>
      </c>
      <c r="AQ175" s="187" t="str">
        <f t="shared" si="103"/>
        <v>Wellington Region</v>
      </c>
      <c r="AR175" s="187" t="str">
        <f t="shared" si="104"/>
        <v>Combined</v>
      </c>
      <c r="AS175" s="187" t="str">
        <f t="shared" si="105"/>
        <v>2019/20</v>
      </c>
      <c r="AT175" s="187" t="str">
        <f t="shared" si="106"/>
        <v>URBAN</v>
      </c>
      <c r="AU175" s="187" t="str">
        <f t="shared" si="107"/>
        <v>Local Streets</v>
      </c>
      <c r="AV175" s="187" cm="1">
        <f t="array" ref="AV175">IF($AO175=999,0,INDEX(AG$198:AG$313,$AO175))</f>
        <v>0</v>
      </c>
      <c r="AW175" s="187" cm="1">
        <f t="array" ref="AW175">IF($AO175=999,0,INDEX(AH$198:AH$313,$AO175))</f>
        <v>0</v>
      </c>
      <c r="AX175" s="187" cm="1">
        <f t="array" ref="AX175">IF($AO175=999,0,INDEX(AI$198:AI$313,$AO175))</f>
        <v>0</v>
      </c>
      <c r="AY175" s="187" cm="1">
        <f t="array" ref="AY175">IF($AO175=999,0,INDEX(AJ$198:AJ$313,$AO175))</f>
        <v>0</v>
      </c>
      <c r="AZ175" s="187" cm="1">
        <f t="array" ref="AZ175">IF($AO175=999,0,INDEX(AK$198:AK$313,$AO175))</f>
        <v>0</v>
      </c>
      <c r="BA175" s="187" cm="1">
        <f t="array" ref="BA175">IF($AO175=999,0,INDEX(AL$198:AL$313,$AO175))</f>
        <v>0</v>
      </c>
      <c r="BB175" s="252" t="str">
        <f>INDEX(pMenus!$C$10:$C$23,MATCH(AU175,pMenus!$B$10:$B$23,0))</f>
        <v>NA</v>
      </c>
      <c r="BC175" s="221">
        <f t="shared" si="96"/>
        <v>0</v>
      </c>
      <c r="BD175" s="237">
        <f t="shared" si="97"/>
        <v>0</v>
      </c>
      <c r="BE175" s="188" t="s">
        <v>591</v>
      </c>
      <c r="BF175" s="188" t="str">
        <f t="shared" si="108"/>
        <v>Wellington Region</v>
      </c>
      <c r="BG175" s="188" t="str">
        <f t="shared" si="109"/>
        <v>Combined</v>
      </c>
      <c r="BH175" s="188" t="str">
        <f t="shared" si="110"/>
        <v>2019/20</v>
      </c>
      <c r="BI175" s="188" t="str">
        <f t="shared" si="111"/>
        <v>URBAN</v>
      </c>
      <c r="BJ175" s="188" t="str">
        <f t="shared" si="112"/>
        <v>Local Streets</v>
      </c>
      <c r="BK175" s="188">
        <f t="shared" si="113"/>
        <v>1319.57</v>
      </c>
      <c r="BL175" s="188">
        <f t="shared" si="114"/>
        <v>0.29949999999999999</v>
      </c>
      <c r="BM175" s="188">
        <f t="shared" si="115"/>
        <v>1318.53</v>
      </c>
      <c r="BN175" s="188">
        <f t="shared" si="116"/>
        <v>1.04</v>
      </c>
      <c r="BO175" s="188">
        <f t="shared" si="117"/>
        <v>2600.77</v>
      </c>
      <c r="BP175" s="188">
        <f t="shared" si="118"/>
        <v>282.54000000000002</v>
      </c>
      <c r="BQ175" s="253" t="str">
        <f>INDEX(pMenus!$D$10:$D$23,MATCH(BJ175,pMenus!$B$10:$B$23,0))</f>
        <v>Rural Connectors</v>
      </c>
      <c r="BR175" s="226">
        <f t="shared" si="98"/>
        <v>297.63577393649649</v>
      </c>
      <c r="BS175" s="238">
        <f t="shared" si="99"/>
        <v>586.61699779535911</v>
      </c>
    </row>
    <row r="176" spans="1:71">
      <c r="A176" s="202"/>
      <c r="B176" s="210" t="str">
        <f t="shared" ref="B176:B197" si="119">CONCATENATE(BQ176,$E$14, BE176,$E$14, BF176)</f>
        <v>Urban Connectors Local LTA Roads Wellington Region</v>
      </c>
      <c r="C176" s="193">
        <f t="shared" si="94"/>
        <v>67.14</v>
      </c>
      <c r="D176" s="193">
        <f t="shared" si="95"/>
        <v>85.93</v>
      </c>
      <c r="E176" s="194">
        <f t="shared" si="93"/>
        <v>3506.4738983355164</v>
      </c>
      <c r="F176" s="202"/>
      <c r="AA176" s="185" t="s">
        <v>412</v>
      </c>
      <c r="AB176" s="185" t="s">
        <v>433</v>
      </c>
      <c r="AC176" s="185" t="s">
        <v>401</v>
      </c>
      <c r="AD176" s="185" t="s">
        <v>331</v>
      </c>
      <c r="AE176" s="185" t="s">
        <v>407</v>
      </c>
      <c r="AF176" s="185" t="s">
        <v>409</v>
      </c>
      <c r="AG176" s="185">
        <v>31.19</v>
      </c>
      <c r="AH176" s="185">
        <v>7.1000000000000004E-3</v>
      </c>
      <c r="AI176" s="185">
        <v>31.19</v>
      </c>
      <c r="AJ176" s="185">
        <v>0</v>
      </c>
      <c r="AK176" s="185">
        <v>69.959999999999994</v>
      </c>
      <c r="AL176" s="185">
        <v>90.87</v>
      </c>
      <c r="AM176" s="186">
        <v>288</v>
      </c>
      <c r="AN176" s="186" t="str">
        <f t="shared" si="101"/>
        <v>Wellington RegionMain Streets</v>
      </c>
      <c r="AO176" s="186">
        <f t="shared" ref="AO176:AO189" si="120">IFERROR(MATCH($AN176,$AN$198:$AN$313,0),999)</f>
        <v>106</v>
      </c>
      <c r="AP176" s="187" t="s">
        <v>1105</v>
      </c>
      <c r="AQ176" s="187" t="str">
        <f t="shared" ref="AQ176:AQ197" si="121">AB176</f>
        <v>Wellington Region</v>
      </c>
      <c r="AR176" s="187" t="str">
        <f t="shared" ref="AR176:AR197" si="122">AC176</f>
        <v>Combined</v>
      </c>
      <c r="AS176" s="187" t="str">
        <f t="shared" ref="AS176:AS197" si="123">AD176</f>
        <v>2019/20</v>
      </c>
      <c r="AT176" s="187" t="str">
        <f t="shared" ref="AT176:AT197" si="124">AE176</f>
        <v>URBAN</v>
      </c>
      <c r="AU176" s="187" t="str">
        <f t="shared" ref="AU176:AU197" si="125">AF176</f>
        <v>Main Streets</v>
      </c>
      <c r="AV176" s="187" cm="1">
        <f t="array" ref="AV176">IF($AO176=999,0,INDEX(AG$198:AG$313,$AO176))</f>
        <v>1.41</v>
      </c>
      <c r="AW176" s="187" cm="1">
        <f t="array" ref="AW176">IF($AO176=999,0,INDEX(AH$198:AH$313,$AO176))</f>
        <v>3.8E-3</v>
      </c>
      <c r="AX176" s="187" cm="1">
        <f t="array" ref="AX176">IF($AO176=999,0,INDEX(AI$198:AI$313,$AO176))</f>
        <v>1.41</v>
      </c>
      <c r="AY176" s="187" cm="1">
        <f t="array" ref="AY176">IF($AO176=999,0,INDEX(AJ$198:AJ$313,$AO176))</f>
        <v>0</v>
      </c>
      <c r="AZ176" s="187" cm="1">
        <f t="array" ref="AZ176">IF($AO176=999,0,INDEX(AK$198:AK$313,$AO176))</f>
        <v>2.82</v>
      </c>
      <c r="BA176" s="187" cm="1">
        <f t="array" ref="BA176">IF($AO176=999,0,INDEX(AL$198:AL$313,$AO176))</f>
        <v>4.9400000000000004</v>
      </c>
      <c r="BB176" s="252" t="str">
        <f>INDEX(pMenus!$C$10:$C$23,MATCH(AU176,pMenus!$B$10:$B$23,0))</f>
        <v>Urban Connectors</v>
      </c>
      <c r="BC176" s="221">
        <f t="shared" si="96"/>
        <v>4799.3782182065488</v>
      </c>
      <c r="BD176" s="237">
        <f t="shared" si="97"/>
        <v>9598.7564364130976</v>
      </c>
      <c r="BE176" s="188" t="s">
        <v>591</v>
      </c>
      <c r="BF176" s="188" t="str">
        <f t="shared" ref="BF176:BF197" si="126">AB176</f>
        <v>Wellington Region</v>
      </c>
      <c r="BG176" s="188" t="str">
        <f t="shared" ref="BG176:BG197" si="127">AC176</f>
        <v>Combined</v>
      </c>
      <c r="BH176" s="188" t="str">
        <f t="shared" ref="BH176:BH197" si="128">AD176</f>
        <v>2019/20</v>
      </c>
      <c r="BI176" s="188" t="str">
        <f t="shared" ref="BI176:BI197" si="129">AE176</f>
        <v>URBAN</v>
      </c>
      <c r="BJ176" s="188" t="str">
        <f t="shared" ref="BJ176:BJ197" si="130">AF176</f>
        <v>Main Streets</v>
      </c>
      <c r="BK176" s="188">
        <f t="shared" ref="BK176:BK197" si="131">AG176-AV176</f>
        <v>29.78</v>
      </c>
      <c r="BL176" s="188">
        <f t="shared" ref="BL176:BL197" si="132">AH176-AW176</f>
        <v>3.3000000000000004E-3</v>
      </c>
      <c r="BM176" s="188">
        <f t="shared" ref="BM176:BM197" si="133">AI176-AX176</f>
        <v>29.78</v>
      </c>
      <c r="BN176" s="188">
        <f t="shared" ref="BN176:BN197" si="134">AJ176-AY176</f>
        <v>0</v>
      </c>
      <c r="BO176" s="188">
        <f t="shared" ref="BO176:BO197" si="135">AK176-AZ176</f>
        <v>67.14</v>
      </c>
      <c r="BP176" s="188">
        <f t="shared" ref="BP176:BP197" si="136">AL176-BA176</f>
        <v>85.93</v>
      </c>
      <c r="BQ176" s="253" t="str">
        <f>INDEX(pMenus!$D$10:$D$23,MATCH(BJ176,pMenus!$B$10:$B$23,0))</f>
        <v>Urban Connectors</v>
      </c>
      <c r="BR176" s="226">
        <f t="shared" si="98"/>
        <v>3506.4738983355164</v>
      </c>
      <c r="BS176" s="238">
        <f t="shared" si="99"/>
        <v>7905.4619722715443</v>
      </c>
    </row>
    <row r="177" spans="1:71">
      <c r="A177" s="202"/>
      <c r="B177" s="210" t="str">
        <f t="shared" si="119"/>
        <v>Urban Connectors Local LTA Roads Wellington Region</v>
      </c>
      <c r="C177" s="193">
        <f t="shared" si="94"/>
        <v>25.810000000000002</v>
      </c>
      <c r="D177" s="193">
        <f t="shared" si="95"/>
        <v>41.529999999999973</v>
      </c>
      <c r="E177" s="194">
        <f t="shared" si="93"/>
        <v>4408.4006942196102</v>
      </c>
      <c r="F177" s="202"/>
      <c r="AA177" s="185" t="s">
        <v>412</v>
      </c>
      <c r="AB177" s="185" t="s">
        <v>433</v>
      </c>
      <c r="AC177" s="185" t="s">
        <v>401</v>
      </c>
      <c r="AD177" s="185" t="s">
        <v>331</v>
      </c>
      <c r="AE177" s="185" t="s">
        <v>407</v>
      </c>
      <c r="AF177" s="185" t="s">
        <v>410</v>
      </c>
      <c r="AG177" s="185">
        <v>126.63</v>
      </c>
      <c r="AH177" s="185">
        <v>2.87E-2</v>
      </c>
      <c r="AI177" s="185">
        <v>126.63</v>
      </c>
      <c r="AJ177" s="185">
        <v>0</v>
      </c>
      <c r="AK177" s="185">
        <v>251.6</v>
      </c>
      <c r="AL177" s="185">
        <v>952.89</v>
      </c>
      <c r="AM177" s="186">
        <v>289</v>
      </c>
      <c r="AN177" s="186" t="str">
        <f t="shared" si="101"/>
        <v>Wellington RegionTransit Corridors</v>
      </c>
      <c r="AO177" s="186">
        <f t="shared" si="120"/>
        <v>107</v>
      </c>
      <c r="AP177" s="187" t="s">
        <v>1105</v>
      </c>
      <c r="AQ177" s="187" t="str">
        <f t="shared" si="121"/>
        <v>Wellington Region</v>
      </c>
      <c r="AR177" s="187" t="str">
        <f t="shared" si="122"/>
        <v>Combined</v>
      </c>
      <c r="AS177" s="187" t="str">
        <f t="shared" si="123"/>
        <v>2019/20</v>
      </c>
      <c r="AT177" s="187" t="str">
        <f t="shared" si="124"/>
        <v>URBAN</v>
      </c>
      <c r="AU177" s="187" t="str">
        <f t="shared" si="125"/>
        <v>Transit Corridors</v>
      </c>
      <c r="AV177" s="187" cm="1">
        <f t="array" ref="AV177">IF($AO177=999,0,INDEX(AG$198:AG$313,$AO177))</f>
        <v>114.77</v>
      </c>
      <c r="AW177" s="187" cm="1">
        <f t="array" ref="AW177">IF($AO177=999,0,INDEX(AH$198:AH$313,$AO177))</f>
        <v>0.30919999999999997</v>
      </c>
      <c r="AX177" s="187" cm="1">
        <f t="array" ref="AX177">IF($AO177=999,0,INDEX(AI$198:AI$313,$AO177))</f>
        <v>114.77</v>
      </c>
      <c r="AY177" s="187" cm="1">
        <f t="array" ref="AY177">IF($AO177=999,0,INDEX(AJ$198:AJ$313,$AO177))</f>
        <v>0</v>
      </c>
      <c r="AZ177" s="187" cm="1">
        <f t="array" ref="AZ177">IF($AO177=999,0,INDEX(AK$198:AK$313,$AO177))</f>
        <v>225.79</v>
      </c>
      <c r="BA177" s="187" cm="1">
        <f t="array" ref="BA177">IF($AO177=999,0,INDEX(AL$198:AL$313,$AO177))</f>
        <v>911.36</v>
      </c>
      <c r="BB177" s="252" t="str">
        <f>INDEX(pMenus!$C$10:$C$23,MATCH(AU177,pMenus!$B$10:$B$23,0))</f>
        <v>Transit Corridors</v>
      </c>
      <c r="BC177" s="221">
        <f t="shared" si="96"/>
        <v>11058.402552499081</v>
      </c>
      <c r="BD177" s="237">
        <f t="shared" si="97"/>
        <v>21755.482376307111</v>
      </c>
      <c r="BE177" s="188" t="s">
        <v>591</v>
      </c>
      <c r="BF177" s="188" t="str">
        <f t="shared" si="126"/>
        <v>Wellington Region</v>
      </c>
      <c r="BG177" s="188" t="str">
        <f t="shared" si="127"/>
        <v>Combined</v>
      </c>
      <c r="BH177" s="188" t="str">
        <f t="shared" si="128"/>
        <v>2019/20</v>
      </c>
      <c r="BI177" s="188" t="str">
        <f t="shared" si="129"/>
        <v>URBAN</v>
      </c>
      <c r="BJ177" s="188" t="str">
        <f t="shared" si="130"/>
        <v>Transit Corridors</v>
      </c>
      <c r="BK177" s="188">
        <f t="shared" si="131"/>
        <v>11.86</v>
      </c>
      <c r="BL177" s="188">
        <f t="shared" si="132"/>
        <v>-0.28049999999999997</v>
      </c>
      <c r="BM177" s="188">
        <f t="shared" si="133"/>
        <v>11.86</v>
      </c>
      <c r="BN177" s="188">
        <f t="shared" si="134"/>
        <v>0</v>
      </c>
      <c r="BO177" s="188">
        <f t="shared" si="135"/>
        <v>25.810000000000002</v>
      </c>
      <c r="BP177" s="188">
        <f t="shared" si="136"/>
        <v>41.529999999999973</v>
      </c>
      <c r="BQ177" s="253" t="str">
        <f>INDEX(pMenus!$D$10:$D$23,MATCH(BJ177,pMenus!$B$10:$B$23,0))</f>
        <v>Urban Connectors</v>
      </c>
      <c r="BR177" s="226">
        <f t="shared" si="98"/>
        <v>4408.4006942196102</v>
      </c>
      <c r="BS177" s="238">
        <f t="shared" si="99"/>
        <v>9593.661207235089</v>
      </c>
    </row>
    <row r="178" spans="1:71">
      <c r="A178" s="202"/>
      <c r="B178" s="210" t="str">
        <f t="shared" si="119"/>
        <v>Urban Connectors Local LTA Roads Wellington Region</v>
      </c>
      <c r="C178" s="193">
        <f t="shared" si="94"/>
        <v>802.62</v>
      </c>
      <c r="D178" s="193">
        <f t="shared" si="95"/>
        <v>906.06</v>
      </c>
      <c r="E178" s="194">
        <f t="shared" si="93"/>
        <v>3092.8162323186084</v>
      </c>
      <c r="F178" s="202"/>
      <c r="AA178" s="185" t="s">
        <v>412</v>
      </c>
      <c r="AB178" s="185" t="s">
        <v>433</v>
      </c>
      <c r="AC178" s="185" t="s">
        <v>401</v>
      </c>
      <c r="AD178" s="185" t="s">
        <v>331</v>
      </c>
      <c r="AE178" s="185" t="s">
        <v>407</v>
      </c>
      <c r="AF178" s="185" t="s">
        <v>411</v>
      </c>
      <c r="AG178" s="185">
        <v>416.95</v>
      </c>
      <c r="AH178" s="185">
        <v>9.4600000000000004E-2</v>
      </c>
      <c r="AI178" s="185">
        <v>416.95</v>
      </c>
      <c r="AJ178" s="185">
        <v>0</v>
      </c>
      <c r="AK178" s="185">
        <v>860.11</v>
      </c>
      <c r="AL178" s="185">
        <v>1061.53</v>
      </c>
      <c r="AM178" s="186">
        <v>290</v>
      </c>
      <c r="AN178" s="186" t="str">
        <f t="shared" si="101"/>
        <v>Wellington RegionUrban Connectors</v>
      </c>
      <c r="AO178" s="186">
        <f t="shared" si="120"/>
        <v>108</v>
      </c>
      <c r="AP178" s="187" t="s">
        <v>1105</v>
      </c>
      <c r="AQ178" s="187" t="str">
        <f t="shared" si="121"/>
        <v>Wellington Region</v>
      </c>
      <c r="AR178" s="187" t="str">
        <f t="shared" si="122"/>
        <v>Combined</v>
      </c>
      <c r="AS178" s="187" t="str">
        <f t="shared" si="123"/>
        <v>2019/20</v>
      </c>
      <c r="AT178" s="187" t="str">
        <f t="shared" si="124"/>
        <v>URBAN</v>
      </c>
      <c r="AU178" s="187" t="str">
        <f t="shared" si="125"/>
        <v>Urban Connectors</v>
      </c>
      <c r="AV178" s="187" cm="1">
        <f t="array" ref="AV178">IF($AO178=999,0,INDEX(AG$198:AG$313,$AO178))</f>
        <v>25.27</v>
      </c>
      <c r="AW178" s="187" cm="1">
        <f t="array" ref="AW178">IF($AO178=999,0,INDEX(AH$198:AH$313,$AO178))</f>
        <v>6.8099999999999994E-2</v>
      </c>
      <c r="AX178" s="187" cm="1">
        <f t="array" ref="AX178">IF($AO178=999,0,INDEX(AI$198:AI$313,$AO178))</f>
        <v>25.27</v>
      </c>
      <c r="AY178" s="187" cm="1">
        <f t="array" ref="AY178">IF($AO178=999,0,INDEX(AJ$198:AJ$313,$AO178))</f>
        <v>0</v>
      </c>
      <c r="AZ178" s="187" cm="1">
        <f t="array" ref="AZ178">IF($AO178=999,0,INDEX(AK$198:AK$313,$AO178))</f>
        <v>57.49</v>
      </c>
      <c r="BA178" s="187" cm="1">
        <f t="array" ref="BA178">IF($AO178=999,0,INDEX(AL$198:AL$313,$AO178))</f>
        <v>155.47</v>
      </c>
      <c r="BB178" s="252" t="str">
        <f>INDEX(pMenus!$C$10:$C$23,MATCH(AU178,pMenus!$B$10:$B$23,0))</f>
        <v>Urban Connectors</v>
      </c>
      <c r="BC178" s="221">
        <f t="shared" si="96"/>
        <v>7409.0312311611078</v>
      </c>
      <c r="BD178" s="237">
        <f t="shared" si="97"/>
        <v>16855.765946951011</v>
      </c>
      <c r="BE178" s="188" t="s">
        <v>591</v>
      </c>
      <c r="BF178" s="188" t="str">
        <f t="shared" si="126"/>
        <v>Wellington Region</v>
      </c>
      <c r="BG178" s="188" t="str">
        <f t="shared" si="127"/>
        <v>Combined</v>
      </c>
      <c r="BH178" s="188" t="str">
        <f t="shared" si="128"/>
        <v>2019/20</v>
      </c>
      <c r="BI178" s="188" t="str">
        <f t="shared" si="129"/>
        <v>URBAN</v>
      </c>
      <c r="BJ178" s="188" t="str">
        <f t="shared" si="130"/>
        <v>Urban Connectors</v>
      </c>
      <c r="BK178" s="188">
        <f t="shared" si="131"/>
        <v>391.68</v>
      </c>
      <c r="BL178" s="188">
        <f t="shared" si="132"/>
        <v>2.650000000000001E-2</v>
      </c>
      <c r="BM178" s="188">
        <f t="shared" si="133"/>
        <v>391.68</v>
      </c>
      <c r="BN178" s="188">
        <f t="shared" si="134"/>
        <v>0</v>
      </c>
      <c r="BO178" s="188">
        <f t="shared" si="135"/>
        <v>802.62</v>
      </c>
      <c r="BP178" s="188">
        <f t="shared" si="136"/>
        <v>906.06</v>
      </c>
      <c r="BQ178" s="253" t="str">
        <f>INDEX(pMenus!$D$10:$D$23,MATCH(BJ178,pMenus!$B$10:$B$23,0))</f>
        <v>Urban Connectors</v>
      </c>
      <c r="BR178" s="226">
        <f t="shared" si="98"/>
        <v>3092.8162323186084</v>
      </c>
      <c r="BS178" s="238">
        <f t="shared" si="99"/>
        <v>6337.7148804727367</v>
      </c>
    </row>
    <row r="179" spans="1:71">
      <c r="A179" s="202"/>
      <c r="B179" s="210" t="str">
        <f t="shared" si="119"/>
        <v>NA Local LTA Roads West Coast Region</v>
      </c>
      <c r="C179" s="193">
        <f t="shared" si="94"/>
        <v>134.34</v>
      </c>
      <c r="D179" s="193">
        <f t="shared" si="95"/>
        <v>1.48</v>
      </c>
      <c r="E179" s="194">
        <f t="shared" si="93"/>
        <v>30.183076675211741</v>
      </c>
      <c r="F179" s="202"/>
      <c r="AA179" s="185" t="s">
        <v>412</v>
      </c>
      <c r="AB179" s="185" t="s">
        <v>434</v>
      </c>
      <c r="AC179" s="185" t="s">
        <v>401</v>
      </c>
      <c r="AD179" s="185" t="s">
        <v>331</v>
      </c>
      <c r="AE179" s="185"/>
      <c r="AF179" s="185" t="s">
        <v>402</v>
      </c>
      <c r="AG179" s="185">
        <v>106.35</v>
      </c>
      <c r="AH179" s="185">
        <v>3.85E-2</v>
      </c>
      <c r="AI179" s="185">
        <v>17.920000000000002</v>
      </c>
      <c r="AJ179" s="185">
        <v>88.43</v>
      </c>
      <c r="AK179" s="185">
        <v>134.78</v>
      </c>
      <c r="AL179" s="185">
        <v>1.68</v>
      </c>
      <c r="AM179" s="186">
        <v>299</v>
      </c>
      <c r="AN179" s="186" t="str">
        <f t="shared" si="101"/>
        <v>West Coast RegionUnclassified</v>
      </c>
      <c r="AO179" s="186">
        <f t="shared" si="120"/>
        <v>109</v>
      </c>
      <c r="AP179" s="187" t="s">
        <v>1105</v>
      </c>
      <c r="AQ179" s="187" t="str">
        <f t="shared" si="121"/>
        <v>West Coast Region</v>
      </c>
      <c r="AR179" s="187" t="str">
        <f t="shared" si="122"/>
        <v>Combined</v>
      </c>
      <c r="AS179" s="187" t="str">
        <f t="shared" si="123"/>
        <v>2019/20</v>
      </c>
      <c r="AT179" s="187">
        <f t="shared" si="124"/>
        <v>0</v>
      </c>
      <c r="AU179" s="187" t="str">
        <f t="shared" si="125"/>
        <v>Unclassified</v>
      </c>
      <c r="AV179" s="187" cm="1">
        <f t="array" ref="AV179">IF($AO179=999,0,INDEX(AG$198:AG$313,$AO179))</f>
        <v>0.34</v>
      </c>
      <c r="AW179" s="187" cm="1">
        <f t="array" ref="AW179">IF($AO179=999,0,INDEX(AH$198:AH$313,$AO179))</f>
        <v>4.0000000000000002E-4</v>
      </c>
      <c r="AX179" s="187" cm="1">
        <f t="array" ref="AX179">IF($AO179=999,0,INDEX(AI$198:AI$313,$AO179))</f>
        <v>0.34</v>
      </c>
      <c r="AY179" s="187" cm="1">
        <f t="array" ref="AY179">IF($AO179=999,0,INDEX(AJ$198:AJ$313,$AO179))</f>
        <v>0</v>
      </c>
      <c r="AZ179" s="187" cm="1">
        <f t="array" ref="AZ179">IF($AO179=999,0,INDEX(AK$198:AK$313,$AO179))</f>
        <v>0.44</v>
      </c>
      <c r="BA179" s="187" cm="1">
        <f t="array" ref="BA179">IF($AO179=999,0,INDEX(AL$198:AL$313,$AO179))</f>
        <v>0.2</v>
      </c>
      <c r="BB179" s="252" t="str">
        <f>INDEX(pMenus!$C$10:$C$23,MATCH(AU179,pMenus!$B$10:$B$23,0))</f>
        <v>NA</v>
      </c>
      <c r="BC179" s="221">
        <f t="shared" si="96"/>
        <v>1245.3300124533002</v>
      </c>
      <c r="BD179" s="237">
        <f t="shared" si="97"/>
        <v>1611.6035455278002</v>
      </c>
      <c r="BE179" s="188" t="s">
        <v>591</v>
      </c>
      <c r="BF179" s="188" t="str">
        <f t="shared" si="126"/>
        <v>West Coast Region</v>
      </c>
      <c r="BG179" s="188" t="str">
        <f t="shared" si="127"/>
        <v>Combined</v>
      </c>
      <c r="BH179" s="188" t="str">
        <f t="shared" si="128"/>
        <v>2019/20</v>
      </c>
      <c r="BI179" s="188">
        <f t="shared" si="129"/>
        <v>0</v>
      </c>
      <c r="BJ179" s="188" t="str">
        <f t="shared" si="130"/>
        <v>Unclassified</v>
      </c>
      <c r="BK179" s="188">
        <f t="shared" si="131"/>
        <v>106.00999999999999</v>
      </c>
      <c r="BL179" s="188">
        <f t="shared" si="132"/>
        <v>3.8100000000000002E-2</v>
      </c>
      <c r="BM179" s="188">
        <f t="shared" si="133"/>
        <v>17.580000000000002</v>
      </c>
      <c r="BN179" s="188">
        <f t="shared" si="134"/>
        <v>88.43</v>
      </c>
      <c r="BO179" s="188">
        <f t="shared" si="135"/>
        <v>134.34</v>
      </c>
      <c r="BP179" s="188">
        <f t="shared" si="136"/>
        <v>1.48</v>
      </c>
      <c r="BQ179" s="253" t="str">
        <f>INDEX(pMenus!$D$10:$D$23,MATCH(BJ179,pMenus!$B$10:$B$23,0))</f>
        <v>NA</v>
      </c>
      <c r="BR179" s="226">
        <f t="shared" si="98"/>
        <v>30.183076675211741</v>
      </c>
      <c r="BS179" s="238">
        <f t="shared" si="99"/>
        <v>38.249170083463312</v>
      </c>
    </row>
    <row r="180" spans="1:71">
      <c r="A180" s="202"/>
      <c r="B180" s="210" t="str">
        <f t="shared" si="119"/>
        <v>Interregional Connectors Local LTA Roads West Coast Region</v>
      </c>
      <c r="C180" s="193">
        <f t="shared" si="94"/>
        <v>199.08000000000004</v>
      </c>
      <c r="D180" s="193">
        <f t="shared" si="95"/>
        <v>25.480000000000004</v>
      </c>
      <c r="E180" s="194">
        <f t="shared" si="93"/>
        <v>350.65410477236378</v>
      </c>
      <c r="F180" s="202"/>
      <c r="AA180" s="185" t="s">
        <v>412</v>
      </c>
      <c r="AB180" s="185" t="s">
        <v>434</v>
      </c>
      <c r="AC180" s="185" t="s">
        <v>401</v>
      </c>
      <c r="AD180" s="185" t="s">
        <v>331</v>
      </c>
      <c r="AE180" s="185" t="s">
        <v>403</v>
      </c>
      <c r="AF180" s="185" t="s">
        <v>404</v>
      </c>
      <c r="AG180" s="185">
        <v>171.42</v>
      </c>
      <c r="AH180" s="185">
        <v>6.2100000000000002E-2</v>
      </c>
      <c r="AI180" s="185">
        <v>171.42</v>
      </c>
      <c r="AJ180" s="185">
        <v>0</v>
      </c>
      <c r="AK180" s="185">
        <v>342.97</v>
      </c>
      <c r="AL180" s="185">
        <v>62.13</v>
      </c>
      <c r="AM180" s="186">
        <v>300</v>
      </c>
      <c r="AN180" s="186" t="str">
        <f t="shared" si="101"/>
        <v>West Coast RegionInterregional Connectors</v>
      </c>
      <c r="AO180" s="186">
        <f t="shared" si="120"/>
        <v>110</v>
      </c>
      <c r="AP180" s="187" t="s">
        <v>1105</v>
      </c>
      <c r="AQ180" s="187" t="str">
        <f t="shared" si="121"/>
        <v>West Coast Region</v>
      </c>
      <c r="AR180" s="187" t="str">
        <f t="shared" si="122"/>
        <v>Combined</v>
      </c>
      <c r="AS180" s="187" t="str">
        <f t="shared" si="123"/>
        <v>2019/20</v>
      </c>
      <c r="AT180" s="187" t="str">
        <f t="shared" si="124"/>
        <v>RURAL</v>
      </c>
      <c r="AU180" s="187" t="str">
        <f t="shared" si="125"/>
        <v>Interregional Connectors</v>
      </c>
      <c r="AV180" s="187" cm="1">
        <f t="array" ref="AV180">IF($AO180=999,0,INDEX(AG$198:AG$313,$AO180))</f>
        <v>71.95</v>
      </c>
      <c r="AW180" s="187" cm="1">
        <f t="array" ref="AW180">IF($AO180=999,0,INDEX(AH$198:AH$313,$AO180))</f>
        <v>8.2500000000000004E-2</v>
      </c>
      <c r="AX180" s="187" cm="1">
        <f t="array" ref="AX180">IF($AO180=999,0,INDEX(AI$198:AI$313,$AO180))</f>
        <v>71.95</v>
      </c>
      <c r="AY180" s="187" cm="1">
        <f t="array" ref="AY180">IF($AO180=999,0,INDEX(AJ$198:AJ$313,$AO180))</f>
        <v>0</v>
      </c>
      <c r="AZ180" s="187" cm="1">
        <f t="array" ref="AZ180">IF($AO180=999,0,INDEX(AK$198:AK$313,$AO180))</f>
        <v>143.88999999999999</v>
      </c>
      <c r="BA180" s="187" cm="1">
        <f t="array" ref="BA180">IF($AO180=999,0,INDEX(AL$198:AL$313,$AO180))</f>
        <v>36.65</v>
      </c>
      <c r="BB180" s="252" t="str">
        <f>INDEX(pMenus!$C$10:$C$23,MATCH(AU180,pMenus!$B$10:$B$23,0))</f>
        <v>Interregional Connectors</v>
      </c>
      <c r="BC180" s="221">
        <f t="shared" si="96"/>
        <v>697.83139136916805</v>
      </c>
      <c r="BD180" s="237">
        <f t="shared" si="97"/>
        <v>1395.5657943587157</v>
      </c>
      <c r="BE180" s="188" t="s">
        <v>591</v>
      </c>
      <c r="BF180" s="188" t="str">
        <f t="shared" si="126"/>
        <v>West Coast Region</v>
      </c>
      <c r="BG180" s="188" t="str">
        <f t="shared" si="127"/>
        <v>Combined</v>
      </c>
      <c r="BH180" s="188" t="str">
        <f t="shared" si="128"/>
        <v>2019/20</v>
      </c>
      <c r="BI180" s="188" t="str">
        <f t="shared" si="129"/>
        <v>RURAL</v>
      </c>
      <c r="BJ180" s="188" t="str">
        <f t="shared" si="130"/>
        <v>Interregional Connectors</v>
      </c>
      <c r="BK180" s="188">
        <f t="shared" si="131"/>
        <v>99.469999999999985</v>
      </c>
      <c r="BL180" s="188">
        <f t="shared" si="132"/>
        <v>-2.0400000000000001E-2</v>
      </c>
      <c r="BM180" s="188">
        <f t="shared" si="133"/>
        <v>99.469999999999985</v>
      </c>
      <c r="BN180" s="188">
        <f t="shared" si="134"/>
        <v>0</v>
      </c>
      <c r="BO180" s="188">
        <f t="shared" si="135"/>
        <v>199.08000000000004</v>
      </c>
      <c r="BP180" s="188">
        <f t="shared" si="136"/>
        <v>25.480000000000004</v>
      </c>
      <c r="BQ180" s="253" t="str">
        <f>INDEX(pMenus!$D$10:$D$23,MATCH(BJ180,pMenus!$B$10:$B$23,0))</f>
        <v>Interregional Connectors</v>
      </c>
      <c r="BR180" s="226">
        <f t="shared" si="98"/>
        <v>350.65410477236378</v>
      </c>
      <c r="BS180" s="238">
        <f t="shared" si="99"/>
        <v>701.80174100816544</v>
      </c>
    </row>
    <row r="181" spans="1:71">
      <c r="A181" s="202"/>
      <c r="B181" s="210" t="str">
        <f t="shared" si="119"/>
        <v>Rural Connectors Local LTA Roads West Coast Region</v>
      </c>
      <c r="C181" s="193">
        <f t="shared" si="94"/>
        <v>139.25</v>
      </c>
      <c r="D181" s="193">
        <f t="shared" si="95"/>
        <v>7.120000000000001</v>
      </c>
      <c r="E181" s="194">
        <f t="shared" si="93"/>
        <v>140.08509382454935</v>
      </c>
      <c r="F181" s="202"/>
      <c r="AA181" s="185" t="s">
        <v>412</v>
      </c>
      <c r="AB181" s="185" t="s">
        <v>434</v>
      </c>
      <c r="AC181" s="185" t="s">
        <v>401</v>
      </c>
      <c r="AD181" s="185" t="s">
        <v>331</v>
      </c>
      <c r="AE181" s="185" t="s">
        <v>403</v>
      </c>
      <c r="AF181" s="185" t="s">
        <v>405</v>
      </c>
      <c r="AG181" s="185">
        <v>92.76</v>
      </c>
      <c r="AH181" s="185">
        <v>3.3599999999999998E-2</v>
      </c>
      <c r="AI181" s="185">
        <v>79.239999999999995</v>
      </c>
      <c r="AJ181" s="185">
        <v>13.52</v>
      </c>
      <c r="AK181" s="185">
        <v>172.92</v>
      </c>
      <c r="AL181" s="185">
        <v>18.760000000000002</v>
      </c>
      <c r="AM181" s="186">
        <v>301</v>
      </c>
      <c r="AN181" s="186" t="str">
        <f t="shared" si="101"/>
        <v>West Coast RegionPeri-urban Roads</v>
      </c>
      <c r="AO181" s="186">
        <f t="shared" si="120"/>
        <v>111</v>
      </c>
      <c r="AP181" s="187" t="s">
        <v>1105</v>
      </c>
      <c r="AQ181" s="187" t="str">
        <f t="shared" si="121"/>
        <v>West Coast Region</v>
      </c>
      <c r="AR181" s="187" t="str">
        <f t="shared" si="122"/>
        <v>Combined</v>
      </c>
      <c r="AS181" s="187" t="str">
        <f t="shared" si="123"/>
        <v>2019/20</v>
      </c>
      <c r="AT181" s="187" t="str">
        <f t="shared" si="124"/>
        <v>RURAL</v>
      </c>
      <c r="AU181" s="187" t="str">
        <f t="shared" si="125"/>
        <v>Peri-urban Roads</v>
      </c>
      <c r="AV181" s="187" cm="1">
        <f t="array" ref="AV181">IF($AO181=999,0,INDEX(AG$198:AG$313,$AO181))</f>
        <v>16.84</v>
      </c>
      <c r="AW181" s="187" cm="1">
        <f t="array" ref="AW181">IF($AO181=999,0,INDEX(AH$198:AH$313,$AO181))</f>
        <v>1.9300000000000001E-2</v>
      </c>
      <c r="AX181" s="187" cm="1">
        <f t="array" ref="AX181">IF($AO181=999,0,INDEX(AI$198:AI$313,$AO181))</f>
        <v>16.84</v>
      </c>
      <c r="AY181" s="187" cm="1">
        <f t="array" ref="AY181">IF($AO181=999,0,INDEX(AJ$198:AJ$313,$AO181))</f>
        <v>0</v>
      </c>
      <c r="AZ181" s="187" cm="1">
        <f t="array" ref="AZ181">IF($AO181=999,0,INDEX(AK$198:AK$313,$AO181))</f>
        <v>33.67</v>
      </c>
      <c r="BA181" s="187" cm="1">
        <f t="array" ref="BA181">IF($AO181=999,0,INDEX(AL$198:AL$313,$AO181))</f>
        <v>11.64</v>
      </c>
      <c r="BB181" s="252" t="str">
        <f>INDEX(pMenus!$C$10:$C$23,MATCH(AU181,pMenus!$B$10:$B$23,0))</f>
        <v>Interregional Connectors</v>
      </c>
      <c r="BC181" s="221">
        <f t="shared" si="96"/>
        <v>947.14615262560471</v>
      </c>
      <c r="BD181" s="237">
        <f t="shared" si="97"/>
        <v>1893.7298669182967</v>
      </c>
      <c r="BE181" s="188" t="s">
        <v>591</v>
      </c>
      <c r="BF181" s="188" t="str">
        <f t="shared" si="126"/>
        <v>West Coast Region</v>
      </c>
      <c r="BG181" s="188" t="str">
        <f t="shared" si="127"/>
        <v>Combined</v>
      </c>
      <c r="BH181" s="188" t="str">
        <f t="shared" si="128"/>
        <v>2019/20</v>
      </c>
      <c r="BI181" s="188" t="str">
        <f t="shared" si="129"/>
        <v>RURAL</v>
      </c>
      <c r="BJ181" s="188" t="str">
        <f t="shared" si="130"/>
        <v>Peri-urban Roads</v>
      </c>
      <c r="BK181" s="188">
        <f t="shared" si="131"/>
        <v>75.92</v>
      </c>
      <c r="BL181" s="188">
        <f t="shared" si="132"/>
        <v>1.4299999999999997E-2</v>
      </c>
      <c r="BM181" s="188">
        <f t="shared" si="133"/>
        <v>62.399999999999991</v>
      </c>
      <c r="BN181" s="188">
        <f t="shared" si="134"/>
        <v>13.52</v>
      </c>
      <c r="BO181" s="188">
        <f t="shared" si="135"/>
        <v>139.25</v>
      </c>
      <c r="BP181" s="188">
        <f t="shared" si="136"/>
        <v>7.120000000000001</v>
      </c>
      <c r="BQ181" s="253" t="str">
        <f>INDEX(pMenus!$D$10:$D$23,MATCH(BJ181,pMenus!$B$10:$B$23,0))</f>
        <v>Rural Connectors</v>
      </c>
      <c r="BR181" s="226">
        <f t="shared" si="98"/>
        <v>140.08509382454935</v>
      </c>
      <c r="BS181" s="238">
        <f t="shared" si="99"/>
        <v>256.93953260100756</v>
      </c>
    </row>
    <row r="182" spans="1:71">
      <c r="A182" s="202"/>
      <c r="B182" s="210" t="str">
        <f t="shared" si="119"/>
        <v>Rural Connectors Local LTA Roads West Coast Region</v>
      </c>
      <c r="C182" s="193">
        <f t="shared" si="94"/>
        <v>533.41999999999985</v>
      </c>
      <c r="D182" s="193">
        <f t="shared" si="95"/>
        <v>31.240000000000009</v>
      </c>
      <c r="E182" s="194">
        <f t="shared" si="93"/>
        <v>160.45337838080772</v>
      </c>
      <c r="F182" s="202"/>
      <c r="AA182" s="185" t="s">
        <v>412</v>
      </c>
      <c r="AB182" s="185" t="s">
        <v>434</v>
      </c>
      <c r="AC182" s="185" t="s">
        <v>401</v>
      </c>
      <c r="AD182" s="185" t="s">
        <v>331</v>
      </c>
      <c r="AE182" s="185" t="s">
        <v>403</v>
      </c>
      <c r="AF182" s="185" t="s">
        <v>406</v>
      </c>
      <c r="AG182" s="185">
        <v>1021.47</v>
      </c>
      <c r="AH182" s="185">
        <v>0.36980000000000002</v>
      </c>
      <c r="AI182" s="185">
        <v>1011.48</v>
      </c>
      <c r="AJ182" s="185">
        <v>9.99</v>
      </c>
      <c r="AK182" s="185">
        <v>2033.85</v>
      </c>
      <c r="AL182" s="185">
        <v>366.47</v>
      </c>
      <c r="AM182" s="186">
        <v>302</v>
      </c>
      <c r="AN182" s="186" t="str">
        <f t="shared" si="101"/>
        <v>West Coast RegionRural Connectors</v>
      </c>
      <c r="AO182" s="186">
        <f t="shared" si="120"/>
        <v>112</v>
      </c>
      <c r="AP182" s="187" t="s">
        <v>1105</v>
      </c>
      <c r="AQ182" s="187" t="str">
        <f t="shared" si="121"/>
        <v>West Coast Region</v>
      </c>
      <c r="AR182" s="187" t="str">
        <f t="shared" si="122"/>
        <v>Combined</v>
      </c>
      <c r="AS182" s="187" t="str">
        <f t="shared" si="123"/>
        <v>2019/20</v>
      </c>
      <c r="AT182" s="187" t="str">
        <f t="shared" si="124"/>
        <v>RURAL</v>
      </c>
      <c r="AU182" s="187" t="str">
        <f t="shared" si="125"/>
        <v>Rural Connectors</v>
      </c>
      <c r="AV182" s="187" cm="1">
        <f t="array" ref="AV182">IF($AO182=999,0,INDEX(AG$198:AG$313,$AO182))</f>
        <v>752.2</v>
      </c>
      <c r="AW182" s="187" cm="1">
        <f t="array" ref="AW182">IF($AO182=999,0,INDEX(AH$198:AH$313,$AO182))</f>
        <v>0.86209999999999998</v>
      </c>
      <c r="AX182" s="187" cm="1">
        <f t="array" ref="AX182">IF($AO182=999,0,INDEX(AI$198:AI$313,$AO182))</f>
        <v>752.2</v>
      </c>
      <c r="AY182" s="187" cm="1">
        <f t="array" ref="AY182">IF($AO182=999,0,INDEX(AJ$198:AJ$313,$AO182))</f>
        <v>0</v>
      </c>
      <c r="AZ182" s="187" cm="1">
        <f t="array" ref="AZ182">IF($AO182=999,0,INDEX(AK$198:AK$313,$AO182))</f>
        <v>1500.43</v>
      </c>
      <c r="BA182" s="187" cm="1">
        <f t="array" ref="BA182">IF($AO182=999,0,INDEX(AL$198:AL$313,$AO182))</f>
        <v>335.23</v>
      </c>
      <c r="BB182" s="252" t="str">
        <f>INDEX(pMenus!$C$10:$C$23,MATCH(AU182,pMenus!$B$10:$B$23,0))</f>
        <v>Rural Connectors</v>
      </c>
      <c r="BC182" s="221">
        <f t="shared" si="96"/>
        <v>612.11676397058409</v>
      </c>
      <c r="BD182" s="237">
        <f t="shared" si="97"/>
        <v>1221.0028664775107</v>
      </c>
      <c r="BE182" s="188" t="s">
        <v>591</v>
      </c>
      <c r="BF182" s="188" t="str">
        <f t="shared" si="126"/>
        <v>West Coast Region</v>
      </c>
      <c r="BG182" s="188" t="str">
        <f t="shared" si="127"/>
        <v>Combined</v>
      </c>
      <c r="BH182" s="188" t="str">
        <f t="shared" si="128"/>
        <v>2019/20</v>
      </c>
      <c r="BI182" s="188" t="str">
        <f t="shared" si="129"/>
        <v>RURAL</v>
      </c>
      <c r="BJ182" s="188" t="str">
        <f t="shared" si="130"/>
        <v>Rural Connectors</v>
      </c>
      <c r="BK182" s="188">
        <f t="shared" si="131"/>
        <v>269.27</v>
      </c>
      <c r="BL182" s="188">
        <f t="shared" si="132"/>
        <v>-0.49229999999999996</v>
      </c>
      <c r="BM182" s="188">
        <f t="shared" si="133"/>
        <v>259.27999999999997</v>
      </c>
      <c r="BN182" s="188">
        <f t="shared" si="134"/>
        <v>9.99</v>
      </c>
      <c r="BO182" s="188">
        <f t="shared" si="135"/>
        <v>533.41999999999985</v>
      </c>
      <c r="BP182" s="188">
        <f t="shared" si="136"/>
        <v>31.240000000000009</v>
      </c>
      <c r="BQ182" s="253" t="str">
        <f>INDEX(pMenus!$D$10:$D$23,MATCH(BJ182,pMenus!$B$10:$B$23,0))</f>
        <v>Rural Connectors</v>
      </c>
      <c r="BR182" s="226">
        <f t="shared" si="98"/>
        <v>160.45337838080772</v>
      </c>
      <c r="BS182" s="238">
        <f t="shared" si="99"/>
        <v>317.85583650570226</v>
      </c>
    </row>
    <row r="183" spans="1:71">
      <c r="A183" s="202"/>
      <c r="B183" s="210" t="str">
        <f t="shared" si="119"/>
        <v>Rural Connectors Local LTA Roads West Coast Region</v>
      </c>
      <c r="C183" s="193">
        <f t="shared" si="94"/>
        <v>1634.14</v>
      </c>
      <c r="D183" s="193">
        <f t="shared" si="95"/>
        <v>24.65</v>
      </c>
      <c r="E183" s="194">
        <f t="shared" si="93"/>
        <v>41.327087382563583</v>
      </c>
      <c r="F183" s="202"/>
      <c r="AA183" s="185" t="s">
        <v>412</v>
      </c>
      <c r="AB183" s="185" t="s">
        <v>434</v>
      </c>
      <c r="AC183" s="185" t="s">
        <v>401</v>
      </c>
      <c r="AD183" s="185" t="s">
        <v>331</v>
      </c>
      <c r="AE183" s="185" t="s">
        <v>403</v>
      </c>
      <c r="AF183" s="185" t="s">
        <v>414</v>
      </c>
      <c r="AG183" s="185">
        <v>1101.8699999999999</v>
      </c>
      <c r="AH183" s="185">
        <v>0.39900000000000002</v>
      </c>
      <c r="AI183" s="185">
        <v>405.09</v>
      </c>
      <c r="AJ183" s="185">
        <v>696.78</v>
      </c>
      <c r="AK183" s="185">
        <v>1634.14</v>
      </c>
      <c r="AL183" s="185">
        <v>24.65</v>
      </c>
      <c r="AM183" s="186">
        <v>303</v>
      </c>
      <c r="AN183" s="186" t="str">
        <f t="shared" si="101"/>
        <v>West Coast RegionRural Roads</v>
      </c>
      <c r="AO183" s="186">
        <f t="shared" si="120"/>
        <v>999</v>
      </c>
      <c r="AP183" s="187" t="s">
        <v>1105</v>
      </c>
      <c r="AQ183" s="187" t="str">
        <f t="shared" si="121"/>
        <v>West Coast Region</v>
      </c>
      <c r="AR183" s="187" t="str">
        <f t="shared" si="122"/>
        <v>Combined</v>
      </c>
      <c r="AS183" s="187" t="str">
        <f t="shared" si="123"/>
        <v>2019/20</v>
      </c>
      <c r="AT183" s="187" t="str">
        <f t="shared" si="124"/>
        <v>RURAL</v>
      </c>
      <c r="AU183" s="187" t="str">
        <f t="shared" si="125"/>
        <v>Rural Roads</v>
      </c>
      <c r="AV183" s="187" cm="1">
        <f t="array" ref="AV183">IF($AO183=999,0,INDEX(AG$198:AG$313,$AO183))</f>
        <v>0</v>
      </c>
      <c r="AW183" s="187" cm="1">
        <f t="array" ref="AW183">IF($AO183=999,0,INDEX(AH$198:AH$313,$AO183))</f>
        <v>0</v>
      </c>
      <c r="AX183" s="187" cm="1">
        <f t="array" ref="AX183">IF($AO183=999,0,INDEX(AI$198:AI$313,$AO183))</f>
        <v>0</v>
      </c>
      <c r="AY183" s="187" cm="1">
        <f t="array" ref="AY183">IF($AO183=999,0,INDEX(AJ$198:AJ$313,$AO183))</f>
        <v>0</v>
      </c>
      <c r="AZ183" s="187" cm="1">
        <f t="array" ref="AZ183">IF($AO183=999,0,INDEX(AK$198:AK$313,$AO183))</f>
        <v>0</v>
      </c>
      <c r="BA183" s="187" cm="1">
        <f t="array" ref="BA183">IF($AO183=999,0,INDEX(AL$198:AL$313,$AO183))</f>
        <v>0</v>
      </c>
      <c r="BB183" s="252" t="str">
        <f>INDEX(pMenus!$C$10:$C$23,MATCH(AU183,pMenus!$B$10:$B$23,0))</f>
        <v>NA</v>
      </c>
      <c r="BC183" s="221">
        <f t="shared" si="96"/>
        <v>0</v>
      </c>
      <c r="BD183" s="237">
        <f t="shared" si="97"/>
        <v>0</v>
      </c>
      <c r="BE183" s="188" t="s">
        <v>591</v>
      </c>
      <c r="BF183" s="188" t="str">
        <f t="shared" si="126"/>
        <v>West Coast Region</v>
      </c>
      <c r="BG183" s="188" t="str">
        <f t="shared" si="127"/>
        <v>Combined</v>
      </c>
      <c r="BH183" s="188" t="str">
        <f t="shared" si="128"/>
        <v>2019/20</v>
      </c>
      <c r="BI183" s="188" t="str">
        <f t="shared" si="129"/>
        <v>RURAL</v>
      </c>
      <c r="BJ183" s="188" t="str">
        <f t="shared" si="130"/>
        <v>Rural Roads</v>
      </c>
      <c r="BK183" s="188">
        <f t="shared" si="131"/>
        <v>1101.8699999999999</v>
      </c>
      <c r="BL183" s="188">
        <f t="shared" si="132"/>
        <v>0.39900000000000002</v>
      </c>
      <c r="BM183" s="188">
        <f t="shared" si="133"/>
        <v>405.09</v>
      </c>
      <c r="BN183" s="188">
        <f t="shared" si="134"/>
        <v>696.78</v>
      </c>
      <c r="BO183" s="188">
        <f t="shared" si="135"/>
        <v>1634.14</v>
      </c>
      <c r="BP183" s="188">
        <f t="shared" si="136"/>
        <v>24.65</v>
      </c>
      <c r="BQ183" s="253" t="str">
        <f>INDEX(pMenus!$D$10:$D$23,MATCH(BJ183,pMenus!$B$10:$B$23,0))</f>
        <v>Rural Connectors</v>
      </c>
      <c r="BR183" s="226">
        <f t="shared" si="98"/>
        <v>41.327087382563583</v>
      </c>
      <c r="BS183" s="238">
        <f t="shared" si="99"/>
        <v>61.290575635367574</v>
      </c>
    </row>
    <row r="184" spans="1:71">
      <c r="A184" s="202"/>
      <c r="B184" s="210" t="str">
        <f t="shared" si="119"/>
        <v>Rural Connectors Local LTA Roads West Coast Region</v>
      </c>
      <c r="C184" s="193">
        <f t="shared" si="94"/>
        <v>12.870000000000001</v>
      </c>
      <c r="D184" s="193">
        <f t="shared" si="95"/>
        <v>0.33</v>
      </c>
      <c r="E184" s="194">
        <f t="shared" si="93"/>
        <v>70.249385317878463</v>
      </c>
      <c r="F184" s="202"/>
      <c r="AA184" s="185" t="s">
        <v>412</v>
      </c>
      <c r="AB184" s="185" t="s">
        <v>434</v>
      </c>
      <c r="AC184" s="185" t="s">
        <v>401</v>
      </c>
      <c r="AD184" s="185" t="s">
        <v>331</v>
      </c>
      <c r="AE184" s="185" t="s">
        <v>403</v>
      </c>
      <c r="AF184" s="185" t="s">
        <v>415</v>
      </c>
      <c r="AG184" s="185">
        <v>8.2899999999999991</v>
      </c>
      <c r="AH184" s="185">
        <v>3.0000000000000001E-3</v>
      </c>
      <c r="AI184" s="185">
        <v>6.01</v>
      </c>
      <c r="AJ184" s="185">
        <v>2.2799999999999998</v>
      </c>
      <c r="AK184" s="185">
        <v>14.13</v>
      </c>
      <c r="AL184" s="185">
        <v>0.63</v>
      </c>
      <c r="AM184" s="186">
        <v>304</v>
      </c>
      <c r="AN184" s="186" t="str">
        <f t="shared" si="101"/>
        <v>West Coast RegionStopping Places</v>
      </c>
      <c r="AO184" s="186">
        <f t="shared" si="120"/>
        <v>113</v>
      </c>
      <c r="AP184" s="187" t="s">
        <v>1105</v>
      </c>
      <c r="AQ184" s="187" t="str">
        <f t="shared" si="121"/>
        <v>West Coast Region</v>
      </c>
      <c r="AR184" s="187" t="str">
        <f t="shared" si="122"/>
        <v>Combined</v>
      </c>
      <c r="AS184" s="187" t="str">
        <f t="shared" si="123"/>
        <v>2019/20</v>
      </c>
      <c r="AT184" s="187" t="str">
        <f t="shared" si="124"/>
        <v>RURAL</v>
      </c>
      <c r="AU184" s="187" t="str">
        <f t="shared" si="125"/>
        <v>Stopping Places</v>
      </c>
      <c r="AV184" s="187" cm="1">
        <f t="array" ref="AV184">IF($AO184=999,0,INDEX(AG$198:AG$313,$AO184))</f>
        <v>0.63</v>
      </c>
      <c r="AW184" s="187" cm="1">
        <f t="array" ref="AW184">IF($AO184=999,0,INDEX(AH$198:AH$313,$AO184))</f>
        <v>6.9999999999999999E-4</v>
      </c>
      <c r="AX184" s="187" cm="1">
        <f t="array" ref="AX184">IF($AO184=999,0,INDEX(AI$198:AI$313,$AO184))</f>
        <v>0.63</v>
      </c>
      <c r="AY184" s="187" cm="1">
        <f t="array" ref="AY184">IF($AO184=999,0,INDEX(AJ$198:AJ$313,$AO184))</f>
        <v>0</v>
      </c>
      <c r="AZ184" s="187" cm="1">
        <f t="array" ref="AZ184">IF($AO184=999,0,INDEX(AK$198:AK$313,$AO184))</f>
        <v>1.26</v>
      </c>
      <c r="BA184" s="187" cm="1">
        <f t="array" ref="BA184">IF($AO184=999,0,INDEX(AL$198:AL$313,$AO184))</f>
        <v>0.3</v>
      </c>
      <c r="BB184" s="252" t="str">
        <f>INDEX(pMenus!$C$10:$C$23,MATCH(AU184,pMenus!$B$10:$B$23,0))</f>
        <v>Interregional Connectors</v>
      </c>
      <c r="BC184" s="221">
        <f t="shared" si="96"/>
        <v>652.31572080887145</v>
      </c>
      <c r="BD184" s="237">
        <f t="shared" si="97"/>
        <v>1304.6314416177429</v>
      </c>
      <c r="BE184" s="188" t="s">
        <v>591</v>
      </c>
      <c r="BF184" s="188" t="str">
        <f t="shared" si="126"/>
        <v>West Coast Region</v>
      </c>
      <c r="BG184" s="188" t="str">
        <f t="shared" si="127"/>
        <v>Combined</v>
      </c>
      <c r="BH184" s="188" t="str">
        <f t="shared" si="128"/>
        <v>2019/20</v>
      </c>
      <c r="BI184" s="188" t="str">
        <f t="shared" si="129"/>
        <v>RURAL</v>
      </c>
      <c r="BJ184" s="188" t="str">
        <f t="shared" si="130"/>
        <v>Stopping Places</v>
      </c>
      <c r="BK184" s="188">
        <f t="shared" si="131"/>
        <v>7.6599999999999993</v>
      </c>
      <c r="BL184" s="188">
        <f t="shared" si="132"/>
        <v>2.3E-3</v>
      </c>
      <c r="BM184" s="188">
        <f t="shared" si="133"/>
        <v>5.38</v>
      </c>
      <c r="BN184" s="188">
        <f t="shared" si="134"/>
        <v>2.2799999999999998</v>
      </c>
      <c r="BO184" s="188">
        <f t="shared" si="135"/>
        <v>12.870000000000001</v>
      </c>
      <c r="BP184" s="188">
        <f t="shared" si="136"/>
        <v>0.33</v>
      </c>
      <c r="BQ184" s="253" t="str">
        <f>INDEX(pMenus!$D$10:$D$23,MATCH(BJ184,pMenus!$B$10:$B$23,0))</f>
        <v>Rural Connectors</v>
      </c>
      <c r="BR184" s="226">
        <f t="shared" si="98"/>
        <v>70.249385317878463</v>
      </c>
      <c r="BS184" s="238">
        <f t="shared" si="99"/>
        <v>118.02997245967312</v>
      </c>
    </row>
    <row r="185" spans="1:71">
      <c r="A185" s="202"/>
      <c r="B185" s="210" t="str">
        <f t="shared" si="119"/>
        <v>Activity Streets Local LTA Roads West Coast Region</v>
      </c>
      <c r="C185" s="193">
        <f t="shared" si="94"/>
        <v>29.349999999999998</v>
      </c>
      <c r="D185" s="193">
        <f t="shared" si="95"/>
        <v>6.5</v>
      </c>
      <c r="E185" s="194">
        <f t="shared" si="93"/>
        <v>606.75363468763851</v>
      </c>
      <c r="F185" s="202"/>
      <c r="AA185" s="185" t="s">
        <v>412</v>
      </c>
      <c r="AB185" s="185" t="s">
        <v>434</v>
      </c>
      <c r="AC185" s="185" t="s">
        <v>401</v>
      </c>
      <c r="AD185" s="185" t="s">
        <v>331</v>
      </c>
      <c r="AE185" s="185" t="s">
        <v>407</v>
      </c>
      <c r="AF185" s="185" t="s">
        <v>408</v>
      </c>
      <c r="AG185" s="185">
        <v>17.829999999999998</v>
      </c>
      <c r="AH185" s="185">
        <v>6.4999999999999997E-3</v>
      </c>
      <c r="AI185" s="185">
        <v>17.829999999999998</v>
      </c>
      <c r="AJ185" s="185">
        <v>0</v>
      </c>
      <c r="AK185" s="185">
        <v>35.26</v>
      </c>
      <c r="AL185" s="185">
        <v>10.93</v>
      </c>
      <c r="AM185" s="186">
        <v>305</v>
      </c>
      <c r="AN185" s="186" t="str">
        <f t="shared" si="101"/>
        <v>West Coast RegionActivity Streets</v>
      </c>
      <c r="AO185" s="186">
        <f t="shared" si="120"/>
        <v>114</v>
      </c>
      <c r="AP185" s="187" t="s">
        <v>1105</v>
      </c>
      <c r="AQ185" s="187" t="str">
        <f t="shared" si="121"/>
        <v>West Coast Region</v>
      </c>
      <c r="AR185" s="187" t="str">
        <f t="shared" si="122"/>
        <v>Combined</v>
      </c>
      <c r="AS185" s="187" t="str">
        <f t="shared" si="123"/>
        <v>2019/20</v>
      </c>
      <c r="AT185" s="187" t="str">
        <f t="shared" si="124"/>
        <v>URBAN</v>
      </c>
      <c r="AU185" s="187" t="str">
        <f t="shared" si="125"/>
        <v>Activity Streets</v>
      </c>
      <c r="AV185" s="187" cm="1">
        <f t="array" ref="AV185">IF($AO185=999,0,INDEX(AG$198:AG$313,$AO185))</f>
        <v>2.96</v>
      </c>
      <c r="AW185" s="187" cm="1">
        <f t="array" ref="AW185">IF($AO185=999,0,INDEX(AH$198:AH$313,$AO185))</f>
        <v>3.3999999999999998E-3</v>
      </c>
      <c r="AX185" s="187" cm="1">
        <f t="array" ref="AX185">IF($AO185=999,0,INDEX(AI$198:AI$313,$AO185))</f>
        <v>2.96</v>
      </c>
      <c r="AY185" s="187" cm="1">
        <f t="array" ref="AY185">IF($AO185=999,0,INDEX(AJ$198:AJ$313,$AO185))</f>
        <v>0</v>
      </c>
      <c r="AZ185" s="187" cm="1">
        <f t="array" ref="AZ185">IF($AO185=999,0,INDEX(AK$198:AK$313,$AO185))</f>
        <v>5.91</v>
      </c>
      <c r="BA185" s="187" cm="1">
        <f t="array" ref="BA185">IF($AO185=999,0,INDEX(AL$198:AL$313,$AO185))</f>
        <v>4.43</v>
      </c>
      <c r="BB185" s="252" t="str">
        <f>INDEX(pMenus!$C$10:$C$23,MATCH(AU185,pMenus!$B$10:$B$23,0))</f>
        <v>Urban Connectors</v>
      </c>
      <c r="BC185" s="221">
        <f t="shared" si="96"/>
        <v>2053.6355839881326</v>
      </c>
      <c r="BD185" s="237">
        <f t="shared" si="97"/>
        <v>4100.3332099222507</v>
      </c>
      <c r="BE185" s="188" t="s">
        <v>591</v>
      </c>
      <c r="BF185" s="188" t="str">
        <f t="shared" si="126"/>
        <v>West Coast Region</v>
      </c>
      <c r="BG185" s="188" t="str">
        <f t="shared" si="127"/>
        <v>Combined</v>
      </c>
      <c r="BH185" s="188" t="str">
        <f t="shared" si="128"/>
        <v>2019/20</v>
      </c>
      <c r="BI185" s="188" t="str">
        <f t="shared" si="129"/>
        <v>URBAN</v>
      </c>
      <c r="BJ185" s="188" t="str">
        <f t="shared" si="130"/>
        <v>Activity Streets</v>
      </c>
      <c r="BK185" s="188">
        <f t="shared" si="131"/>
        <v>14.869999999999997</v>
      </c>
      <c r="BL185" s="188">
        <f t="shared" si="132"/>
        <v>3.0999999999999999E-3</v>
      </c>
      <c r="BM185" s="188">
        <f t="shared" si="133"/>
        <v>14.869999999999997</v>
      </c>
      <c r="BN185" s="188">
        <f t="shared" si="134"/>
        <v>0</v>
      </c>
      <c r="BO185" s="188">
        <f t="shared" si="135"/>
        <v>29.349999999999998</v>
      </c>
      <c r="BP185" s="188">
        <f t="shared" si="136"/>
        <v>6.5</v>
      </c>
      <c r="BQ185" s="253" t="str">
        <f>INDEX(pMenus!$D$10:$D$23,MATCH(BJ185,pMenus!$B$10:$B$23,0))</f>
        <v>Activity Streets</v>
      </c>
      <c r="BR185" s="226">
        <f t="shared" si="98"/>
        <v>606.75363468763851</v>
      </c>
      <c r="BS185" s="238">
        <f t="shared" si="99"/>
        <v>1197.5937577728444</v>
      </c>
    </row>
    <row r="186" spans="1:71">
      <c r="A186" s="202"/>
      <c r="B186" s="210" t="str">
        <f t="shared" si="119"/>
        <v>Rural Connectors Local LTA Roads West Coast Region</v>
      </c>
      <c r="C186" s="193">
        <f t="shared" si="94"/>
        <v>4.4400000000000004</v>
      </c>
      <c r="D186" s="193">
        <f t="shared" si="95"/>
        <v>0.35</v>
      </c>
      <c r="E186" s="194">
        <f t="shared" si="93"/>
        <v>215.96939405158579</v>
      </c>
      <c r="F186" s="202"/>
      <c r="AA186" s="185" t="s">
        <v>412</v>
      </c>
      <c r="AB186" s="185" t="s">
        <v>434</v>
      </c>
      <c r="AC186" s="185" t="s">
        <v>401</v>
      </c>
      <c r="AD186" s="185" t="s">
        <v>331</v>
      </c>
      <c r="AE186" s="185" t="s">
        <v>407</v>
      </c>
      <c r="AF186" s="185" t="s">
        <v>417</v>
      </c>
      <c r="AG186" s="185">
        <v>2.41</v>
      </c>
      <c r="AH186" s="185">
        <v>8.9999999999999998E-4</v>
      </c>
      <c r="AI186" s="185">
        <v>2.41</v>
      </c>
      <c r="AJ186" s="185">
        <v>0</v>
      </c>
      <c r="AK186" s="185">
        <v>4.4400000000000004</v>
      </c>
      <c r="AL186" s="185">
        <v>0.35</v>
      </c>
      <c r="AM186" s="186">
        <v>306</v>
      </c>
      <c r="AN186" s="186" t="str">
        <f t="shared" si="101"/>
        <v>West Coast RegionCivic Spaces</v>
      </c>
      <c r="AO186" s="186">
        <f t="shared" si="120"/>
        <v>999</v>
      </c>
      <c r="AP186" s="187" t="s">
        <v>1105</v>
      </c>
      <c r="AQ186" s="187" t="str">
        <f t="shared" si="121"/>
        <v>West Coast Region</v>
      </c>
      <c r="AR186" s="187" t="str">
        <f t="shared" si="122"/>
        <v>Combined</v>
      </c>
      <c r="AS186" s="187" t="str">
        <f t="shared" si="123"/>
        <v>2019/20</v>
      </c>
      <c r="AT186" s="187" t="str">
        <f t="shared" si="124"/>
        <v>URBAN</v>
      </c>
      <c r="AU186" s="187" t="str">
        <f t="shared" si="125"/>
        <v>Civic Spaces</v>
      </c>
      <c r="AV186" s="187" cm="1">
        <f t="array" ref="AV186">IF($AO186=999,0,INDEX(AG$198:AG$313,$AO186))</f>
        <v>0</v>
      </c>
      <c r="AW186" s="187" cm="1">
        <f t="array" ref="AW186">IF($AO186=999,0,INDEX(AH$198:AH$313,$AO186))</f>
        <v>0</v>
      </c>
      <c r="AX186" s="187" cm="1">
        <f t="array" ref="AX186">IF($AO186=999,0,INDEX(AI$198:AI$313,$AO186))</f>
        <v>0</v>
      </c>
      <c r="AY186" s="187" cm="1">
        <f t="array" ref="AY186">IF($AO186=999,0,INDEX(AJ$198:AJ$313,$AO186))</f>
        <v>0</v>
      </c>
      <c r="AZ186" s="187" cm="1">
        <f t="array" ref="AZ186">IF($AO186=999,0,INDEX(AK$198:AK$313,$AO186))</f>
        <v>0</v>
      </c>
      <c r="BA186" s="187" cm="1">
        <f t="array" ref="BA186">IF($AO186=999,0,INDEX(AL$198:AL$313,$AO186))</f>
        <v>0</v>
      </c>
      <c r="BB186" s="252" t="str">
        <f>INDEX(pMenus!$C$10:$C$23,MATCH(AU186,pMenus!$B$10:$B$23,0))</f>
        <v>NA</v>
      </c>
      <c r="BC186" s="221">
        <f t="shared" si="96"/>
        <v>0</v>
      </c>
      <c r="BD186" s="237">
        <f t="shared" si="97"/>
        <v>0</v>
      </c>
      <c r="BE186" s="188" t="s">
        <v>591</v>
      </c>
      <c r="BF186" s="188" t="str">
        <f t="shared" si="126"/>
        <v>West Coast Region</v>
      </c>
      <c r="BG186" s="188" t="str">
        <f t="shared" si="127"/>
        <v>Combined</v>
      </c>
      <c r="BH186" s="188" t="str">
        <f t="shared" si="128"/>
        <v>2019/20</v>
      </c>
      <c r="BI186" s="188" t="str">
        <f t="shared" si="129"/>
        <v>URBAN</v>
      </c>
      <c r="BJ186" s="188" t="str">
        <f t="shared" si="130"/>
        <v>Civic Spaces</v>
      </c>
      <c r="BK186" s="188">
        <f t="shared" si="131"/>
        <v>2.41</v>
      </c>
      <c r="BL186" s="188">
        <f t="shared" si="132"/>
        <v>8.9999999999999998E-4</v>
      </c>
      <c r="BM186" s="188">
        <f t="shared" si="133"/>
        <v>2.41</v>
      </c>
      <c r="BN186" s="188">
        <f t="shared" si="134"/>
        <v>0</v>
      </c>
      <c r="BO186" s="188">
        <f t="shared" si="135"/>
        <v>4.4400000000000004</v>
      </c>
      <c r="BP186" s="188">
        <f t="shared" si="136"/>
        <v>0.35</v>
      </c>
      <c r="BQ186" s="253" t="str">
        <f>INDEX(pMenus!$D$10:$D$23,MATCH(BJ186,pMenus!$B$10:$B$23,0))</f>
        <v>Rural Connectors</v>
      </c>
      <c r="BR186" s="226">
        <f t="shared" si="98"/>
        <v>215.96939405158579</v>
      </c>
      <c r="BS186" s="238">
        <f t="shared" si="99"/>
        <v>397.88552265105432</v>
      </c>
    </row>
    <row r="187" spans="1:71">
      <c r="A187" s="202"/>
      <c r="B187" s="210" t="str">
        <f t="shared" si="119"/>
        <v>Rural Connectors Local LTA Roads West Coast Region</v>
      </c>
      <c r="C187" s="193">
        <f t="shared" si="94"/>
        <v>362.18</v>
      </c>
      <c r="D187" s="193">
        <f t="shared" si="95"/>
        <v>19.66</v>
      </c>
      <c r="E187" s="194">
        <f t="shared" si="93"/>
        <v>148.71890689334072</v>
      </c>
      <c r="F187" s="202"/>
      <c r="AA187" s="185" t="s">
        <v>412</v>
      </c>
      <c r="AB187" s="185" t="s">
        <v>434</v>
      </c>
      <c r="AC187" s="185" t="s">
        <v>401</v>
      </c>
      <c r="AD187" s="185" t="s">
        <v>331</v>
      </c>
      <c r="AE187" s="185" t="s">
        <v>407</v>
      </c>
      <c r="AF187" s="185" t="s">
        <v>418</v>
      </c>
      <c r="AG187" s="185">
        <v>188.71</v>
      </c>
      <c r="AH187" s="185">
        <v>6.83E-2</v>
      </c>
      <c r="AI187" s="185">
        <v>180.36</v>
      </c>
      <c r="AJ187" s="185">
        <v>8.34</v>
      </c>
      <c r="AK187" s="185">
        <v>362.18</v>
      </c>
      <c r="AL187" s="185">
        <v>19.66</v>
      </c>
      <c r="AM187" s="186">
        <v>307</v>
      </c>
      <c r="AN187" s="186" t="str">
        <f t="shared" si="101"/>
        <v>West Coast RegionLocal Streets</v>
      </c>
      <c r="AO187" s="186">
        <f t="shared" si="120"/>
        <v>999</v>
      </c>
      <c r="AP187" s="187" t="s">
        <v>1105</v>
      </c>
      <c r="AQ187" s="187" t="str">
        <f t="shared" si="121"/>
        <v>West Coast Region</v>
      </c>
      <c r="AR187" s="187" t="str">
        <f t="shared" si="122"/>
        <v>Combined</v>
      </c>
      <c r="AS187" s="187" t="str">
        <f t="shared" si="123"/>
        <v>2019/20</v>
      </c>
      <c r="AT187" s="187" t="str">
        <f t="shared" si="124"/>
        <v>URBAN</v>
      </c>
      <c r="AU187" s="187" t="str">
        <f t="shared" si="125"/>
        <v>Local Streets</v>
      </c>
      <c r="AV187" s="187" cm="1">
        <f t="array" ref="AV187">IF($AO187=999,0,INDEX(AG$198:AG$313,$AO187))</f>
        <v>0</v>
      </c>
      <c r="AW187" s="187" cm="1">
        <f t="array" ref="AW187">IF($AO187=999,0,INDEX(AH$198:AH$313,$AO187))</f>
        <v>0</v>
      </c>
      <c r="AX187" s="187" cm="1">
        <f t="array" ref="AX187">IF($AO187=999,0,INDEX(AI$198:AI$313,$AO187))</f>
        <v>0</v>
      </c>
      <c r="AY187" s="187" cm="1">
        <f t="array" ref="AY187">IF($AO187=999,0,INDEX(AJ$198:AJ$313,$AO187))</f>
        <v>0</v>
      </c>
      <c r="AZ187" s="187" cm="1">
        <f t="array" ref="AZ187">IF($AO187=999,0,INDEX(AK$198:AK$313,$AO187))</f>
        <v>0</v>
      </c>
      <c r="BA187" s="187" cm="1">
        <f t="array" ref="BA187">IF($AO187=999,0,INDEX(AL$198:AL$313,$AO187))</f>
        <v>0</v>
      </c>
      <c r="BB187" s="252" t="str">
        <f>INDEX(pMenus!$C$10:$C$23,MATCH(AU187,pMenus!$B$10:$B$23,0))</f>
        <v>NA</v>
      </c>
      <c r="BC187" s="221">
        <f t="shared" si="96"/>
        <v>0</v>
      </c>
      <c r="BD187" s="237">
        <f t="shared" si="97"/>
        <v>0</v>
      </c>
      <c r="BE187" s="188" t="s">
        <v>591</v>
      </c>
      <c r="BF187" s="188" t="str">
        <f t="shared" si="126"/>
        <v>West Coast Region</v>
      </c>
      <c r="BG187" s="188" t="str">
        <f t="shared" si="127"/>
        <v>Combined</v>
      </c>
      <c r="BH187" s="188" t="str">
        <f t="shared" si="128"/>
        <v>2019/20</v>
      </c>
      <c r="BI187" s="188" t="str">
        <f t="shared" si="129"/>
        <v>URBAN</v>
      </c>
      <c r="BJ187" s="188" t="str">
        <f t="shared" si="130"/>
        <v>Local Streets</v>
      </c>
      <c r="BK187" s="188">
        <f t="shared" si="131"/>
        <v>188.71</v>
      </c>
      <c r="BL187" s="188">
        <f t="shared" si="132"/>
        <v>6.83E-2</v>
      </c>
      <c r="BM187" s="188">
        <f t="shared" si="133"/>
        <v>180.36</v>
      </c>
      <c r="BN187" s="188">
        <f t="shared" si="134"/>
        <v>8.34</v>
      </c>
      <c r="BO187" s="188">
        <f t="shared" si="135"/>
        <v>362.18</v>
      </c>
      <c r="BP187" s="188">
        <f t="shared" si="136"/>
        <v>19.66</v>
      </c>
      <c r="BQ187" s="253" t="str">
        <f>INDEX(pMenus!$D$10:$D$23,MATCH(BJ187,pMenus!$B$10:$B$23,0))</f>
        <v>Rural Connectors</v>
      </c>
      <c r="BR187" s="226">
        <f t="shared" si="98"/>
        <v>148.71890689334072</v>
      </c>
      <c r="BS187" s="238">
        <f t="shared" si="99"/>
        <v>285.42744792872736</v>
      </c>
    </row>
    <row r="188" spans="1:71">
      <c r="A188" s="202"/>
      <c r="B188" s="210" t="str">
        <f t="shared" si="119"/>
        <v>Urban Connectors Local LTA Roads West Coast Region</v>
      </c>
      <c r="C188" s="193">
        <f t="shared" si="94"/>
        <v>1.47</v>
      </c>
      <c r="D188" s="193">
        <f t="shared" si="95"/>
        <v>0.15000000000000002</v>
      </c>
      <c r="E188" s="194">
        <f t="shared" si="93"/>
        <v>279.56388034665923</v>
      </c>
      <c r="F188" s="202"/>
      <c r="AA188" s="185" t="s">
        <v>412</v>
      </c>
      <c r="AB188" s="185" t="s">
        <v>434</v>
      </c>
      <c r="AC188" s="185" t="s">
        <v>401</v>
      </c>
      <c r="AD188" s="185" t="s">
        <v>331</v>
      </c>
      <c r="AE188" s="185" t="s">
        <v>407</v>
      </c>
      <c r="AF188" s="185" t="s">
        <v>409</v>
      </c>
      <c r="AG188" s="185">
        <v>0.9</v>
      </c>
      <c r="AH188" s="185">
        <v>2.9999999999999997E-4</v>
      </c>
      <c r="AI188" s="185">
        <v>0.9</v>
      </c>
      <c r="AJ188" s="185">
        <v>0</v>
      </c>
      <c r="AK188" s="185">
        <v>1.8</v>
      </c>
      <c r="AL188" s="185">
        <v>0.4</v>
      </c>
      <c r="AM188" s="186">
        <v>308</v>
      </c>
      <c r="AN188" s="186" t="str">
        <f t="shared" si="101"/>
        <v>West Coast RegionMain Streets</v>
      </c>
      <c r="AO188" s="186">
        <f t="shared" si="120"/>
        <v>115</v>
      </c>
      <c r="AP188" s="187" t="s">
        <v>1105</v>
      </c>
      <c r="AQ188" s="187" t="str">
        <f t="shared" si="121"/>
        <v>West Coast Region</v>
      </c>
      <c r="AR188" s="187" t="str">
        <f t="shared" si="122"/>
        <v>Combined</v>
      </c>
      <c r="AS188" s="187" t="str">
        <f t="shared" si="123"/>
        <v>2019/20</v>
      </c>
      <c r="AT188" s="187" t="str">
        <f t="shared" si="124"/>
        <v>URBAN</v>
      </c>
      <c r="AU188" s="187" t="str">
        <f t="shared" si="125"/>
        <v>Main Streets</v>
      </c>
      <c r="AV188" s="187" cm="1">
        <f t="array" ref="AV188">IF($AO188=999,0,INDEX(AG$198:AG$313,$AO188))</f>
        <v>0.16</v>
      </c>
      <c r="AW188" s="187" cm="1">
        <f t="array" ref="AW188">IF($AO188=999,0,INDEX(AH$198:AH$313,$AO188))</f>
        <v>2.0000000000000001E-4</v>
      </c>
      <c r="AX188" s="187" cm="1">
        <f t="array" ref="AX188">IF($AO188=999,0,INDEX(AI$198:AI$313,$AO188))</f>
        <v>0.16</v>
      </c>
      <c r="AY188" s="187" cm="1">
        <f t="array" ref="AY188">IF($AO188=999,0,INDEX(AJ$198:AJ$313,$AO188))</f>
        <v>0</v>
      </c>
      <c r="AZ188" s="187" cm="1">
        <f t="array" ref="AZ188">IF($AO188=999,0,INDEX(AK$198:AK$313,$AO188))</f>
        <v>0.33</v>
      </c>
      <c r="BA188" s="187" cm="1">
        <f t="array" ref="BA188">IF($AO188=999,0,INDEX(AL$198:AL$313,$AO188))</f>
        <v>0.25</v>
      </c>
      <c r="BB188" s="252" t="str">
        <f>INDEX(pMenus!$C$10:$C$23,MATCH(AU188,pMenus!$B$10:$B$23,0))</f>
        <v>Urban Connectors</v>
      </c>
      <c r="BC188" s="221">
        <f t="shared" si="96"/>
        <v>2075.5500207555001</v>
      </c>
      <c r="BD188" s="237">
        <f t="shared" si="97"/>
        <v>4280.821917808219</v>
      </c>
      <c r="BE188" s="188" t="s">
        <v>591</v>
      </c>
      <c r="BF188" s="188" t="str">
        <f t="shared" si="126"/>
        <v>West Coast Region</v>
      </c>
      <c r="BG188" s="188" t="str">
        <f t="shared" si="127"/>
        <v>Combined</v>
      </c>
      <c r="BH188" s="188" t="str">
        <f t="shared" si="128"/>
        <v>2019/20</v>
      </c>
      <c r="BI188" s="188" t="str">
        <f t="shared" si="129"/>
        <v>URBAN</v>
      </c>
      <c r="BJ188" s="188" t="str">
        <f t="shared" si="130"/>
        <v>Main Streets</v>
      </c>
      <c r="BK188" s="188">
        <f t="shared" si="131"/>
        <v>0.74</v>
      </c>
      <c r="BL188" s="188">
        <f t="shared" si="132"/>
        <v>9.9999999999999964E-5</v>
      </c>
      <c r="BM188" s="188">
        <f t="shared" si="133"/>
        <v>0.74</v>
      </c>
      <c r="BN188" s="188">
        <f t="shared" si="134"/>
        <v>0</v>
      </c>
      <c r="BO188" s="188">
        <f t="shared" si="135"/>
        <v>1.47</v>
      </c>
      <c r="BP188" s="188">
        <f t="shared" si="136"/>
        <v>0.15000000000000002</v>
      </c>
      <c r="BQ188" s="253" t="str">
        <f>INDEX(pMenus!$D$10:$D$23,MATCH(BJ188,pMenus!$B$10:$B$23,0))</f>
        <v>Urban Connectors</v>
      </c>
      <c r="BR188" s="226">
        <f t="shared" si="98"/>
        <v>279.56388034665923</v>
      </c>
      <c r="BS188" s="238">
        <f t="shared" si="99"/>
        <v>555.34987041836371</v>
      </c>
    </row>
    <row r="189" spans="1:71">
      <c r="A189" s="202"/>
      <c r="B189" s="210" t="str">
        <f t="shared" si="119"/>
        <v>Urban Connectors Local LTA Roads West Coast Region</v>
      </c>
      <c r="C189" s="193">
        <f t="shared" si="94"/>
        <v>45.1</v>
      </c>
      <c r="D189" s="193">
        <f t="shared" si="95"/>
        <v>19.22</v>
      </c>
      <c r="E189" s="194">
        <f t="shared" ref="E189:E252" si="137">IFERROR($E$12*(D189/C189)/$E$13,0)</f>
        <v>1167.5728214318258</v>
      </c>
      <c r="F189" s="202"/>
      <c r="AA189" s="185" t="s">
        <v>412</v>
      </c>
      <c r="AB189" s="185" t="s">
        <v>434</v>
      </c>
      <c r="AC189" s="185" t="s">
        <v>401</v>
      </c>
      <c r="AD189" s="185" t="s">
        <v>331</v>
      </c>
      <c r="AE189" s="185" t="s">
        <v>407</v>
      </c>
      <c r="AF189" s="185" t="s">
        <v>411</v>
      </c>
      <c r="AG189" s="185">
        <v>49.86</v>
      </c>
      <c r="AH189" s="185">
        <v>1.8100000000000002E-2</v>
      </c>
      <c r="AI189" s="185">
        <v>49.86</v>
      </c>
      <c r="AJ189" s="185">
        <v>0</v>
      </c>
      <c r="AK189" s="185">
        <v>99.11</v>
      </c>
      <c r="AL189" s="185">
        <v>54.47</v>
      </c>
      <c r="AM189" s="186">
        <v>309</v>
      </c>
      <c r="AN189" s="186" t="str">
        <f t="shared" si="101"/>
        <v>West Coast RegionUrban Connectors</v>
      </c>
      <c r="AO189" s="186">
        <f t="shared" si="120"/>
        <v>116</v>
      </c>
      <c r="AP189" s="187" t="s">
        <v>1105</v>
      </c>
      <c r="AQ189" s="187" t="str">
        <f t="shared" si="121"/>
        <v>West Coast Region</v>
      </c>
      <c r="AR189" s="187" t="str">
        <f t="shared" si="122"/>
        <v>Combined</v>
      </c>
      <c r="AS189" s="187" t="str">
        <f t="shared" si="123"/>
        <v>2019/20</v>
      </c>
      <c r="AT189" s="187" t="str">
        <f t="shared" si="124"/>
        <v>URBAN</v>
      </c>
      <c r="AU189" s="187" t="str">
        <f t="shared" si="125"/>
        <v>Urban Connectors</v>
      </c>
      <c r="AV189" s="187" cm="1">
        <f t="array" ref="AV189">IF($AO189=999,0,INDEX(AG$198:AG$313,$AO189))</f>
        <v>27.41</v>
      </c>
      <c r="AW189" s="187" cm="1">
        <f t="array" ref="AW189">IF($AO189=999,0,INDEX(AH$198:AH$313,$AO189))</f>
        <v>3.1399999999999997E-2</v>
      </c>
      <c r="AX189" s="187" cm="1">
        <f t="array" ref="AX189">IF($AO189=999,0,INDEX(AI$198:AI$313,$AO189))</f>
        <v>27.41</v>
      </c>
      <c r="AY189" s="187" cm="1">
        <f t="array" ref="AY189">IF($AO189=999,0,INDEX(AJ$198:AJ$313,$AO189))</f>
        <v>0</v>
      </c>
      <c r="AZ189" s="187" cm="1">
        <f t="array" ref="AZ189">IF($AO189=999,0,INDEX(AK$198:AK$313,$AO189))</f>
        <v>54.01</v>
      </c>
      <c r="BA189" s="187" cm="1">
        <f t="array" ref="BA189">IF($AO189=999,0,INDEX(AL$198:AL$313,$AO189))</f>
        <v>35.25</v>
      </c>
      <c r="BB189" s="252" t="str">
        <f>INDEX(pMenus!$C$10:$C$23,MATCH(AU189,pMenus!$B$10:$B$23,0))</f>
        <v>Urban Connectors</v>
      </c>
      <c r="BC189" s="221">
        <f t="shared" si="96"/>
        <v>1788.1011380439443</v>
      </c>
      <c r="BD189" s="237">
        <f t="shared" si="97"/>
        <v>3523.3616368388698</v>
      </c>
      <c r="BE189" s="188" t="s">
        <v>591</v>
      </c>
      <c r="BF189" s="188" t="str">
        <f t="shared" si="126"/>
        <v>West Coast Region</v>
      </c>
      <c r="BG189" s="188" t="str">
        <f t="shared" si="127"/>
        <v>Combined</v>
      </c>
      <c r="BH189" s="188" t="str">
        <f t="shared" si="128"/>
        <v>2019/20</v>
      </c>
      <c r="BI189" s="188" t="str">
        <f t="shared" si="129"/>
        <v>URBAN</v>
      </c>
      <c r="BJ189" s="188" t="str">
        <f t="shared" si="130"/>
        <v>Urban Connectors</v>
      </c>
      <c r="BK189" s="188">
        <f t="shared" si="131"/>
        <v>22.45</v>
      </c>
      <c r="BL189" s="188">
        <f t="shared" si="132"/>
        <v>-1.3299999999999996E-2</v>
      </c>
      <c r="BM189" s="188">
        <f t="shared" si="133"/>
        <v>22.45</v>
      </c>
      <c r="BN189" s="188">
        <f t="shared" si="134"/>
        <v>0</v>
      </c>
      <c r="BO189" s="188">
        <f t="shared" si="135"/>
        <v>45.1</v>
      </c>
      <c r="BP189" s="188">
        <f t="shared" si="136"/>
        <v>19.22</v>
      </c>
      <c r="BQ189" s="253" t="str">
        <f>INDEX(pMenus!$D$10:$D$23,MATCH(BJ189,pMenus!$B$10:$B$23,0))</f>
        <v>Urban Connectors</v>
      </c>
      <c r="BR189" s="226">
        <f t="shared" si="98"/>
        <v>1167.5728214318258</v>
      </c>
      <c r="BS189" s="238">
        <f t="shared" si="99"/>
        <v>2345.5471824755164</v>
      </c>
    </row>
    <row r="190" spans="1:71">
      <c r="A190" s="202"/>
      <c r="B190" s="210" t="str">
        <f t="shared" si="119"/>
        <v>NA All Roads DOC</v>
      </c>
      <c r="C190" s="193">
        <f t="shared" ref="C190:C197" si="138">BO190</f>
        <v>72.239999999999995</v>
      </c>
      <c r="D190" s="193">
        <f t="shared" ref="D190:D197" si="139">BP190</f>
        <v>0.33</v>
      </c>
      <c r="E190" s="194">
        <f t="shared" si="137"/>
        <v>12.515359759705095</v>
      </c>
      <c r="F190" s="202"/>
      <c r="AA190" s="185" t="s">
        <v>412</v>
      </c>
      <c r="AB190" s="189" t="s">
        <v>437</v>
      </c>
      <c r="AC190" s="189" t="s">
        <v>436</v>
      </c>
      <c r="AD190" s="189" t="s">
        <v>331</v>
      </c>
      <c r="AE190" s="189"/>
      <c r="AF190" s="189" t="s">
        <v>402</v>
      </c>
      <c r="AG190" s="189">
        <v>62.81</v>
      </c>
      <c r="AH190" s="189">
        <v>3.4000000000000002E-2</v>
      </c>
      <c r="AI190" s="189">
        <v>2.91</v>
      </c>
      <c r="AJ190" s="189">
        <v>59.91</v>
      </c>
      <c r="AK190" s="189">
        <v>72.239999999999995</v>
      </c>
      <c r="AL190" s="189">
        <v>0.33</v>
      </c>
      <c r="AM190" s="186">
        <v>310</v>
      </c>
      <c r="AN190" s="186" t="str">
        <f t="shared" si="101"/>
        <v>DOCUnclassified</v>
      </c>
      <c r="AO190" s="186">
        <f t="shared" ref="AO190:AO197" si="140">IFERROR(MATCH($AN190,$AN$198:$AN$313,0),999)</f>
        <v>999</v>
      </c>
      <c r="AP190" s="187" t="s">
        <v>1105</v>
      </c>
      <c r="AQ190" s="187" t="str">
        <f t="shared" si="121"/>
        <v>DOC</v>
      </c>
      <c r="AR190" s="187" t="str">
        <f t="shared" si="122"/>
        <v>DOC Roads</v>
      </c>
      <c r="AS190" s="187" t="str">
        <f t="shared" si="123"/>
        <v>2019/20</v>
      </c>
      <c r="AT190" s="187">
        <f t="shared" si="124"/>
        <v>0</v>
      </c>
      <c r="AU190" s="187" t="str">
        <f t="shared" si="125"/>
        <v>Unclassified</v>
      </c>
      <c r="AV190" s="187" cm="1">
        <f t="array" ref="AV190">IF($AO190=999,0,INDEX(AG$198:AG$313,$AO190))</f>
        <v>0</v>
      </c>
      <c r="AW190" s="187" cm="1">
        <f t="array" ref="AW190">IF($AO190=999,0,INDEX(AH$198:AH$313,$AO190))</f>
        <v>0</v>
      </c>
      <c r="AX190" s="187" cm="1">
        <f t="array" ref="AX190">IF($AO190=999,0,INDEX(AI$198:AI$313,$AO190))</f>
        <v>0</v>
      </c>
      <c r="AY190" s="187" cm="1">
        <f t="array" ref="AY190">IF($AO190=999,0,INDEX(AJ$198:AJ$313,$AO190))</f>
        <v>0</v>
      </c>
      <c r="AZ190" s="187" cm="1">
        <f t="array" ref="AZ190">IF($AO190=999,0,INDEX(AK$198:AK$313,$AO190))</f>
        <v>0</v>
      </c>
      <c r="BA190" s="187" cm="1">
        <f t="array" ref="BA190">IF($AO190=999,0,INDEX(AL$198:AL$313,$AO190))</f>
        <v>0</v>
      </c>
      <c r="BB190" s="252" t="str">
        <f>INDEX(pMenus!$C$10:$C$23,MATCH(AU190,pMenus!$B$10:$B$23,0))</f>
        <v>NA</v>
      </c>
      <c r="BC190" s="221">
        <f t="shared" ref="BC190:BC197" si="141">IFERROR($E$12*(BA190/AZ190)/$E$13,0)</f>
        <v>0</v>
      </c>
      <c r="BD190" s="237">
        <f t="shared" ref="BD190:BD197" si="142">IFERROR($E$12*(BA190/AV190)/$E$13,0)</f>
        <v>0</v>
      </c>
      <c r="BE190" s="188" t="str">
        <f t="shared" ref="BE190:BE197" si="143">AA190</f>
        <v>All Roads</v>
      </c>
      <c r="BF190" s="188" t="str">
        <f t="shared" si="126"/>
        <v>DOC</v>
      </c>
      <c r="BG190" s="188" t="str">
        <f t="shared" si="127"/>
        <v>DOC Roads</v>
      </c>
      <c r="BH190" s="188" t="str">
        <f t="shared" si="128"/>
        <v>2019/20</v>
      </c>
      <c r="BI190" s="188">
        <f t="shared" si="129"/>
        <v>0</v>
      </c>
      <c r="BJ190" s="188" t="str">
        <f t="shared" si="130"/>
        <v>Unclassified</v>
      </c>
      <c r="BK190" s="188">
        <f t="shared" si="131"/>
        <v>62.81</v>
      </c>
      <c r="BL190" s="188">
        <f t="shared" si="132"/>
        <v>3.4000000000000002E-2</v>
      </c>
      <c r="BM190" s="188">
        <f t="shared" si="133"/>
        <v>2.91</v>
      </c>
      <c r="BN190" s="188">
        <f t="shared" si="134"/>
        <v>59.91</v>
      </c>
      <c r="BO190" s="188">
        <f t="shared" si="135"/>
        <v>72.239999999999995</v>
      </c>
      <c r="BP190" s="188">
        <f t="shared" si="136"/>
        <v>0.33</v>
      </c>
      <c r="BQ190" s="253" t="str">
        <f>INDEX(pMenus!$D$10:$D$23,MATCH(BJ190,pMenus!$B$10:$B$23,0))</f>
        <v>NA</v>
      </c>
      <c r="BR190" s="226">
        <f t="shared" ref="BR190:BR197" si="144">IFERROR($E$12*(BP190/BO190)/$E$13,0)</f>
        <v>12.515359759705095</v>
      </c>
      <c r="BS190" s="238">
        <f t="shared" ref="BS190:BS197" si="145">IFERROR($E$12*(BP190/BK190)/$E$13,0)</f>
        <v>14.394357411894537</v>
      </c>
    </row>
    <row r="191" spans="1:71">
      <c r="A191" s="202"/>
      <c r="B191" s="210" t="str">
        <f t="shared" si="119"/>
        <v>Rural Connectors All Roads DOC</v>
      </c>
      <c r="C191" s="193">
        <f t="shared" si="138"/>
        <v>0.46</v>
      </c>
      <c r="D191" s="193">
        <f t="shared" si="139"/>
        <v>0.01</v>
      </c>
      <c r="E191" s="194">
        <f t="shared" si="137"/>
        <v>59.559261465157832</v>
      </c>
      <c r="F191" s="202"/>
      <c r="AA191" s="185" t="s">
        <v>412</v>
      </c>
      <c r="AB191" s="189" t="s">
        <v>437</v>
      </c>
      <c r="AC191" s="189" t="s">
        <v>436</v>
      </c>
      <c r="AD191" s="189" t="s">
        <v>331</v>
      </c>
      <c r="AE191" s="189" t="s">
        <v>403</v>
      </c>
      <c r="AF191" s="189" t="s">
        <v>405</v>
      </c>
      <c r="AG191" s="189">
        <v>0.46</v>
      </c>
      <c r="AH191" s="189">
        <v>2.0000000000000001E-4</v>
      </c>
      <c r="AI191" s="189">
        <v>0.46</v>
      </c>
      <c r="AJ191" s="189">
        <v>0</v>
      </c>
      <c r="AK191" s="189">
        <v>0.46</v>
      </c>
      <c r="AL191" s="189">
        <v>0.01</v>
      </c>
      <c r="AM191" s="186">
        <v>311</v>
      </c>
      <c r="AN191" s="186" t="str">
        <f t="shared" si="101"/>
        <v>DOCPeri-urban Roads</v>
      </c>
      <c r="AO191" s="186">
        <f t="shared" si="140"/>
        <v>999</v>
      </c>
      <c r="AP191" s="187" t="s">
        <v>1105</v>
      </c>
      <c r="AQ191" s="187" t="str">
        <f t="shared" si="121"/>
        <v>DOC</v>
      </c>
      <c r="AR191" s="187" t="str">
        <f t="shared" si="122"/>
        <v>DOC Roads</v>
      </c>
      <c r="AS191" s="187" t="str">
        <f t="shared" si="123"/>
        <v>2019/20</v>
      </c>
      <c r="AT191" s="187" t="str">
        <f t="shared" si="124"/>
        <v>RURAL</v>
      </c>
      <c r="AU191" s="187" t="str">
        <f t="shared" si="125"/>
        <v>Peri-urban Roads</v>
      </c>
      <c r="AV191" s="187" cm="1">
        <f t="array" ref="AV191">IF($AO191=999,0,INDEX(AG$198:AG$313,$AO191))</f>
        <v>0</v>
      </c>
      <c r="AW191" s="187" cm="1">
        <f t="array" ref="AW191">IF($AO191=999,0,INDEX(AH$198:AH$313,$AO191))</f>
        <v>0</v>
      </c>
      <c r="AX191" s="187" cm="1">
        <f t="array" ref="AX191">IF($AO191=999,0,INDEX(AI$198:AI$313,$AO191))</f>
        <v>0</v>
      </c>
      <c r="AY191" s="187" cm="1">
        <f t="array" ref="AY191">IF($AO191=999,0,INDEX(AJ$198:AJ$313,$AO191))</f>
        <v>0</v>
      </c>
      <c r="AZ191" s="187" cm="1">
        <f t="array" ref="AZ191">IF($AO191=999,0,INDEX(AK$198:AK$313,$AO191))</f>
        <v>0</v>
      </c>
      <c r="BA191" s="187" cm="1">
        <f t="array" ref="BA191">IF($AO191=999,0,INDEX(AL$198:AL$313,$AO191))</f>
        <v>0</v>
      </c>
      <c r="BB191" s="252" t="str">
        <f>INDEX(pMenus!$C$10:$C$23,MATCH(AU191,pMenus!$B$10:$B$23,0))</f>
        <v>Interregional Connectors</v>
      </c>
      <c r="BC191" s="221">
        <f t="shared" si="141"/>
        <v>0</v>
      </c>
      <c r="BD191" s="237">
        <f t="shared" si="142"/>
        <v>0</v>
      </c>
      <c r="BE191" s="188" t="str">
        <f t="shared" si="143"/>
        <v>All Roads</v>
      </c>
      <c r="BF191" s="188" t="str">
        <f t="shared" si="126"/>
        <v>DOC</v>
      </c>
      <c r="BG191" s="188" t="str">
        <f t="shared" si="127"/>
        <v>DOC Roads</v>
      </c>
      <c r="BH191" s="188" t="str">
        <f t="shared" si="128"/>
        <v>2019/20</v>
      </c>
      <c r="BI191" s="188" t="str">
        <f t="shared" si="129"/>
        <v>RURAL</v>
      </c>
      <c r="BJ191" s="188" t="str">
        <f t="shared" si="130"/>
        <v>Peri-urban Roads</v>
      </c>
      <c r="BK191" s="188">
        <f t="shared" si="131"/>
        <v>0.46</v>
      </c>
      <c r="BL191" s="188">
        <f t="shared" si="132"/>
        <v>2.0000000000000001E-4</v>
      </c>
      <c r="BM191" s="188">
        <f t="shared" si="133"/>
        <v>0.46</v>
      </c>
      <c r="BN191" s="188">
        <f t="shared" si="134"/>
        <v>0</v>
      </c>
      <c r="BO191" s="188">
        <f t="shared" si="135"/>
        <v>0.46</v>
      </c>
      <c r="BP191" s="188">
        <f t="shared" si="136"/>
        <v>0.01</v>
      </c>
      <c r="BQ191" s="253" t="str">
        <f>INDEX(pMenus!$D$10:$D$23,MATCH(BJ191,pMenus!$B$10:$B$23,0))</f>
        <v>Rural Connectors</v>
      </c>
      <c r="BR191" s="226">
        <f t="shared" si="144"/>
        <v>59.559261465157832</v>
      </c>
      <c r="BS191" s="238">
        <f t="shared" si="145"/>
        <v>59.559261465157832</v>
      </c>
    </row>
    <row r="192" spans="1:71">
      <c r="A192" s="202"/>
      <c r="B192" s="210" t="str">
        <f t="shared" si="119"/>
        <v>Rural Connectors All Roads DOC</v>
      </c>
      <c r="C192" s="193">
        <f t="shared" si="138"/>
        <v>29.62</v>
      </c>
      <c r="D192" s="193">
        <f t="shared" si="139"/>
        <v>5.79</v>
      </c>
      <c r="E192" s="194">
        <f t="shared" si="137"/>
        <v>535.55076632782368</v>
      </c>
      <c r="F192" s="202"/>
      <c r="AA192" s="185" t="s">
        <v>412</v>
      </c>
      <c r="AB192" s="189" t="s">
        <v>437</v>
      </c>
      <c r="AC192" s="189" t="s">
        <v>436</v>
      </c>
      <c r="AD192" s="189" t="s">
        <v>331</v>
      </c>
      <c r="AE192" s="189" t="s">
        <v>403</v>
      </c>
      <c r="AF192" s="189" t="s">
        <v>406</v>
      </c>
      <c r="AG192" s="189">
        <v>23.35</v>
      </c>
      <c r="AH192" s="189">
        <v>1.26E-2</v>
      </c>
      <c r="AI192" s="189">
        <v>23.35</v>
      </c>
      <c r="AJ192" s="189">
        <v>0</v>
      </c>
      <c r="AK192" s="189">
        <v>29.62</v>
      </c>
      <c r="AL192" s="189">
        <v>5.79</v>
      </c>
      <c r="AM192" s="186">
        <v>312</v>
      </c>
      <c r="AN192" s="186" t="str">
        <f t="shared" si="101"/>
        <v>DOCRural Connectors</v>
      </c>
      <c r="AO192" s="186">
        <f t="shared" si="140"/>
        <v>999</v>
      </c>
      <c r="AP192" s="187" t="s">
        <v>1105</v>
      </c>
      <c r="AQ192" s="187" t="str">
        <f t="shared" si="121"/>
        <v>DOC</v>
      </c>
      <c r="AR192" s="187" t="str">
        <f t="shared" si="122"/>
        <v>DOC Roads</v>
      </c>
      <c r="AS192" s="187" t="str">
        <f t="shared" si="123"/>
        <v>2019/20</v>
      </c>
      <c r="AT192" s="187" t="str">
        <f t="shared" si="124"/>
        <v>RURAL</v>
      </c>
      <c r="AU192" s="187" t="str">
        <f t="shared" si="125"/>
        <v>Rural Connectors</v>
      </c>
      <c r="AV192" s="187" cm="1">
        <f t="array" ref="AV192">IF($AO192=999,0,INDEX(AG$198:AG$313,$AO192))</f>
        <v>0</v>
      </c>
      <c r="AW192" s="187" cm="1">
        <f t="array" ref="AW192">IF($AO192=999,0,INDEX(AH$198:AH$313,$AO192))</f>
        <v>0</v>
      </c>
      <c r="AX192" s="187" cm="1">
        <f t="array" ref="AX192">IF($AO192=999,0,INDEX(AI$198:AI$313,$AO192))</f>
        <v>0</v>
      </c>
      <c r="AY192" s="187" cm="1">
        <f t="array" ref="AY192">IF($AO192=999,0,INDEX(AJ$198:AJ$313,$AO192))</f>
        <v>0</v>
      </c>
      <c r="AZ192" s="187" cm="1">
        <f t="array" ref="AZ192">IF($AO192=999,0,INDEX(AK$198:AK$313,$AO192))</f>
        <v>0</v>
      </c>
      <c r="BA192" s="187" cm="1">
        <f t="array" ref="BA192">IF($AO192=999,0,INDEX(AL$198:AL$313,$AO192))</f>
        <v>0</v>
      </c>
      <c r="BB192" s="252" t="str">
        <f>INDEX(pMenus!$C$10:$C$23,MATCH(AU192,pMenus!$B$10:$B$23,0))</f>
        <v>Rural Connectors</v>
      </c>
      <c r="BC192" s="221">
        <f t="shared" si="141"/>
        <v>0</v>
      </c>
      <c r="BD192" s="237">
        <f t="shared" si="142"/>
        <v>0</v>
      </c>
      <c r="BE192" s="188" t="str">
        <f t="shared" si="143"/>
        <v>All Roads</v>
      </c>
      <c r="BF192" s="188" t="str">
        <f t="shared" si="126"/>
        <v>DOC</v>
      </c>
      <c r="BG192" s="188" t="str">
        <f t="shared" si="127"/>
        <v>DOC Roads</v>
      </c>
      <c r="BH192" s="188" t="str">
        <f t="shared" si="128"/>
        <v>2019/20</v>
      </c>
      <c r="BI192" s="188" t="str">
        <f t="shared" si="129"/>
        <v>RURAL</v>
      </c>
      <c r="BJ192" s="188" t="str">
        <f t="shared" si="130"/>
        <v>Rural Connectors</v>
      </c>
      <c r="BK192" s="188">
        <f t="shared" si="131"/>
        <v>23.35</v>
      </c>
      <c r="BL192" s="188">
        <f t="shared" si="132"/>
        <v>1.26E-2</v>
      </c>
      <c r="BM192" s="188">
        <f t="shared" si="133"/>
        <v>23.35</v>
      </c>
      <c r="BN192" s="188">
        <f t="shared" si="134"/>
        <v>0</v>
      </c>
      <c r="BO192" s="188">
        <f t="shared" si="135"/>
        <v>29.62</v>
      </c>
      <c r="BP192" s="188">
        <f t="shared" si="136"/>
        <v>5.79</v>
      </c>
      <c r="BQ192" s="253" t="str">
        <f>INDEX(pMenus!$D$10:$D$23,MATCH(BJ192,pMenus!$B$10:$B$23,0))</f>
        <v>Rural Connectors</v>
      </c>
      <c r="BR192" s="226">
        <f t="shared" si="144"/>
        <v>535.55076632782368</v>
      </c>
      <c r="BS192" s="238">
        <f t="shared" si="145"/>
        <v>679.3581883781643</v>
      </c>
    </row>
    <row r="193" spans="1:71">
      <c r="A193" s="202"/>
      <c r="B193" s="210" t="str">
        <f t="shared" si="119"/>
        <v>Rural Connectors All Roads DOC</v>
      </c>
      <c r="C193" s="193">
        <f t="shared" si="138"/>
        <v>1870.37</v>
      </c>
      <c r="D193" s="193">
        <f t="shared" si="139"/>
        <v>9.36</v>
      </c>
      <c r="E193" s="194">
        <f t="shared" si="137"/>
        <v>13.710568292069674</v>
      </c>
      <c r="F193" s="202"/>
      <c r="AA193" s="185" t="s">
        <v>412</v>
      </c>
      <c r="AB193" s="189" t="s">
        <v>437</v>
      </c>
      <c r="AC193" s="189" t="s">
        <v>436</v>
      </c>
      <c r="AD193" s="189" t="s">
        <v>331</v>
      </c>
      <c r="AE193" s="189" t="s">
        <v>403</v>
      </c>
      <c r="AF193" s="189" t="s">
        <v>414</v>
      </c>
      <c r="AG193" s="189">
        <v>1752.92</v>
      </c>
      <c r="AH193" s="189">
        <v>0.94789999999999996</v>
      </c>
      <c r="AI193" s="189">
        <v>46.16</v>
      </c>
      <c r="AJ193" s="189">
        <v>1706.76</v>
      </c>
      <c r="AK193" s="189">
        <v>1870.37</v>
      </c>
      <c r="AL193" s="189">
        <v>9.36</v>
      </c>
      <c r="AM193" s="186">
        <v>313</v>
      </c>
      <c r="AN193" s="186" t="str">
        <f t="shared" si="101"/>
        <v>DOCRural Roads</v>
      </c>
      <c r="AO193" s="186">
        <f t="shared" si="140"/>
        <v>999</v>
      </c>
      <c r="AP193" s="187" t="s">
        <v>1105</v>
      </c>
      <c r="AQ193" s="187" t="str">
        <f t="shared" si="121"/>
        <v>DOC</v>
      </c>
      <c r="AR193" s="187" t="str">
        <f t="shared" si="122"/>
        <v>DOC Roads</v>
      </c>
      <c r="AS193" s="187" t="str">
        <f t="shared" si="123"/>
        <v>2019/20</v>
      </c>
      <c r="AT193" s="187" t="str">
        <f t="shared" si="124"/>
        <v>RURAL</v>
      </c>
      <c r="AU193" s="187" t="str">
        <f t="shared" si="125"/>
        <v>Rural Roads</v>
      </c>
      <c r="AV193" s="187" cm="1">
        <f t="array" ref="AV193">IF($AO193=999,0,INDEX(AG$198:AG$313,$AO193))</f>
        <v>0</v>
      </c>
      <c r="AW193" s="187" cm="1">
        <f t="array" ref="AW193">IF($AO193=999,0,INDEX(AH$198:AH$313,$AO193))</f>
        <v>0</v>
      </c>
      <c r="AX193" s="187" cm="1">
        <f t="array" ref="AX193">IF($AO193=999,0,INDEX(AI$198:AI$313,$AO193))</f>
        <v>0</v>
      </c>
      <c r="AY193" s="187" cm="1">
        <f t="array" ref="AY193">IF($AO193=999,0,INDEX(AJ$198:AJ$313,$AO193))</f>
        <v>0</v>
      </c>
      <c r="AZ193" s="187" cm="1">
        <f t="array" ref="AZ193">IF($AO193=999,0,INDEX(AK$198:AK$313,$AO193))</f>
        <v>0</v>
      </c>
      <c r="BA193" s="187" cm="1">
        <f t="array" ref="BA193">IF($AO193=999,0,INDEX(AL$198:AL$313,$AO193))</f>
        <v>0</v>
      </c>
      <c r="BB193" s="252" t="str">
        <f>INDEX(pMenus!$C$10:$C$23,MATCH(AU193,pMenus!$B$10:$B$23,0))</f>
        <v>NA</v>
      </c>
      <c r="BC193" s="221">
        <f t="shared" si="141"/>
        <v>0</v>
      </c>
      <c r="BD193" s="237">
        <f t="shared" si="142"/>
        <v>0</v>
      </c>
      <c r="BE193" s="188" t="str">
        <f t="shared" si="143"/>
        <v>All Roads</v>
      </c>
      <c r="BF193" s="188" t="str">
        <f t="shared" si="126"/>
        <v>DOC</v>
      </c>
      <c r="BG193" s="188" t="str">
        <f t="shared" si="127"/>
        <v>DOC Roads</v>
      </c>
      <c r="BH193" s="188" t="str">
        <f t="shared" si="128"/>
        <v>2019/20</v>
      </c>
      <c r="BI193" s="188" t="str">
        <f t="shared" si="129"/>
        <v>RURAL</v>
      </c>
      <c r="BJ193" s="188" t="str">
        <f t="shared" si="130"/>
        <v>Rural Roads</v>
      </c>
      <c r="BK193" s="188">
        <f t="shared" si="131"/>
        <v>1752.92</v>
      </c>
      <c r="BL193" s="188">
        <f t="shared" si="132"/>
        <v>0.94789999999999996</v>
      </c>
      <c r="BM193" s="188">
        <f t="shared" si="133"/>
        <v>46.16</v>
      </c>
      <c r="BN193" s="188">
        <f t="shared" si="134"/>
        <v>1706.76</v>
      </c>
      <c r="BO193" s="188">
        <f t="shared" si="135"/>
        <v>1870.37</v>
      </c>
      <c r="BP193" s="188">
        <f t="shared" si="136"/>
        <v>9.36</v>
      </c>
      <c r="BQ193" s="253" t="str">
        <f>INDEX(pMenus!$D$10:$D$23,MATCH(BJ193,pMenus!$B$10:$B$23,0))</f>
        <v>Rural Connectors</v>
      </c>
      <c r="BR193" s="226">
        <f t="shared" si="144"/>
        <v>13.710568292069674</v>
      </c>
      <c r="BS193" s="238">
        <f t="shared" si="145"/>
        <v>14.629210469638291</v>
      </c>
    </row>
    <row r="194" spans="1:71">
      <c r="A194" s="202"/>
      <c r="B194" s="210" t="str">
        <f t="shared" si="119"/>
        <v>Rural Connectors All Roads DOC</v>
      </c>
      <c r="C194" s="193">
        <f t="shared" si="138"/>
        <v>2.59</v>
      </c>
      <c r="D194" s="193">
        <f t="shared" si="139"/>
        <v>0.19</v>
      </c>
      <c r="E194" s="194">
        <f t="shared" si="137"/>
        <v>200.98376262759825</v>
      </c>
      <c r="F194" s="202"/>
      <c r="AA194" s="185" t="s">
        <v>412</v>
      </c>
      <c r="AB194" s="189" t="s">
        <v>437</v>
      </c>
      <c r="AC194" s="189" t="s">
        <v>436</v>
      </c>
      <c r="AD194" s="189" t="s">
        <v>331</v>
      </c>
      <c r="AE194" s="189" t="s">
        <v>403</v>
      </c>
      <c r="AF194" s="189" t="s">
        <v>415</v>
      </c>
      <c r="AG194" s="189">
        <v>1.6</v>
      </c>
      <c r="AH194" s="189">
        <v>8.9999999999999998E-4</v>
      </c>
      <c r="AI194" s="189">
        <v>0.19</v>
      </c>
      <c r="AJ194" s="189">
        <v>1.42</v>
      </c>
      <c r="AK194" s="189">
        <v>2.59</v>
      </c>
      <c r="AL194" s="189">
        <v>0.19</v>
      </c>
      <c r="AM194" s="186">
        <v>314</v>
      </c>
      <c r="AN194" s="186" t="str">
        <f t="shared" si="101"/>
        <v>DOCStopping Places</v>
      </c>
      <c r="AO194" s="186">
        <f t="shared" si="140"/>
        <v>999</v>
      </c>
      <c r="AP194" s="187" t="s">
        <v>1105</v>
      </c>
      <c r="AQ194" s="187" t="str">
        <f t="shared" si="121"/>
        <v>DOC</v>
      </c>
      <c r="AR194" s="187" t="str">
        <f t="shared" si="122"/>
        <v>DOC Roads</v>
      </c>
      <c r="AS194" s="187" t="str">
        <f t="shared" si="123"/>
        <v>2019/20</v>
      </c>
      <c r="AT194" s="187" t="str">
        <f t="shared" si="124"/>
        <v>RURAL</v>
      </c>
      <c r="AU194" s="187" t="str">
        <f t="shared" si="125"/>
        <v>Stopping Places</v>
      </c>
      <c r="AV194" s="187" cm="1">
        <f t="array" ref="AV194">IF($AO194=999,0,INDEX(AG$198:AG$313,$AO194))</f>
        <v>0</v>
      </c>
      <c r="AW194" s="187" cm="1">
        <f t="array" ref="AW194">IF($AO194=999,0,INDEX(AH$198:AH$313,$AO194))</f>
        <v>0</v>
      </c>
      <c r="AX194" s="187" cm="1">
        <f t="array" ref="AX194">IF($AO194=999,0,INDEX(AI$198:AI$313,$AO194))</f>
        <v>0</v>
      </c>
      <c r="AY194" s="187" cm="1">
        <f t="array" ref="AY194">IF($AO194=999,0,INDEX(AJ$198:AJ$313,$AO194))</f>
        <v>0</v>
      </c>
      <c r="AZ194" s="187" cm="1">
        <f t="array" ref="AZ194">IF($AO194=999,0,INDEX(AK$198:AK$313,$AO194))</f>
        <v>0</v>
      </c>
      <c r="BA194" s="187" cm="1">
        <f t="array" ref="BA194">IF($AO194=999,0,INDEX(AL$198:AL$313,$AO194))</f>
        <v>0</v>
      </c>
      <c r="BB194" s="252" t="str">
        <f>INDEX(pMenus!$C$10:$C$23,MATCH(AU194,pMenus!$B$10:$B$23,0))</f>
        <v>Interregional Connectors</v>
      </c>
      <c r="BC194" s="221">
        <f t="shared" si="141"/>
        <v>0</v>
      </c>
      <c r="BD194" s="237">
        <f t="shared" si="142"/>
        <v>0</v>
      </c>
      <c r="BE194" s="188" t="str">
        <f t="shared" si="143"/>
        <v>All Roads</v>
      </c>
      <c r="BF194" s="188" t="str">
        <f t="shared" si="126"/>
        <v>DOC</v>
      </c>
      <c r="BG194" s="188" t="str">
        <f t="shared" si="127"/>
        <v>DOC Roads</v>
      </c>
      <c r="BH194" s="188" t="str">
        <f t="shared" si="128"/>
        <v>2019/20</v>
      </c>
      <c r="BI194" s="188" t="str">
        <f t="shared" si="129"/>
        <v>RURAL</v>
      </c>
      <c r="BJ194" s="188" t="str">
        <f t="shared" si="130"/>
        <v>Stopping Places</v>
      </c>
      <c r="BK194" s="188">
        <f t="shared" si="131"/>
        <v>1.6</v>
      </c>
      <c r="BL194" s="188">
        <f t="shared" si="132"/>
        <v>8.9999999999999998E-4</v>
      </c>
      <c r="BM194" s="188">
        <f t="shared" si="133"/>
        <v>0.19</v>
      </c>
      <c r="BN194" s="188">
        <f t="shared" si="134"/>
        <v>1.42</v>
      </c>
      <c r="BO194" s="188">
        <f t="shared" si="135"/>
        <v>2.59</v>
      </c>
      <c r="BP194" s="188">
        <f t="shared" si="136"/>
        <v>0.19</v>
      </c>
      <c r="BQ194" s="253" t="str">
        <f>INDEX(pMenus!$D$10:$D$23,MATCH(BJ194,pMenus!$B$10:$B$23,0))</f>
        <v>Rural Connectors</v>
      </c>
      <c r="BR194" s="226">
        <f t="shared" si="144"/>
        <v>200.98376262759825</v>
      </c>
      <c r="BS194" s="238">
        <f t="shared" si="145"/>
        <v>325.34246575342468</v>
      </c>
    </row>
    <row r="195" spans="1:71">
      <c r="A195" s="202"/>
      <c r="B195" s="210" t="str">
        <f t="shared" si="119"/>
        <v>Activity Streets All Roads DOC</v>
      </c>
      <c r="C195" s="193">
        <f t="shared" si="138"/>
        <v>0.3</v>
      </c>
      <c r="D195" s="193">
        <f t="shared" si="139"/>
        <v>0.09</v>
      </c>
      <c r="E195" s="194">
        <f t="shared" si="137"/>
        <v>821.91780821917803</v>
      </c>
      <c r="F195" s="202"/>
      <c r="AA195" s="185" t="s">
        <v>412</v>
      </c>
      <c r="AB195" s="189" t="s">
        <v>437</v>
      </c>
      <c r="AC195" s="189" t="s">
        <v>436</v>
      </c>
      <c r="AD195" s="189" t="s">
        <v>331</v>
      </c>
      <c r="AE195" s="189" t="s">
        <v>407</v>
      </c>
      <c r="AF195" s="189" t="s">
        <v>408</v>
      </c>
      <c r="AG195" s="189">
        <v>0.3</v>
      </c>
      <c r="AH195" s="189">
        <v>2.0000000000000001E-4</v>
      </c>
      <c r="AI195" s="189">
        <v>0.3</v>
      </c>
      <c r="AJ195" s="189">
        <v>0</v>
      </c>
      <c r="AK195" s="189">
        <v>0.3</v>
      </c>
      <c r="AL195" s="189">
        <v>0.09</v>
      </c>
      <c r="AM195" s="186">
        <v>315</v>
      </c>
      <c r="AN195" s="186" t="str">
        <f t="shared" si="101"/>
        <v>DOCActivity Streets</v>
      </c>
      <c r="AO195" s="186">
        <f t="shared" si="140"/>
        <v>999</v>
      </c>
      <c r="AP195" s="187" t="s">
        <v>1105</v>
      </c>
      <c r="AQ195" s="187" t="str">
        <f t="shared" si="121"/>
        <v>DOC</v>
      </c>
      <c r="AR195" s="187" t="str">
        <f t="shared" si="122"/>
        <v>DOC Roads</v>
      </c>
      <c r="AS195" s="187" t="str">
        <f t="shared" si="123"/>
        <v>2019/20</v>
      </c>
      <c r="AT195" s="187" t="str">
        <f t="shared" si="124"/>
        <v>URBAN</v>
      </c>
      <c r="AU195" s="187" t="str">
        <f t="shared" si="125"/>
        <v>Activity Streets</v>
      </c>
      <c r="AV195" s="187" cm="1">
        <f t="array" ref="AV195">IF($AO195=999,0,INDEX(AG$198:AG$313,$AO195))</f>
        <v>0</v>
      </c>
      <c r="AW195" s="187" cm="1">
        <f t="array" ref="AW195">IF($AO195=999,0,INDEX(AH$198:AH$313,$AO195))</f>
        <v>0</v>
      </c>
      <c r="AX195" s="187" cm="1">
        <f t="array" ref="AX195">IF($AO195=999,0,INDEX(AI$198:AI$313,$AO195))</f>
        <v>0</v>
      </c>
      <c r="AY195" s="187" cm="1">
        <f t="array" ref="AY195">IF($AO195=999,0,INDEX(AJ$198:AJ$313,$AO195))</f>
        <v>0</v>
      </c>
      <c r="AZ195" s="187" cm="1">
        <f t="array" ref="AZ195">IF($AO195=999,0,INDEX(AK$198:AK$313,$AO195))</f>
        <v>0</v>
      </c>
      <c r="BA195" s="187" cm="1">
        <f t="array" ref="BA195">IF($AO195=999,0,INDEX(AL$198:AL$313,$AO195))</f>
        <v>0</v>
      </c>
      <c r="BB195" s="252" t="str">
        <f>INDEX(pMenus!$C$10:$C$23,MATCH(AU195,pMenus!$B$10:$B$23,0))</f>
        <v>Urban Connectors</v>
      </c>
      <c r="BC195" s="221">
        <f t="shared" si="141"/>
        <v>0</v>
      </c>
      <c r="BD195" s="237">
        <f t="shared" si="142"/>
        <v>0</v>
      </c>
      <c r="BE195" s="188" t="str">
        <f t="shared" si="143"/>
        <v>All Roads</v>
      </c>
      <c r="BF195" s="188" t="str">
        <f t="shared" si="126"/>
        <v>DOC</v>
      </c>
      <c r="BG195" s="188" t="str">
        <f t="shared" si="127"/>
        <v>DOC Roads</v>
      </c>
      <c r="BH195" s="188" t="str">
        <f t="shared" si="128"/>
        <v>2019/20</v>
      </c>
      <c r="BI195" s="188" t="str">
        <f t="shared" si="129"/>
        <v>URBAN</v>
      </c>
      <c r="BJ195" s="188" t="str">
        <f t="shared" si="130"/>
        <v>Activity Streets</v>
      </c>
      <c r="BK195" s="188">
        <f t="shared" si="131"/>
        <v>0.3</v>
      </c>
      <c r="BL195" s="188">
        <f t="shared" si="132"/>
        <v>2.0000000000000001E-4</v>
      </c>
      <c r="BM195" s="188">
        <f t="shared" si="133"/>
        <v>0.3</v>
      </c>
      <c r="BN195" s="188">
        <f t="shared" si="134"/>
        <v>0</v>
      </c>
      <c r="BO195" s="188">
        <f t="shared" si="135"/>
        <v>0.3</v>
      </c>
      <c r="BP195" s="188">
        <f t="shared" si="136"/>
        <v>0.09</v>
      </c>
      <c r="BQ195" s="253" t="str">
        <f>INDEX(pMenus!$D$10:$D$23,MATCH(BJ195,pMenus!$B$10:$B$23,0))</f>
        <v>Activity Streets</v>
      </c>
      <c r="BR195" s="226">
        <f t="shared" si="144"/>
        <v>821.91780821917803</v>
      </c>
      <c r="BS195" s="238">
        <f t="shared" si="145"/>
        <v>821.91780821917803</v>
      </c>
    </row>
    <row r="196" spans="1:71">
      <c r="A196" s="202"/>
      <c r="B196" s="210" t="str">
        <f t="shared" si="119"/>
        <v>Rural Connectors All Roads DOC</v>
      </c>
      <c r="C196" s="193">
        <f t="shared" si="138"/>
        <v>10.45</v>
      </c>
      <c r="D196" s="193">
        <f t="shared" si="139"/>
        <v>0.23</v>
      </c>
      <c r="E196" s="194">
        <f t="shared" si="137"/>
        <v>60.300190076686114</v>
      </c>
      <c r="F196" s="202"/>
      <c r="AA196" s="185" t="s">
        <v>412</v>
      </c>
      <c r="AB196" s="189" t="s">
        <v>437</v>
      </c>
      <c r="AC196" s="189" t="s">
        <v>436</v>
      </c>
      <c r="AD196" s="189" t="s">
        <v>331</v>
      </c>
      <c r="AE196" s="189" t="s">
        <v>407</v>
      </c>
      <c r="AF196" s="189" t="s">
        <v>418</v>
      </c>
      <c r="AG196" s="189">
        <v>5.83</v>
      </c>
      <c r="AH196" s="189">
        <v>3.2000000000000002E-3</v>
      </c>
      <c r="AI196" s="189">
        <v>3.55</v>
      </c>
      <c r="AJ196" s="189">
        <v>2.2799999999999998</v>
      </c>
      <c r="AK196" s="189">
        <v>10.45</v>
      </c>
      <c r="AL196" s="189">
        <v>0.23</v>
      </c>
      <c r="AM196" s="186">
        <v>316</v>
      </c>
      <c r="AN196" s="186" t="str">
        <f t="shared" si="101"/>
        <v>DOCLocal Streets</v>
      </c>
      <c r="AO196" s="186">
        <f t="shared" si="140"/>
        <v>999</v>
      </c>
      <c r="AP196" s="187" t="s">
        <v>1105</v>
      </c>
      <c r="AQ196" s="187" t="str">
        <f t="shared" si="121"/>
        <v>DOC</v>
      </c>
      <c r="AR196" s="187" t="str">
        <f t="shared" si="122"/>
        <v>DOC Roads</v>
      </c>
      <c r="AS196" s="187" t="str">
        <f t="shared" si="123"/>
        <v>2019/20</v>
      </c>
      <c r="AT196" s="187" t="str">
        <f t="shared" si="124"/>
        <v>URBAN</v>
      </c>
      <c r="AU196" s="187" t="str">
        <f t="shared" si="125"/>
        <v>Local Streets</v>
      </c>
      <c r="AV196" s="187" cm="1">
        <f t="array" ref="AV196">IF($AO196=999,0,INDEX(AG$198:AG$313,$AO196))</f>
        <v>0</v>
      </c>
      <c r="AW196" s="187" cm="1">
        <f t="array" ref="AW196">IF($AO196=999,0,INDEX(AH$198:AH$313,$AO196))</f>
        <v>0</v>
      </c>
      <c r="AX196" s="187" cm="1">
        <f t="array" ref="AX196">IF($AO196=999,0,INDEX(AI$198:AI$313,$AO196))</f>
        <v>0</v>
      </c>
      <c r="AY196" s="187" cm="1">
        <f t="array" ref="AY196">IF($AO196=999,0,INDEX(AJ$198:AJ$313,$AO196))</f>
        <v>0</v>
      </c>
      <c r="AZ196" s="187" cm="1">
        <f t="array" ref="AZ196">IF($AO196=999,0,INDEX(AK$198:AK$313,$AO196))</f>
        <v>0</v>
      </c>
      <c r="BA196" s="187" cm="1">
        <f t="array" ref="BA196">IF($AO196=999,0,INDEX(AL$198:AL$313,$AO196))</f>
        <v>0</v>
      </c>
      <c r="BB196" s="252" t="str">
        <f>INDEX(pMenus!$C$10:$C$23,MATCH(AU196,pMenus!$B$10:$B$23,0))</f>
        <v>NA</v>
      </c>
      <c r="BC196" s="221">
        <f t="shared" si="141"/>
        <v>0</v>
      </c>
      <c r="BD196" s="237">
        <f t="shared" si="142"/>
        <v>0</v>
      </c>
      <c r="BE196" s="188" t="str">
        <f t="shared" si="143"/>
        <v>All Roads</v>
      </c>
      <c r="BF196" s="188" t="str">
        <f t="shared" si="126"/>
        <v>DOC</v>
      </c>
      <c r="BG196" s="188" t="str">
        <f t="shared" si="127"/>
        <v>DOC Roads</v>
      </c>
      <c r="BH196" s="188" t="str">
        <f t="shared" si="128"/>
        <v>2019/20</v>
      </c>
      <c r="BI196" s="188" t="str">
        <f t="shared" si="129"/>
        <v>URBAN</v>
      </c>
      <c r="BJ196" s="188" t="str">
        <f t="shared" si="130"/>
        <v>Local Streets</v>
      </c>
      <c r="BK196" s="188">
        <f t="shared" si="131"/>
        <v>5.83</v>
      </c>
      <c r="BL196" s="188">
        <f t="shared" si="132"/>
        <v>3.2000000000000002E-3</v>
      </c>
      <c r="BM196" s="188">
        <f t="shared" si="133"/>
        <v>3.55</v>
      </c>
      <c r="BN196" s="188">
        <f t="shared" si="134"/>
        <v>2.2799999999999998</v>
      </c>
      <c r="BO196" s="188">
        <f t="shared" si="135"/>
        <v>10.45</v>
      </c>
      <c r="BP196" s="188">
        <f t="shared" si="136"/>
        <v>0.23</v>
      </c>
      <c r="BQ196" s="253" t="str">
        <f>INDEX(pMenus!$D$10:$D$23,MATCH(BJ196,pMenus!$B$10:$B$23,0))</f>
        <v>Rural Connectors</v>
      </c>
      <c r="BR196" s="226">
        <f t="shared" si="144"/>
        <v>60.300190076686114</v>
      </c>
      <c r="BS196" s="238">
        <f t="shared" si="145"/>
        <v>108.08524636387133</v>
      </c>
    </row>
    <row r="197" spans="1:71">
      <c r="A197" s="202"/>
      <c r="B197" s="210" t="str">
        <f t="shared" si="119"/>
        <v>Urban Connectors All Roads DOC</v>
      </c>
      <c r="C197" s="193">
        <f t="shared" si="138"/>
        <v>1.91</v>
      </c>
      <c r="D197" s="193">
        <f t="shared" si="139"/>
        <v>0.59</v>
      </c>
      <c r="E197" s="194">
        <f t="shared" si="137"/>
        <v>846.30280427454636</v>
      </c>
      <c r="F197" s="202"/>
      <c r="AA197" s="185" t="s">
        <v>412</v>
      </c>
      <c r="AB197" s="189" t="s">
        <v>437</v>
      </c>
      <c r="AC197" s="189" t="s">
        <v>436</v>
      </c>
      <c r="AD197" s="189" t="s">
        <v>331</v>
      </c>
      <c r="AE197" s="189" t="s">
        <v>407</v>
      </c>
      <c r="AF197" s="189" t="s">
        <v>411</v>
      </c>
      <c r="AG197" s="189">
        <v>1.91</v>
      </c>
      <c r="AH197" s="189">
        <v>1E-3</v>
      </c>
      <c r="AI197" s="189">
        <v>1.91</v>
      </c>
      <c r="AJ197" s="189">
        <v>0</v>
      </c>
      <c r="AK197" s="189">
        <v>1.91</v>
      </c>
      <c r="AL197" s="189">
        <v>0.59</v>
      </c>
      <c r="AM197" s="186">
        <v>317</v>
      </c>
      <c r="AN197" s="186" t="str">
        <f t="shared" si="101"/>
        <v>DOCUrban Connectors</v>
      </c>
      <c r="AO197" s="186">
        <f t="shared" si="140"/>
        <v>999</v>
      </c>
      <c r="AP197" s="187" t="s">
        <v>1105</v>
      </c>
      <c r="AQ197" s="187" t="str">
        <f t="shared" si="121"/>
        <v>DOC</v>
      </c>
      <c r="AR197" s="187" t="str">
        <f t="shared" si="122"/>
        <v>DOC Roads</v>
      </c>
      <c r="AS197" s="187" t="str">
        <f t="shared" si="123"/>
        <v>2019/20</v>
      </c>
      <c r="AT197" s="187" t="str">
        <f t="shared" si="124"/>
        <v>URBAN</v>
      </c>
      <c r="AU197" s="187" t="str">
        <f t="shared" si="125"/>
        <v>Urban Connectors</v>
      </c>
      <c r="AV197" s="187" cm="1">
        <f t="array" ref="AV197">IF($AO197=999,0,INDEX(AG$198:AG$313,$AO197))</f>
        <v>0</v>
      </c>
      <c r="AW197" s="187" cm="1">
        <f t="array" ref="AW197">IF($AO197=999,0,INDEX(AH$198:AH$313,$AO197))</f>
        <v>0</v>
      </c>
      <c r="AX197" s="187" cm="1">
        <f t="array" ref="AX197">IF($AO197=999,0,INDEX(AI$198:AI$313,$AO197))</f>
        <v>0</v>
      </c>
      <c r="AY197" s="187" cm="1">
        <f t="array" ref="AY197">IF($AO197=999,0,INDEX(AJ$198:AJ$313,$AO197))</f>
        <v>0</v>
      </c>
      <c r="AZ197" s="187" cm="1">
        <f t="array" ref="AZ197">IF($AO197=999,0,INDEX(AK$198:AK$313,$AO197))</f>
        <v>0</v>
      </c>
      <c r="BA197" s="187" cm="1">
        <f t="array" ref="BA197">IF($AO197=999,0,INDEX(AL$198:AL$313,$AO197))</f>
        <v>0</v>
      </c>
      <c r="BB197" s="252" t="str">
        <f>INDEX(pMenus!$C$10:$C$23,MATCH(AU197,pMenus!$B$10:$B$23,0))</f>
        <v>Urban Connectors</v>
      </c>
      <c r="BC197" s="221">
        <f t="shared" si="141"/>
        <v>0</v>
      </c>
      <c r="BD197" s="237">
        <f t="shared" si="142"/>
        <v>0</v>
      </c>
      <c r="BE197" s="188" t="str">
        <f t="shared" si="143"/>
        <v>All Roads</v>
      </c>
      <c r="BF197" s="188" t="str">
        <f t="shared" si="126"/>
        <v>DOC</v>
      </c>
      <c r="BG197" s="188" t="str">
        <f t="shared" si="127"/>
        <v>DOC Roads</v>
      </c>
      <c r="BH197" s="188" t="str">
        <f t="shared" si="128"/>
        <v>2019/20</v>
      </c>
      <c r="BI197" s="188" t="str">
        <f t="shared" si="129"/>
        <v>URBAN</v>
      </c>
      <c r="BJ197" s="188" t="str">
        <f t="shared" si="130"/>
        <v>Urban Connectors</v>
      </c>
      <c r="BK197" s="188">
        <f t="shared" si="131"/>
        <v>1.91</v>
      </c>
      <c r="BL197" s="188">
        <f t="shared" si="132"/>
        <v>1E-3</v>
      </c>
      <c r="BM197" s="188">
        <f t="shared" si="133"/>
        <v>1.91</v>
      </c>
      <c r="BN197" s="188">
        <f t="shared" si="134"/>
        <v>0</v>
      </c>
      <c r="BO197" s="188">
        <f t="shared" si="135"/>
        <v>1.91</v>
      </c>
      <c r="BP197" s="188">
        <f t="shared" si="136"/>
        <v>0.59</v>
      </c>
      <c r="BQ197" s="253" t="str">
        <f>INDEX(pMenus!$D$10:$D$23,MATCH(BJ197,pMenus!$B$10:$B$23,0))</f>
        <v>Urban Connectors</v>
      </c>
      <c r="BR197" s="226">
        <f t="shared" si="144"/>
        <v>846.30280427454636</v>
      </c>
      <c r="BS197" s="238">
        <f t="shared" si="145"/>
        <v>846.30280427454636</v>
      </c>
    </row>
    <row r="198" spans="1:71">
      <c r="A198" s="198" t="s">
        <v>442</v>
      </c>
      <c r="B198" s="195" t="str">
        <f>CONCATENATE(BB16,$E$14,AP16,$E$14,AQ16)</f>
        <v>NA NZTA Roads Auckland Region</v>
      </c>
      <c r="C198" s="196">
        <f t="shared" ref="C198:C229" si="146">AZ16</f>
        <v>94.45</v>
      </c>
      <c r="D198" s="196">
        <f t="shared" ref="D198:D229" si="147">BA16</f>
        <v>221.72</v>
      </c>
      <c r="E198" s="197">
        <f t="shared" si="137"/>
        <v>6431.4669644734849</v>
      </c>
      <c r="F198" s="202"/>
      <c r="AA198" s="185" t="s">
        <v>400</v>
      </c>
      <c r="AB198" s="185" t="s">
        <v>413</v>
      </c>
      <c r="AC198" s="185" t="s">
        <v>401</v>
      </c>
      <c r="AD198" s="185" t="s">
        <v>331</v>
      </c>
      <c r="AE198" s="185"/>
      <c r="AF198" s="185" t="s">
        <v>402</v>
      </c>
      <c r="AG198" s="185">
        <v>52.92</v>
      </c>
      <c r="AH198" s="185">
        <v>9.4399999999999998E-2</v>
      </c>
      <c r="AI198" s="185">
        <v>52.92</v>
      </c>
      <c r="AJ198" s="185">
        <v>0</v>
      </c>
      <c r="AK198" s="185">
        <v>94.45</v>
      </c>
      <c r="AL198" s="185">
        <v>221.72</v>
      </c>
      <c r="AM198" s="186">
        <v>1</v>
      </c>
      <c r="AN198" s="186" t="str">
        <f t="shared" si="101"/>
        <v>Auckland RegionUnclassified</v>
      </c>
      <c r="AO198" s="18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86"/>
    </row>
    <row r="199" spans="1:71">
      <c r="A199" s="202"/>
      <c r="B199" s="195" t="str">
        <f t="shared" ref="B199:B262" si="148">CONCATENATE(BB17,$E$14,AP17,$E$14,AQ17)</f>
        <v>Interregional Connectors NZTA Roads Auckland Region</v>
      </c>
      <c r="C199" s="196">
        <f t="shared" si="146"/>
        <v>239.03</v>
      </c>
      <c r="D199" s="196">
        <f t="shared" si="147"/>
        <v>770.95</v>
      </c>
      <c r="E199" s="197">
        <f t="shared" si="137"/>
        <v>8836.5133281258331</v>
      </c>
      <c r="F199" s="202"/>
      <c r="AA199" s="185" t="s">
        <v>400</v>
      </c>
      <c r="AB199" s="185" t="s">
        <v>413</v>
      </c>
      <c r="AC199" s="185" t="s">
        <v>401</v>
      </c>
      <c r="AD199" s="185" t="s">
        <v>331</v>
      </c>
      <c r="AE199" s="185" t="s">
        <v>403</v>
      </c>
      <c r="AF199" s="185" t="s">
        <v>404</v>
      </c>
      <c r="AG199" s="185">
        <v>113.02</v>
      </c>
      <c r="AH199" s="185">
        <v>0.2016</v>
      </c>
      <c r="AI199" s="185">
        <v>113.02</v>
      </c>
      <c r="AJ199" s="185">
        <v>0</v>
      </c>
      <c r="AK199" s="185">
        <v>239.03</v>
      </c>
      <c r="AL199" s="185">
        <v>770.95</v>
      </c>
      <c r="AM199" s="186">
        <v>2</v>
      </c>
      <c r="AN199" s="186" t="str">
        <f t="shared" si="101"/>
        <v>Auckland RegionInterregional Connectors</v>
      </c>
      <c r="AO199" s="18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86"/>
    </row>
    <row r="200" spans="1:71">
      <c r="A200" s="202"/>
      <c r="B200" s="195" t="str">
        <f t="shared" si="148"/>
        <v>Interregional Connectors NZTA Roads Auckland Region</v>
      </c>
      <c r="C200" s="196">
        <f t="shared" si="146"/>
        <v>18.47</v>
      </c>
      <c r="D200" s="196">
        <f t="shared" si="147"/>
        <v>64.58</v>
      </c>
      <c r="E200" s="197">
        <f t="shared" si="137"/>
        <v>9579.399396281271</v>
      </c>
      <c r="F200" s="202"/>
      <c r="AA200" s="185" t="s">
        <v>400</v>
      </c>
      <c r="AB200" s="185" t="s">
        <v>413</v>
      </c>
      <c r="AC200" s="185" t="s">
        <v>401</v>
      </c>
      <c r="AD200" s="185" t="s">
        <v>331</v>
      </c>
      <c r="AE200" s="185" t="s">
        <v>403</v>
      </c>
      <c r="AF200" s="185" t="s">
        <v>405</v>
      </c>
      <c r="AG200" s="185">
        <v>8.64</v>
      </c>
      <c r="AH200" s="185">
        <v>1.54E-2</v>
      </c>
      <c r="AI200" s="185">
        <v>8.64</v>
      </c>
      <c r="AJ200" s="185">
        <v>0</v>
      </c>
      <c r="AK200" s="185">
        <v>18.47</v>
      </c>
      <c r="AL200" s="185">
        <v>64.58</v>
      </c>
      <c r="AM200" s="186">
        <v>3</v>
      </c>
      <c r="AN200" s="186" t="str">
        <f t="shared" si="101"/>
        <v>Auckland RegionPeri-urban Roads</v>
      </c>
      <c r="AO200" s="18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86"/>
    </row>
    <row r="201" spans="1:71">
      <c r="A201" s="202"/>
      <c r="B201" s="195" t="str">
        <f t="shared" si="148"/>
        <v>Rural Connectors NZTA Roads Auckland Region</v>
      </c>
      <c r="C201" s="196">
        <f t="shared" si="146"/>
        <v>122.21</v>
      </c>
      <c r="D201" s="196">
        <f t="shared" si="147"/>
        <v>67.28</v>
      </c>
      <c r="E201" s="197">
        <f t="shared" si="137"/>
        <v>1508.2952878102255</v>
      </c>
      <c r="F201" s="202"/>
      <c r="AA201" s="185" t="s">
        <v>400</v>
      </c>
      <c r="AB201" s="185" t="s">
        <v>413</v>
      </c>
      <c r="AC201" s="185" t="s">
        <v>401</v>
      </c>
      <c r="AD201" s="185" t="s">
        <v>331</v>
      </c>
      <c r="AE201" s="185" t="s">
        <v>403</v>
      </c>
      <c r="AF201" s="185" t="s">
        <v>406</v>
      </c>
      <c r="AG201" s="185">
        <v>61.11</v>
      </c>
      <c r="AH201" s="185">
        <v>0.109</v>
      </c>
      <c r="AI201" s="185">
        <v>61.11</v>
      </c>
      <c r="AJ201" s="185">
        <v>0</v>
      </c>
      <c r="AK201" s="185">
        <v>122.21</v>
      </c>
      <c r="AL201" s="185">
        <v>67.28</v>
      </c>
      <c r="AM201" s="186">
        <v>4</v>
      </c>
      <c r="AN201" s="186" t="str">
        <f t="shared" si="101"/>
        <v>Auckland RegionRural Connectors</v>
      </c>
      <c r="AO201" s="18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86"/>
    </row>
    <row r="202" spans="1:71">
      <c r="A202" s="202"/>
      <c r="B202" s="195" t="str">
        <f t="shared" si="148"/>
        <v>NA NZTA Roads Auckland Region</v>
      </c>
      <c r="C202" s="196">
        <f t="shared" si="146"/>
        <v>0</v>
      </c>
      <c r="D202" s="196">
        <f t="shared" si="147"/>
        <v>0</v>
      </c>
      <c r="E202" s="197">
        <f t="shared" si="137"/>
        <v>0</v>
      </c>
      <c r="F202" s="202"/>
      <c r="AA202" s="185" t="s">
        <v>400</v>
      </c>
      <c r="AB202" s="185" t="s">
        <v>413</v>
      </c>
      <c r="AC202" s="185" t="s">
        <v>401</v>
      </c>
      <c r="AD202" s="185" t="s">
        <v>331</v>
      </c>
      <c r="AE202" s="185" t="s">
        <v>407</v>
      </c>
      <c r="AF202" s="185" t="s">
        <v>408</v>
      </c>
      <c r="AG202" s="185">
        <v>3.09</v>
      </c>
      <c r="AH202" s="185">
        <v>5.4999999999999997E-3</v>
      </c>
      <c r="AI202" s="185">
        <v>3.09</v>
      </c>
      <c r="AJ202" s="185">
        <v>0</v>
      </c>
      <c r="AK202" s="185">
        <v>6.18</v>
      </c>
      <c r="AL202" s="185">
        <v>16.89</v>
      </c>
      <c r="AM202" s="186">
        <v>5</v>
      </c>
      <c r="AN202" s="186" t="str">
        <f t="shared" si="101"/>
        <v>Auckland RegionActivity Streets</v>
      </c>
      <c r="AO202" s="18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86"/>
    </row>
    <row r="203" spans="1:71">
      <c r="A203" s="202"/>
      <c r="B203" s="195" t="str">
        <f t="shared" si="148"/>
        <v>Interregional Connectors NZTA Roads Auckland Region</v>
      </c>
      <c r="C203" s="196">
        <f t="shared" si="146"/>
        <v>0</v>
      </c>
      <c r="D203" s="196">
        <f t="shared" si="147"/>
        <v>0</v>
      </c>
      <c r="E203" s="197">
        <f t="shared" si="137"/>
        <v>0</v>
      </c>
      <c r="F203" s="202"/>
      <c r="AA203" s="185" t="s">
        <v>400</v>
      </c>
      <c r="AB203" s="185" t="s">
        <v>413</v>
      </c>
      <c r="AC203" s="185" t="s">
        <v>401</v>
      </c>
      <c r="AD203" s="185" t="s">
        <v>331</v>
      </c>
      <c r="AE203" s="185" t="s">
        <v>407</v>
      </c>
      <c r="AF203" s="185" t="s">
        <v>409</v>
      </c>
      <c r="AG203" s="185">
        <v>0.68</v>
      </c>
      <c r="AH203" s="185">
        <v>1.1999999999999999E-3</v>
      </c>
      <c r="AI203" s="185">
        <v>0.68</v>
      </c>
      <c r="AJ203" s="185">
        <v>0</v>
      </c>
      <c r="AK203" s="185">
        <v>1.36</v>
      </c>
      <c r="AL203" s="185">
        <v>3</v>
      </c>
      <c r="AM203" s="186">
        <v>6</v>
      </c>
      <c r="AN203" s="186" t="str">
        <f t="shared" si="101"/>
        <v>Auckland RegionMain Streets</v>
      </c>
      <c r="AO203" s="18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86"/>
    </row>
    <row r="204" spans="1:71">
      <c r="A204" s="202"/>
      <c r="B204" s="195" t="str">
        <f t="shared" si="148"/>
        <v>Urban Connectors NZTA Roads Auckland Region</v>
      </c>
      <c r="C204" s="196">
        <f t="shared" si="146"/>
        <v>6.18</v>
      </c>
      <c r="D204" s="196">
        <f t="shared" si="147"/>
        <v>16.89</v>
      </c>
      <c r="E204" s="197">
        <f t="shared" si="137"/>
        <v>7487.6978321585329</v>
      </c>
      <c r="F204" s="202"/>
      <c r="AA204" s="185" t="s">
        <v>400</v>
      </c>
      <c r="AB204" s="185" t="s">
        <v>413</v>
      </c>
      <c r="AC204" s="185" t="s">
        <v>401</v>
      </c>
      <c r="AD204" s="185" t="s">
        <v>331</v>
      </c>
      <c r="AE204" s="185" t="s">
        <v>407</v>
      </c>
      <c r="AF204" s="185" t="s">
        <v>410</v>
      </c>
      <c r="AG204" s="185">
        <v>300.02</v>
      </c>
      <c r="AH204" s="185">
        <v>0.53520000000000001</v>
      </c>
      <c r="AI204" s="185">
        <v>300.02</v>
      </c>
      <c r="AJ204" s="185">
        <v>0</v>
      </c>
      <c r="AK204" s="185">
        <v>746.21</v>
      </c>
      <c r="AL204" s="185">
        <v>4316.74</v>
      </c>
      <c r="AM204" s="186">
        <v>7</v>
      </c>
      <c r="AN204" s="186" t="str">
        <f t="shared" si="101"/>
        <v>Auckland RegionTransit Corridors</v>
      </c>
      <c r="AO204" s="18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86"/>
    </row>
    <row r="205" spans="1:71">
      <c r="A205" s="202"/>
      <c r="B205" s="195" t="str">
        <f t="shared" si="148"/>
        <v>NA NZTA Roads Auckland Region</v>
      </c>
      <c r="C205" s="196">
        <f t="shared" si="146"/>
        <v>0</v>
      </c>
      <c r="D205" s="196">
        <f t="shared" si="147"/>
        <v>0</v>
      </c>
      <c r="E205" s="197">
        <f t="shared" si="137"/>
        <v>0</v>
      </c>
      <c r="F205" s="202"/>
      <c r="AA205" s="185" t="s">
        <v>400</v>
      </c>
      <c r="AB205" s="185" t="s">
        <v>413</v>
      </c>
      <c r="AC205" s="185" t="s">
        <v>401</v>
      </c>
      <c r="AD205" s="185" t="s">
        <v>331</v>
      </c>
      <c r="AE205" s="185" t="s">
        <v>407</v>
      </c>
      <c r="AF205" s="185" t="s">
        <v>411</v>
      </c>
      <c r="AG205" s="185">
        <v>21.09</v>
      </c>
      <c r="AH205" s="185">
        <v>3.7600000000000001E-2</v>
      </c>
      <c r="AI205" s="185">
        <v>21.09</v>
      </c>
      <c r="AJ205" s="185">
        <v>0</v>
      </c>
      <c r="AK205" s="185">
        <v>46.49</v>
      </c>
      <c r="AL205" s="185">
        <v>115.74</v>
      </c>
      <c r="AM205" s="186">
        <v>8</v>
      </c>
      <c r="AN205" s="186" t="str">
        <f t="shared" si="101"/>
        <v>Auckland RegionUrban Connectors</v>
      </c>
      <c r="AO205" s="18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86"/>
    </row>
    <row r="206" spans="1:71">
      <c r="A206" s="202"/>
      <c r="B206" s="195" t="str">
        <f t="shared" si="148"/>
        <v>NA NZTA Roads Auckland Region</v>
      </c>
      <c r="C206" s="196">
        <f t="shared" si="146"/>
        <v>0</v>
      </c>
      <c r="D206" s="196">
        <f t="shared" si="147"/>
        <v>0</v>
      </c>
      <c r="E206" s="197">
        <f t="shared" si="137"/>
        <v>0</v>
      </c>
      <c r="F206" s="202"/>
      <c r="AA206" s="185" t="s">
        <v>400</v>
      </c>
      <c r="AB206" s="185" t="s">
        <v>419</v>
      </c>
      <c r="AC206" s="185" t="s">
        <v>401</v>
      </c>
      <c r="AD206" s="185" t="s">
        <v>331</v>
      </c>
      <c r="AE206" s="185"/>
      <c r="AF206" s="185" t="s">
        <v>402</v>
      </c>
      <c r="AG206" s="185">
        <v>18.059999999999999</v>
      </c>
      <c r="AH206" s="185">
        <v>2.23E-2</v>
      </c>
      <c r="AI206" s="185">
        <v>18.059999999999999</v>
      </c>
      <c r="AJ206" s="185">
        <v>0</v>
      </c>
      <c r="AK206" s="185">
        <v>36.54</v>
      </c>
      <c r="AL206" s="185">
        <v>77.489999999999995</v>
      </c>
      <c r="AM206" s="186">
        <v>22</v>
      </c>
      <c r="AN206" s="186" t="str">
        <f t="shared" si="101"/>
        <v>Bay of Plenty RegionUnclassified</v>
      </c>
      <c r="AO206" s="18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86"/>
    </row>
    <row r="207" spans="1:71">
      <c r="A207" s="202"/>
      <c r="B207" s="195" t="str">
        <f t="shared" si="148"/>
        <v>NA NZTA Roads Auckland Region</v>
      </c>
      <c r="C207" s="196">
        <f t="shared" si="146"/>
        <v>0</v>
      </c>
      <c r="D207" s="196">
        <f t="shared" si="147"/>
        <v>0</v>
      </c>
      <c r="E207" s="197">
        <f t="shared" si="137"/>
        <v>0</v>
      </c>
      <c r="F207" s="202"/>
      <c r="AA207" s="185" t="s">
        <v>400</v>
      </c>
      <c r="AB207" s="185" t="s">
        <v>419</v>
      </c>
      <c r="AC207" s="185" t="s">
        <v>401</v>
      </c>
      <c r="AD207" s="185" t="s">
        <v>331</v>
      </c>
      <c r="AE207" s="185" t="s">
        <v>403</v>
      </c>
      <c r="AF207" s="185" t="s">
        <v>404</v>
      </c>
      <c r="AG207" s="185">
        <v>225.08</v>
      </c>
      <c r="AH207" s="185">
        <v>0.2777</v>
      </c>
      <c r="AI207" s="185">
        <v>225.08</v>
      </c>
      <c r="AJ207" s="185">
        <v>0</v>
      </c>
      <c r="AK207" s="185">
        <v>466.44</v>
      </c>
      <c r="AL207" s="185">
        <v>771.83</v>
      </c>
      <c r="AM207" s="186">
        <v>23</v>
      </c>
      <c r="AN207" s="186" t="str">
        <f t="shared" si="101"/>
        <v>Bay of Plenty RegionInterregional Connectors</v>
      </c>
      <c r="AO207" s="18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86"/>
    </row>
    <row r="208" spans="1:71">
      <c r="A208" s="202"/>
      <c r="B208" s="195" t="str">
        <f t="shared" si="148"/>
        <v>Urban Connectors NZTA Roads Auckland Region</v>
      </c>
      <c r="C208" s="196">
        <f t="shared" si="146"/>
        <v>1.36</v>
      </c>
      <c r="D208" s="196">
        <f t="shared" si="147"/>
        <v>3</v>
      </c>
      <c r="E208" s="197">
        <f t="shared" si="137"/>
        <v>6043.5132957292508</v>
      </c>
      <c r="F208" s="202"/>
      <c r="AA208" s="185" t="s">
        <v>400</v>
      </c>
      <c r="AB208" s="185" t="s">
        <v>419</v>
      </c>
      <c r="AC208" s="185" t="s">
        <v>401</v>
      </c>
      <c r="AD208" s="185" t="s">
        <v>331</v>
      </c>
      <c r="AE208" s="185" t="s">
        <v>403</v>
      </c>
      <c r="AF208" s="185" t="s">
        <v>405</v>
      </c>
      <c r="AG208" s="185">
        <v>10.96</v>
      </c>
      <c r="AH208" s="185">
        <v>1.35E-2</v>
      </c>
      <c r="AI208" s="185">
        <v>10.96</v>
      </c>
      <c r="AJ208" s="185">
        <v>0</v>
      </c>
      <c r="AK208" s="185">
        <v>21.92</v>
      </c>
      <c r="AL208" s="185">
        <v>16.489999999999998</v>
      </c>
      <c r="AM208" s="186">
        <v>24</v>
      </c>
      <c r="AN208" s="186" t="str">
        <f t="shared" ref="AN208:AN271" si="149">AB208&amp;AF208</f>
        <v>Bay of Plenty RegionPeri-urban Roads</v>
      </c>
      <c r="AO208" s="18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86"/>
    </row>
    <row r="209" spans="1:70">
      <c r="A209" s="202"/>
      <c r="B209" s="195" t="str">
        <f t="shared" si="148"/>
        <v>Transit Corridors NZTA Roads Auckland Region</v>
      </c>
      <c r="C209" s="196">
        <f t="shared" si="146"/>
        <v>746.21</v>
      </c>
      <c r="D209" s="196">
        <f t="shared" si="147"/>
        <v>4316.74</v>
      </c>
      <c r="E209" s="197">
        <f t="shared" si="137"/>
        <v>15849.003539897412</v>
      </c>
      <c r="F209" s="202"/>
      <c r="AA209" s="185" t="s">
        <v>400</v>
      </c>
      <c r="AB209" s="185" t="s">
        <v>419</v>
      </c>
      <c r="AC209" s="185" t="s">
        <v>401</v>
      </c>
      <c r="AD209" s="185" t="s">
        <v>331</v>
      </c>
      <c r="AE209" s="185" t="s">
        <v>403</v>
      </c>
      <c r="AF209" s="185" t="s">
        <v>406</v>
      </c>
      <c r="AG209" s="185">
        <v>430.13</v>
      </c>
      <c r="AH209" s="185">
        <v>0.53069999999999995</v>
      </c>
      <c r="AI209" s="185">
        <v>430.13</v>
      </c>
      <c r="AJ209" s="185">
        <v>0</v>
      </c>
      <c r="AK209" s="185">
        <v>867.97</v>
      </c>
      <c r="AL209" s="185">
        <v>482.76</v>
      </c>
      <c r="AM209" s="186">
        <v>25</v>
      </c>
      <c r="AN209" s="186" t="str">
        <f t="shared" si="149"/>
        <v>Bay of Plenty RegionRural Connectors</v>
      </c>
      <c r="AO209" s="18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86"/>
    </row>
    <row r="210" spans="1:70">
      <c r="A210" s="202"/>
      <c r="B210" s="195" t="str">
        <f t="shared" si="148"/>
        <v>Urban Connectors NZTA Roads Auckland Region</v>
      </c>
      <c r="C210" s="196">
        <f t="shared" si="146"/>
        <v>46.49</v>
      </c>
      <c r="D210" s="196">
        <f t="shared" si="147"/>
        <v>115.74</v>
      </c>
      <c r="E210" s="197">
        <f t="shared" si="137"/>
        <v>6820.7332848130545</v>
      </c>
      <c r="F210" s="202"/>
      <c r="AA210" s="185" t="s">
        <v>400</v>
      </c>
      <c r="AB210" s="185" t="s">
        <v>419</v>
      </c>
      <c r="AC210" s="185" t="s">
        <v>401</v>
      </c>
      <c r="AD210" s="185" t="s">
        <v>331</v>
      </c>
      <c r="AE210" s="185" t="s">
        <v>403</v>
      </c>
      <c r="AF210" s="185" t="s">
        <v>415</v>
      </c>
      <c r="AG210" s="185">
        <v>0.12</v>
      </c>
      <c r="AH210" s="185">
        <v>1E-4</v>
      </c>
      <c r="AI210" s="185">
        <v>0.12</v>
      </c>
      <c r="AJ210" s="185">
        <v>0</v>
      </c>
      <c r="AK210" s="185">
        <v>0.35</v>
      </c>
      <c r="AL210" s="185">
        <v>0.52</v>
      </c>
      <c r="AM210" s="186">
        <v>26</v>
      </c>
      <c r="AN210" s="186" t="str">
        <f t="shared" si="149"/>
        <v>Bay of Plenty RegionStopping Places</v>
      </c>
      <c r="AO210" s="18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86"/>
    </row>
    <row r="211" spans="1:70">
      <c r="A211" s="202"/>
      <c r="B211" s="195" t="str">
        <f t="shared" si="148"/>
        <v>NA NZTA Roads Bay of Plenty Region</v>
      </c>
      <c r="C211" s="196">
        <f t="shared" si="146"/>
        <v>36.54</v>
      </c>
      <c r="D211" s="196">
        <f t="shared" si="147"/>
        <v>77.489999999999995</v>
      </c>
      <c r="E211" s="197">
        <f t="shared" si="137"/>
        <v>5810.108644307983</v>
      </c>
      <c r="F211" s="202"/>
      <c r="AA211" s="185" t="s">
        <v>400</v>
      </c>
      <c r="AB211" s="185" t="s">
        <v>419</v>
      </c>
      <c r="AC211" s="185" t="s">
        <v>401</v>
      </c>
      <c r="AD211" s="185" t="s">
        <v>331</v>
      </c>
      <c r="AE211" s="185" t="s">
        <v>407</v>
      </c>
      <c r="AF211" s="185" t="s">
        <v>408</v>
      </c>
      <c r="AG211" s="185">
        <v>10.31</v>
      </c>
      <c r="AH211" s="185">
        <v>1.2699999999999999E-2</v>
      </c>
      <c r="AI211" s="185">
        <v>10.31</v>
      </c>
      <c r="AJ211" s="185">
        <v>0</v>
      </c>
      <c r="AK211" s="185">
        <v>20.79</v>
      </c>
      <c r="AL211" s="185">
        <v>37.97</v>
      </c>
      <c r="AM211" s="186">
        <v>27</v>
      </c>
      <c r="AN211" s="186" t="str">
        <f t="shared" si="149"/>
        <v>Bay of Plenty RegionActivity Streets</v>
      </c>
      <c r="AO211" s="18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86"/>
    </row>
    <row r="212" spans="1:70">
      <c r="A212" s="202"/>
      <c r="B212" s="195" t="str">
        <f t="shared" si="148"/>
        <v>Interregional Connectors NZTA Roads Bay of Plenty Region</v>
      </c>
      <c r="C212" s="196">
        <f t="shared" si="146"/>
        <v>466.44</v>
      </c>
      <c r="D212" s="196">
        <f t="shared" si="147"/>
        <v>771.83</v>
      </c>
      <c r="E212" s="197">
        <f t="shared" si="137"/>
        <v>4533.4935677172361</v>
      </c>
      <c r="F212" s="202"/>
      <c r="AA212" s="185" t="s">
        <v>400</v>
      </c>
      <c r="AB212" s="185" t="s">
        <v>419</v>
      </c>
      <c r="AC212" s="185" t="s">
        <v>401</v>
      </c>
      <c r="AD212" s="185" t="s">
        <v>331</v>
      </c>
      <c r="AE212" s="185" t="s">
        <v>407</v>
      </c>
      <c r="AF212" s="185" t="s">
        <v>409</v>
      </c>
      <c r="AG212" s="185">
        <v>0.19</v>
      </c>
      <c r="AH212" s="185">
        <v>2.0000000000000001E-4</v>
      </c>
      <c r="AI212" s="185">
        <v>0.19</v>
      </c>
      <c r="AJ212" s="185">
        <v>0</v>
      </c>
      <c r="AK212" s="185">
        <v>0.38</v>
      </c>
      <c r="AL212" s="185">
        <v>0.89</v>
      </c>
      <c r="AM212" s="186">
        <v>28</v>
      </c>
      <c r="AN212" s="186" t="str">
        <f t="shared" si="149"/>
        <v>Bay of Plenty RegionMain Streets</v>
      </c>
      <c r="AO212" s="186"/>
      <c r="AP212" s="136"/>
      <c r="AQ212" s="136"/>
      <c r="AR212" s="136"/>
      <c r="AS212" s="136"/>
      <c r="AT212" s="136"/>
      <c r="AU212" s="136"/>
      <c r="AV212" s="136"/>
      <c r="AW212" s="136"/>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86"/>
    </row>
    <row r="213" spans="1:70">
      <c r="A213" s="202"/>
      <c r="B213" s="195" t="str">
        <f t="shared" si="148"/>
        <v>Interregional Connectors NZTA Roads Bay of Plenty Region</v>
      </c>
      <c r="C213" s="196">
        <f t="shared" si="146"/>
        <v>21.92</v>
      </c>
      <c r="D213" s="196">
        <f t="shared" si="147"/>
        <v>16.489999999999998</v>
      </c>
      <c r="E213" s="197">
        <f t="shared" si="137"/>
        <v>2061.0438956104385</v>
      </c>
      <c r="F213" s="202"/>
      <c r="AA213" s="185" t="s">
        <v>400</v>
      </c>
      <c r="AB213" s="185" t="s">
        <v>419</v>
      </c>
      <c r="AC213" s="185" t="s">
        <v>401</v>
      </c>
      <c r="AD213" s="185" t="s">
        <v>331</v>
      </c>
      <c r="AE213" s="185" t="s">
        <v>407</v>
      </c>
      <c r="AF213" s="185" t="s">
        <v>410</v>
      </c>
      <c r="AG213" s="185">
        <v>36.32</v>
      </c>
      <c r="AH213" s="185">
        <v>4.48E-2</v>
      </c>
      <c r="AI213" s="185">
        <v>36.32</v>
      </c>
      <c r="AJ213" s="185">
        <v>0</v>
      </c>
      <c r="AK213" s="185">
        <v>72.569999999999993</v>
      </c>
      <c r="AL213" s="185">
        <v>224.97</v>
      </c>
      <c r="AM213" s="186">
        <v>29</v>
      </c>
      <c r="AN213" s="186" t="str">
        <f t="shared" si="149"/>
        <v>Bay of Plenty RegionTransit Corridors</v>
      </c>
      <c r="AO213" s="18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86"/>
    </row>
    <row r="214" spans="1:70">
      <c r="A214" s="202"/>
      <c r="B214" s="195" t="str">
        <f t="shared" si="148"/>
        <v>Rural Connectors NZTA Roads Bay of Plenty Region</v>
      </c>
      <c r="C214" s="196">
        <f t="shared" si="146"/>
        <v>867.97</v>
      </c>
      <c r="D214" s="196">
        <f t="shared" si="147"/>
        <v>482.76</v>
      </c>
      <c r="E214" s="197">
        <f t="shared" si="137"/>
        <v>1523.820105517819</v>
      </c>
      <c r="F214" s="202"/>
      <c r="AA214" s="185" t="s">
        <v>400</v>
      </c>
      <c r="AB214" s="185" t="s">
        <v>419</v>
      </c>
      <c r="AC214" s="185" t="s">
        <v>401</v>
      </c>
      <c r="AD214" s="185" t="s">
        <v>331</v>
      </c>
      <c r="AE214" s="185" t="s">
        <v>407</v>
      </c>
      <c r="AF214" s="185" t="s">
        <v>411</v>
      </c>
      <c r="AG214" s="185">
        <v>79.290000000000006</v>
      </c>
      <c r="AH214" s="185">
        <v>9.7799999999999998E-2</v>
      </c>
      <c r="AI214" s="185">
        <v>79.290000000000006</v>
      </c>
      <c r="AJ214" s="185">
        <v>0</v>
      </c>
      <c r="AK214" s="185">
        <v>171.05</v>
      </c>
      <c r="AL214" s="185">
        <v>335.42</v>
      </c>
      <c r="AM214" s="186">
        <v>30</v>
      </c>
      <c r="AN214" s="186" t="str">
        <f t="shared" si="149"/>
        <v>Bay of Plenty RegionUrban Connectors</v>
      </c>
      <c r="AO214" s="18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86"/>
    </row>
    <row r="215" spans="1:70">
      <c r="A215" s="202"/>
      <c r="B215" s="195" t="str">
        <f t="shared" si="148"/>
        <v>NA NZTA Roads Bay of Plenty Region</v>
      </c>
      <c r="C215" s="196">
        <f t="shared" si="146"/>
        <v>0</v>
      </c>
      <c r="D215" s="196">
        <f t="shared" si="147"/>
        <v>0</v>
      </c>
      <c r="E215" s="197">
        <f t="shared" si="137"/>
        <v>0</v>
      </c>
      <c r="F215" s="202"/>
      <c r="AA215" s="185" t="s">
        <v>400</v>
      </c>
      <c r="AB215" s="185" t="s">
        <v>420</v>
      </c>
      <c r="AC215" s="185" t="s">
        <v>401</v>
      </c>
      <c r="AD215" s="185" t="s">
        <v>331</v>
      </c>
      <c r="AE215" s="185"/>
      <c r="AF215" s="185" t="s">
        <v>402</v>
      </c>
      <c r="AG215" s="185">
        <v>32.82</v>
      </c>
      <c r="AH215" s="185">
        <v>2.35E-2</v>
      </c>
      <c r="AI215" s="185">
        <v>32.82</v>
      </c>
      <c r="AJ215" s="185">
        <v>0</v>
      </c>
      <c r="AK215" s="185">
        <v>67.13</v>
      </c>
      <c r="AL215" s="185">
        <v>181.8</v>
      </c>
      <c r="AM215" s="186">
        <v>43</v>
      </c>
      <c r="AN215" s="186" t="str">
        <f t="shared" si="149"/>
        <v>Canterbury RegionUnclassified</v>
      </c>
      <c r="AO215" s="18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86"/>
    </row>
    <row r="216" spans="1:70">
      <c r="A216" s="202"/>
      <c r="B216" s="195" t="str">
        <f t="shared" si="148"/>
        <v>Interregional Connectors NZTA Roads Bay of Plenty Region</v>
      </c>
      <c r="C216" s="196">
        <f t="shared" si="146"/>
        <v>0.35</v>
      </c>
      <c r="D216" s="196">
        <f t="shared" si="147"/>
        <v>0.52</v>
      </c>
      <c r="E216" s="197">
        <f t="shared" si="137"/>
        <v>4070.4500978473579</v>
      </c>
      <c r="F216" s="202"/>
      <c r="AA216" s="185" t="s">
        <v>400</v>
      </c>
      <c r="AB216" s="185" t="s">
        <v>420</v>
      </c>
      <c r="AC216" s="185" t="s">
        <v>401</v>
      </c>
      <c r="AD216" s="185" t="s">
        <v>331</v>
      </c>
      <c r="AE216" s="185" t="s">
        <v>403</v>
      </c>
      <c r="AF216" s="185" t="s">
        <v>404</v>
      </c>
      <c r="AG216" s="185">
        <v>568.54</v>
      </c>
      <c r="AH216" s="185">
        <v>0.40689999999999998</v>
      </c>
      <c r="AI216" s="185">
        <v>568.54</v>
      </c>
      <c r="AJ216" s="185">
        <v>0</v>
      </c>
      <c r="AK216" s="185">
        <v>1190.75</v>
      </c>
      <c r="AL216" s="185">
        <v>1364.83</v>
      </c>
      <c r="AM216" s="186">
        <v>44</v>
      </c>
      <c r="AN216" s="186" t="str">
        <f t="shared" si="149"/>
        <v>Canterbury RegionInterregional Connectors</v>
      </c>
      <c r="AO216" s="18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86"/>
    </row>
    <row r="217" spans="1:70">
      <c r="A217" s="202"/>
      <c r="B217" s="195" t="str">
        <f t="shared" si="148"/>
        <v>Urban Connectors NZTA Roads Bay of Plenty Region</v>
      </c>
      <c r="C217" s="196">
        <f t="shared" si="146"/>
        <v>20.79</v>
      </c>
      <c r="D217" s="196">
        <f t="shared" si="147"/>
        <v>37.97</v>
      </c>
      <c r="E217" s="197">
        <f t="shared" si="137"/>
        <v>5003.7228119419897</v>
      </c>
      <c r="F217" s="202"/>
      <c r="AA217" s="185" t="s">
        <v>400</v>
      </c>
      <c r="AB217" s="185" t="s">
        <v>420</v>
      </c>
      <c r="AC217" s="185" t="s">
        <v>401</v>
      </c>
      <c r="AD217" s="185" t="s">
        <v>331</v>
      </c>
      <c r="AE217" s="185" t="s">
        <v>403</v>
      </c>
      <c r="AF217" s="185" t="s">
        <v>405</v>
      </c>
      <c r="AG217" s="185">
        <v>5.58</v>
      </c>
      <c r="AH217" s="185">
        <v>4.0000000000000001E-3</v>
      </c>
      <c r="AI217" s="185">
        <v>5.58</v>
      </c>
      <c r="AJ217" s="185">
        <v>0</v>
      </c>
      <c r="AK217" s="185">
        <v>11.16</v>
      </c>
      <c r="AL217" s="185">
        <v>5.69</v>
      </c>
      <c r="AM217" s="186">
        <v>45</v>
      </c>
      <c r="AN217" s="186" t="str">
        <f t="shared" si="149"/>
        <v>Canterbury RegionPeri-urban Roads</v>
      </c>
      <c r="AO217" s="186"/>
      <c r="AP217" s="136"/>
      <c r="AQ217" s="136"/>
      <c r="AR217" s="136"/>
      <c r="AS217" s="136"/>
      <c r="AT217" s="136"/>
      <c r="AU217" s="136"/>
      <c r="AV217" s="136"/>
      <c r="AW217" s="136"/>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86"/>
    </row>
    <row r="218" spans="1:70">
      <c r="A218" s="202"/>
      <c r="B218" s="195" t="str">
        <f t="shared" si="148"/>
        <v>NA NZTA Roads Bay of Plenty Region</v>
      </c>
      <c r="C218" s="196">
        <f t="shared" si="146"/>
        <v>0</v>
      </c>
      <c r="D218" s="196">
        <f t="shared" si="147"/>
        <v>0</v>
      </c>
      <c r="E218" s="197">
        <f t="shared" si="137"/>
        <v>0</v>
      </c>
      <c r="F218" s="202"/>
      <c r="AA218" s="185" t="s">
        <v>400</v>
      </c>
      <c r="AB218" s="185" t="s">
        <v>420</v>
      </c>
      <c r="AC218" s="185" t="s">
        <v>401</v>
      </c>
      <c r="AD218" s="185" t="s">
        <v>331</v>
      </c>
      <c r="AE218" s="185" t="s">
        <v>403</v>
      </c>
      <c r="AF218" s="185" t="s">
        <v>406</v>
      </c>
      <c r="AG218" s="185">
        <v>621.92999999999995</v>
      </c>
      <c r="AH218" s="185">
        <v>0.4451</v>
      </c>
      <c r="AI218" s="185">
        <v>621.92999999999995</v>
      </c>
      <c r="AJ218" s="185">
        <v>0</v>
      </c>
      <c r="AK218" s="185">
        <v>1243.9000000000001</v>
      </c>
      <c r="AL218" s="185">
        <v>553.29</v>
      </c>
      <c r="AM218" s="186">
        <v>46</v>
      </c>
      <c r="AN218" s="186" t="str">
        <f t="shared" si="149"/>
        <v>Canterbury RegionRural Connectors</v>
      </c>
      <c r="AO218" s="18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86"/>
    </row>
    <row r="219" spans="1:70">
      <c r="A219" s="202"/>
      <c r="B219" s="195" t="str">
        <f t="shared" si="148"/>
        <v>NA NZTA Roads Bay of Plenty Region</v>
      </c>
      <c r="C219" s="196">
        <f t="shared" si="146"/>
        <v>0</v>
      </c>
      <c r="D219" s="196">
        <f t="shared" si="147"/>
        <v>0</v>
      </c>
      <c r="E219" s="197">
        <f t="shared" si="137"/>
        <v>0</v>
      </c>
      <c r="F219" s="202"/>
      <c r="AA219" s="185" t="s">
        <v>400</v>
      </c>
      <c r="AB219" s="185" t="s">
        <v>420</v>
      </c>
      <c r="AC219" s="185" t="s">
        <v>401</v>
      </c>
      <c r="AD219" s="185" t="s">
        <v>331</v>
      </c>
      <c r="AE219" s="185" t="s">
        <v>403</v>
      </c>
      <c r="AF219" s="185" t="s">
        <v>415</v>
      </c>
      <c r="AG219" s="185">
        <v>0.63</v>
      </c>
      <c r="AH219" s="185">
        <v>5.0000000000000001E-4</v>
      </c>
      <c r="AI219" s="185">
        <v>0.63</v>
      </c>
      <c r="AJ219" s="185">
        <v>0</v>
      </c>
      <c r="AK219" s="185">
        <v>1.26</v>
      </c>
      <c r="AL219" s="185">
        <v>0.34</v>
      </c>
      <c r="AM219" s="186">
        <v>47</v>
      </c>
      <c r="AN219" s="186" t="str">
        <f t="shared" si="149"/>
        <v>Canterbury RegionStopping Places</v>
      </c>
      <c r="AO219" s="186"/>
      <c r="AP219" s="136"/>
      <c r="AQ219" s="136"/>
      <c r="AR219" s="136"/>
      <c r="AS219" s="136"/>
      <c r="AT219" s="136"/>
      <c r="AU219" s="136"/>
      <c r="AV219" s="136"/>
      <c r="AW219" s="136"/>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86"/>
    </row>
    <row r="220" spans="1:70">
      <c r="A220" s="202"/>
      <c r="B220" s="195" t="str">
        <f t="shared" si="148"/>
        <v>Urban Connectors NZTA Roads Bay of Plenty Region</v>
      </c>
      <c r="C220" s="196">
        <f t="shared" si="146"/>
        <v>0.38</v>
      </c>
      <c r="D220" s="196">
        <f t="shared" si="147"/>
        <v>0.89</v>
      </c>
      <c r="E220" s="197">
        <f t="shared" si="137"/>
        <v>6416.7267483777941</v>
      </c>
      <c r="F220" s="202"/>
      <c r="AA220" s="185" t="s">
        <v>400</v>
      </c>
      <c r="AB220" s="185" t="s">
        <v>420</v>
      </c>
      <c r="AC220" s="185" t="s">
        <v>401</v>
      </c>
      <c r="AD220" s="185" t="s">
        <v>331</v>
      </c>
      <c r="AE220" s="185" t="s">
        <v>407</v>
      </c>
      <c r="AF220" s="185" t="s">
        <v>408</v>
      </c>
      <c r="AG220" s="185">
        <v>11.79</v>
      </c>
      <c r="AH220" s="185">
        <v>8.3999999999999995E-3</v>
      </c>
      <c r="AI220" s="185">
        <v>11.79</v>
      </c>
      <c r="AJ220" s="185">
        <v>0</v>
      </c>
      <c r="AK220" s="185">
        <v>24.46</v>
      </c>
      <c r="AL220" s="185">
        <v>38.83</v>
      </c>
      <c r="AM220" s="186">
        <v>48</v>
      </c>
      <c r="AN220" s="186" t="str">
        <f t="shared" si="149"/>
        <v>Canterbury RegionActivity Streets</v>
      </c>
      <c r="AO220" s="186"/>
      <c r="AP220" s="136"/>
      <c r="AQ220" s="136"/>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86"/>
    </row>
    <row r="221" spans="1:70">
      <c r="A221" s="202"/>
      <c r="B221" s="195" t="str">
        <f t="shared" si="148"/>
        <v>Transit Corridors NZTA Roads Bay of Plenty Region</v>
      </c>
      <c r="C221" s="196">
        <f t="shared" si="146"/>
        <v>72.569999999999993</v>
      </c>
      <c r="D221" s="196">
        <f t="shared" si="147"/>
        <v>224.97</v>
      </c>
      <c r="E221" s="197">
        <f t="shared" si="137"/>
        <v>8493.263943551905</v>
      </c>
      <c r="F221" s="202"/>
      <c r="AA221" s="185" t="s">
        <v>400</v>
      </c>
      <c r="AB221" s="185" t="s">
        <v>420</v>
      </c>
      <c r="AC221" s="185" t="s">
        <v>401</v>
      </c>
      <c r="AD221" s="185" t="s">
        <v>331</v>
      </c>
      <c r="AE221" s="185" t="s">
        <v>407</v>
      </c>
      <c r="AF221" s="185" t="s">
        <v>409</v>
      </c>
      <c r="AG221" s="185">
        <v>0.69</v>
      </c>
      <c r="AH221" s="185">
        <v>5.0000000000000001E-4</v>
      </c>
      <c r="AI221" s="185">
        <v>0.69</v>
      </c>
      <c r="AJ221" s="185">
        <v>0</v>
      </c>
      <c r="AK221" s="185">
        <v>1.37</v>
      </c>
      <c r="AL221" s="185">
        <v>0.91</v>
      </c>
      <c r="AM221" s="186">
        <v>49</v>
      </c>
      <c r="AN221" s="186" t="str">
        <f t="shared" si="149"/>
        <v>Canterbury RegionMain Streets</v>
      </c>
      <c r="AO221" s="18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86"/>
    </row>
    <row r="222" spans="1:70">
      <c r="A222" s="202"/>
      <c r="B222" s="195" t="str">
        <f t="shared" si="148"/>
        <v>Urban Connectors NZTA Roads Bay of Plenty Region</v>
      </c>
      <c r="C222" s="196">
        <f t="shared" si="146"/>
        <v>171.05</v>
      </c>
      <c r="D222" s="196">
        <f t="shared" si="147"/>
        <v>335.42</v>
      </c>
      <c r="E222" s="197">
        <f t="shared" si="137"/>
        <v>5372.4577849142888</v>
      </c>
      <c r="F222" s="202"/>
      <c r="AA222" s="185" t="s">
        <v>400</v>
      </c>
      <c r="AB222" s="185" t="s">
        <v>420</v>
      </c>
      <c r="AC222" s="185" t="s">
        <v>401</v>
      </c>
      <c r="AD222" s="185" t="s">
        <v>331</v>
      </c>
      <c r="AE222" s="185" t="s">
        <v>407</v>
      </c>
      <c r="AF222" s="185" t="s">
        <v>410</v>
      </c>
      <c r="AG222" s="185">
        <v>49.07</v>
      </c>
      <c r="AH222" s="185">
        <v>3.5099999999999999E-2</v>
      </c>
      <c r="AI222" s="185">
        <v>49.07</v>
      </c>
      <c r="AJ222" s="185">
        <v>0</v>
      </c>
      <c r="AK222" s="185">
        <v>91.98</v>
      </c>
      <c r="AL222" s="185">
        <v>241.23</v>
      </c>
      <c r="AM222" s="186">
        <v>50</v>
      </c>
      <c r="AN222" s="186" t="str">
        <f t="shared" si="149"/>
        <v>Canterbury RegionTransit Corridors</v>
      </c>
      <c r="AO222" s="18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86"/>
    </row>
    <row r="223" spans="1:70">
      <c r="A223" s="202"/>
      <c r="B223" s="195" t="str">
        <f t="shared" si="148"/>
        <v>NA NZTA Roads Canterbury Region</v>
      </c>
      <c r="C223" s="196">
        <f t="shared" si="146"/>
        <v>67.13</v>
      </c>
      <c r="D223" s="196">
        <f t="shared" si="147"/>
        <v>181.8</v>
      </c>
      <c r="E223" s="197">
        <f t="shared" si="137"/>
        <v>7419.6661966456431</v>
      </c>
      <c r="F223" s="202"/>
      <c r="AA223" s="185" t="s">
        <v>400</v>
      </c>
      <c r="AB223" s="185" t="s">
        <v>420</v>
      </c>
      <c r="AC223" s="185" t="s">
        <v>401</v>
      </c>
      <c r="AD223" s="185" t="s">
        <v>331</v>
      </c>
      <c r="AE223" s="185" t="s">
        <v>407</v>
      </c>
      <c r="AF223" s="185" t="s">
        <v>411</v>
      </c>
      <c r="AG223" s="185">
        <v>106.36</v>
      </c>
      <c r="AH223" s="185">
        <v>7.6100000000000001E-2</v>
      </c>
      <c r="AI223" s="185">
        <v>106.36</v>
      </c>
      <c r="AJ223" s="185">
        <v>0</v>
      </c>
      <c r="AK223" s="185">
        <v>214.74</v>
      </c>
      <c r="AL223" s="185">
        <v>471.42</v>
      </c>
      <c r="AM223" s="186">
        <v>51</v>
      </c>
      <c r="AN223" s="186" t="str">
        <f t="shared" si="149"/>
        <v>Canterbury RegionUrban Connectors</v>
      </c>
      <c r="AO223" s="18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86"/>
    </row>
    <row r="224" spans="1:70">
      <c r="A224" s="202"/>
      <c r="B224" s="195" t="str">
        <f t="shared" si="148"/>
        <v>Interregional Connectors NZTA Roads Canterbury Region</v>
      </c>
      <c r="C224" s="196">
        <f t="shared" si="146"/>
        <v>1190.75</v>
      </c>
      <c r="D224" s="196">
        <f t="shared" si="147"/>
        <v>1364.83</v>
      </c>
      <c r="E224" s="197">
        <f t="shared" si="137"/>
        <v>3140.2563711716161</v>
      </c>
      <c r="F224" s="202"/>
      <c r="AA224" s="185" t="s">
        <v>400</v>
      </c>
      <c r="AB224" s="185" t="s">
        <v>422</v>
      </c>
      <c r="AC224" s="185" t="s">
        <v>401</v>
      </c>
      <c r="AD224" s="185" t="s">
        <v>331</v>
      </c>
      <c r="AE224" s="185"/>
      <c r="AF224" s="185" t="s">
        <v>402</v>
      </c>
      <c r="AG224" s="185">
        <v>0.17</v>
      </c>
      <c r="AH224" s="185">
        <v>5.0000000000000001E-4</v>
      </c>
      <c r="AI224" s="185">
        <v>0.17</v>
      </c>
      <c r="AJ224" s="185">
        <v>0</v>
      </c>
      <c r="AK224" s="185">
        <v>0.34</v>
      </c>
      <c r="AL224" s="185">
        <v>0.25</v>
      </c>
      <c r="AM224" s="186">
        <v>74</v>
      </c>
      <c r="AN224" s="186" t="str">
        <f t="shared" si="149"/>
        <v>Gisborne RegionUnclassified</v>
      </c>
      <c r="AO224" s="18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86"/>
    </row>
    <row r="225" spans="1:70">
      <c r="A225" s="202"/>
      <c r="B225" s="195" t="str">
        <f t="shared" si="148"/>
        <v>Interregional Connectors NZTA Roads Canterbury Region</v>
      </c>
      <c r="C225" s="196">
        <f t="shared" si="146"/>
        <v>11.16</v>
      </c>
      <c r="D225" s="196">
        <f t="shared" si="147"/>
        <v>5.69</v>
      </c>
      <c r="E225" s="197">
        <f t="shared" si="137"/>
        <v>1396.8674817106105</v>
      </c>
      <c r="F225" s="202"/>
      <c r="AA225" s="185" t="s">
        <v>400</v>
      </c>
      <c r="AB225" s="185" t="s">
        <v>422</v>
      </c>
      <c r="AC225" s="185" t="s">
        <v>401</v>
      </c>
      <c r="AD225" s="185" t="s">
        <v>331</v>
      </c>
      <c r="AE225" s="185" t="s">
        <v>403</v>
      </c>
      <c r="AF225" s="185" t="s">
        <v>404</v>
      </c>
      <c r="AG225" s="185">
        <v>44.97</v>
      </c>
      <c r="AH225" s="185">
        <v>0.1358</v>
      </c>
      <c r="AI225" s="185">
        <v>44.97</v>
      </c>
      <c r="AJ225" s="185">
        <v>0</v>
      </c>
      <c r="AK225" s="185">
        <v>90.44</v>
      </c>
      <c r="AL225" s="185">
        <v>47.45</v>
      </c>
      <c r="AM225" s="186">
        <v>75</v>
      </c>
      <c r="AN225" s="186" t="str">
        <f t="shared" si="149"/>
        <v>Gisborne RegionInterregional Connectors</v>
      </c>
      <c r="AO225" s="18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86"/>
    </row>
    <row r="226" spans="1:70">
      <c r="A226" s="202"/>
      <c r="B226" s="195" t="str">
        <f t="shared" si="148"/>
        <v>Rural Connectors NZTA Roads Canterbury Region</v>
      </c>
      <c r="C226" s="196">
        <f t="shared" si="146"/>
        <v>1243.9000000000001</v>
      </c>
      <c r="D226" s="196">
        <f t="shared" si="147"/>
        <v>553.29</v>
      </c>
      <c r="E226" s="197">
        <f t="shared" si="137"/>
        <v>1218.63736128196</v>
      </c>
      <c r="F226" s="202"/>
      <c r="AA226" s="185" t="s">
        <v>400</v>
      </c>
      <c r="AB226" s="185" t="s">
        <v>422</v>
      </c>
      <c r="AC226" s="185" t="s">
        <v>401</v>
      </c>
      <c r="AD226" s="185" t="s">
        <v>331</v>
      </c>
      <c r="AE226" s="185" t="s">
        <v>403</v>
      </c>
      <c r="AF226" s="185" t="s">
        <v>405</v>
      </c>
      <c r="AG226" s="185">
        <v>3.26</v>
      </c>
      <c r="AH226" s="185">
        <v>9.9000000000000008E-3</v>
      </c>
      <c r="AI226" s="185">
        <v>3.26</v>
      </c>
      <c r="AJ226" s="185">
        <v>0</v>
      </c>
      <c r="AK226" s="185">
        <v>6.53</v>
      </c>
      <c r="AL226" s="185">
        <v>1.9</v>
      </c>
      <c r="AM226" s="186">
        <v>76</v>
      </c>
      <c r="AN226" s="186" t="str">
        <f t="shared" si="149"/>
        <v>Gisborne RegionPeri-urban Roads</v>
      </c>
      <c r="AO226" s="18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86"/>
    </row>
    <row r="227" spans="1:70">
      <c r="A227" s="202"/>
      <c r="B227" s="195" t="str">
        <f t="shared" si="148"/>
        <v>NA NZTA Roads Canterbury Region</v>
      </c>
      <c r="C227" s="196">
        <f t="shared" si="146"/>
        <v>0</v>
      </c>
      <c r="D227" s="196">
        <f t="shared" si="147"/>
        <v>0</v>
      </c>
      <c r="E227" s="197">
        <f t="shared" si="137"/>
        <v>0</v>
      </c>
      <c r="F227" s="202"/>
      <c r="AA227" s="185" t="s">
        <v>400</v>
      </c>
      <c r="AB227" s="185" t="s">
        <v>422</v>
      </c>
      <c r="AC227" s="185" t="s">
        <v>401</v>
      </c>
      <c r="AD227" s="185" t="s">
        <v>331</v>
      </c>
      <c r="AE227" s="185" t="s">
        <v>403</v>
      </c>
      <c r="AF227" s="185" t="s">
        <v>406</v>
      </c>
      <c r="AG227" s="185">
        <v>269.18</v>
      </c>
      <c r="AH227" s="185">
        <v>0.81310000000000004</v>
      </c>
      <c r="AI227" s="185">
        <v>269.18</v>
      </c>
      <c r="AJ227" s="185">
        <v>0</v>
      </c>
      <c r="AK227" s="185">
        <v>538.58000000000004</v>
      </c>
      <c r="AL227" s="185">
        <v>130.81</v>
      </c>
      <c r="AM227" s="186">
        <v>77</v>
      </c>
      <c r="AN227" s="186" t="str">
        <f t="shared" si="149"/>
        <v>Gisborne RegionRural Connectors</v>
      </c>
      <c r="AO227" s="18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86"/>
    </row>
    <row r="228" spans="1:70">
      <c r="A228" s="202"/>
      <c r="B228" s="195" t="str">
        <f t="shared" si="148"/>
        <v>Interregional Connectors NZTA Roads Canterbury Region</v>
      </c>
      <c r="C228" s="196">
        <f t="shared" si="146"/>
        <v>1.26</v>
      </c>
      <c r="D228" s="196">
        <f t="shared" si="147"/>
        <v>0.34</v>
      </c>
      <c r="E228" s="197">
        <f t="shared" si="137"/>
        <v>739.29115025005444</v>
      </c>
      <c r="F228" s="202"/>
      <c r="AA228" s="185" t="s">
        <v>400</v>
      </c>
      <c r="AB228" s="185" t="s">
        <v>422</v>
      </c>
      <c r="AC228" s="185" t="s">
        <v>401</v>
      </c>
      <c r="AD228" s="185" t="s">
        <v>331</v>
      </c>
      <c r="AE228" s="185" t="s">
        <v>407</v>
      </c>
      <c r="AF228" s="185" t="s">
        <v>408</v>
      </c>
      <c r="AG228" s="185">
        <v>1.69</v>
      </c>
      <c r="AH228" s="185">
        <v>5.1000000000000004E-3</v>
      </c>
      <c r="AI228" s="185">
        <v>1.69</v>
      </c>
      <c r="AJ228" s="185">
        <v>0</v>
      </c>
      <c r="AK228" s="185">
        <v>3.37</v>
      </c>
      <c r="AL228" s="185">
        <v>5.33</v>
      </c>
      <c r="AM228" s="186">
        <v>78</v>
      </c>
      <c r="AN228" s="186" t="str">
        <f t="shared" si="149"/>
        <v>Gisborne RegionActivity Streets</v>
      </c>
      <c r="AO228" s="186"/>
      <c r="AP228" s="136"/>
      <c r="AQ228" s="136"/>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86"/>
    </row>
    <row r="229" spans="1:70">
      <c r="A229" s="202"/>
      <c r="B229" s="195" t="str">
        <f t="shared" si="148"/>
        <v>Urban Connectors NZTA Roads Canterbury Region</v>
      </c>
      <c r="C229" s="196">
        <f t="shared" si="146"/>
        <v>24.46</v>
      </c>
      <c r="D229" s="196">
        <f t="shared" si="147"/>
        <v>38.83</v>
      </c>
      <c r="E229" s="197">
        <f t="shared" si="137"/>
        <v>4349.2870663873919</v>
      </c>
      <c r="F229" s="202"/>
      <c r="AA229" s="185" t="s">
        <v>400</v>
      </c>
      <c r="AB229" s="185" t="s">
        <v>422</v>
      </c>
      <c r="AC229" s="185" t="s">
        <v>401</v>
      </c>
      <c r="AD229" s="185" t="s">
        <v>331</v>
      </c>
      <c r="AE229" s="185" t="s">
        <v>407</v>
      </c>
      <c r="AF229" s="185" t="s">
        <v>411</v>
      </c>
      <c r="AG229" s="185">
        <v>11.79</v>
      </c>
      <c r="AH229" s="185">
        <v>3.56E-2</v>
      </c>
      <c r="AI229" s="185">
        <v>11.79</v>
      </c>
      <c r="AJ229" s="185">
        <v>0</v>
      </c>
      <c r="AK229" s="185">
        <v>23.57</v>
      </c>
      <c r="AL229" s="185">
        <v>29.88</v>
      </c>
      <c r="AM229" s="186">
        <v>79</v>
      </c>
      <c r="AN229" s="186" t="str">
        <f t="shared" si="149"/>
        <v>Gisborne RegionUrban Connectors</v>
      </c>
      <c r="AO229" s="18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86"/>
    </row>
    <row r="230" spans="1:70">
      <c r="A230" s="202"/>
      <c r="B230" s="195" t="str">
        <f t="shared" si="148"/>
        <v>NA NZTA Roads Canterbury Region</v>
      </c>
      <c r="C230" s="196">
        <f t="shared" ref="C230:C261" si="150">AZ48</f>
        <v>0</v>
      </c>
      <c r="D230" s="196">
        <f t="shared" ref="D230:D261" si="151">BA48</f>
        <v>0</v>
      </c>
      <c r="E230" s="197">
        <f t="shared" si="137"/>
        <v>0</v>
      </c>
      <c r="F230" s="202"/>
      <c r="AA230" s="185" t="s">
        <v>400</v>
      </c>
      <c r="AB230" s="185" t="s">
        <v>423</v>
      </c>
      <c r="AC230" s="185" t="s">
        <v>401</v>
      </c>
      <c r="AD230" s="185" t="s">
        <v>331</v>
      </c>
      <c r="AE230" s="185"/>
      <c r="AF230" s="185" t="s">
        <v>402</v>
      </c>
      <c r="AG230" s="185">
        <v>28.76</v>
      </c>
      <c r="AH230" s="185">
        <v>5.6000000000000001E-2</v>
      </c>
      <c r="AI230" s="185">
        <v>28.76</v>
      </c>
      <c r="AJ230" s="185">
        <v>0</v>
      </c>
      <c r="AK230" s="185">
        <v>57.76</v>
      </c>
      <c r="AL230" s="185">
        <v>135.09</v>
      </c>
      <c r="AM230" s="186">
        <v>90</v>
      </c>
      <c r="AN230" s="186" t="str">
        <f t="shared" si="149"/>
        <v>Hawke's Bay RegionUnclassified</v>
      </c>
      <c r="AO230" s="186"/>
      <c r="AP230" s="136"/>
      <c r="AQ230" s="136"/>
      <c r="AR230" s="136"/>
      <c r="AS230" s="136"/>
      <c r="AT230" s="136"/>
      <c r="AU230" s="136"/>
      <c r="AV230" s="136"/>
      <c r="AW230" s="136"/>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86"/>
    </row>
    <row r="231" spans="1:70">
      <c r="A231" s="202"/>
      <c r="B231" s="195" t="str">
        <f t="shared" si="148"/>
        <v>NA NZTA Roads Canterbury Region</v>
      </c>
      <c r="C231" s="196">
        <f t="shared" si="150"/>
        <v>0</v>
      </c>
      <c r="D231" s="196">
        <f t="shared" si="151"/>
        <v>0</v>
      </c>
      <c r="E231" s="197">
        <f t="shared" si="137"/>
        <v>0</v>
      </c>
      <c r="F231" s="202"/>
      <c r="AA231" s="185" t="s">
        <v>400</v>
      </c>
      <c r="AB231" s="185" t="s">
        <v>423</v>
      </c>
      <c r="AC231" s="185" t="s">
        <v>401</v>
      </c>
      <c r="AD231" s="185" t="s">
        <v>331</v>
      </c>
      <c r="AE231" s="185" t="s">
        <v>403</v>
      </c>
      <c r="AF231" s="185" t="s">
        <v>404</v>
      </c>
      <c r="AG231" s="185">
        <v>293.33999999999997</v>
      </c>
      <c r="AH231" s="185">
        <v>0.57150000000000001</v>
      </c>
      <c r="AI231" s="185">
        <v>293.33999999999997</v>
      </c>
      <c r="AJ231" s="185">
        <v>0</v>
      </c>
      <c r="AK231" s="185">
        <v>612.94000000000005</v>
      </c>
      <c r="AL231" s="185">
        <v>387.95</v>
      </c>
      <c r="AM231" s="186">
        <v>91</v>
      </c>
      <c r="AN231" s="186" t="str">
        <f t="shared" si="149"/>
        <v>Hawke's Bay RegionInterregional Connectors</v>
      </c>
      <c r="AO231" s="186"/>
      <c r="AP231" s="136"/>
      <c r="AQ231" s="136"/>
      <c r="AR231" s="136"/>
      <c r="AS231" s="136"/>
      <c r="AT231" s="136"/>
      <c r="AU231" s="136"/>
      <c r="AV231" s="136"/>
      <c r="AW231" s="136"/>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86"/>
    </row>
    <row r="232" spans="1:70">
      <c r="A232" s="202"/>
      <c r="B232" s="195" t="str">
        <f t="shared" si="148"/>
        <v>NA NZTA Roads Canterbury Region</v>
      </c>
      <c r="C232" s="196">
        <f t="shared" si="150"/>
        <v>0</v>
      </c>
      <c r="D232" s="196">
        <f t="shared" si="151"/>
        <v>0</v>
      </c>
      <c r="E232" s="197">
        <f t="shared" si="137"/>
        <v>0</v>
      </c>
      <c r="F232" s="202"/>
      <c r="AA232" s="185" t="s">
        <v>400</v>
      </c>
      <c r="AB232" s="185" t="s">
        <v>423</v>
      </c>
      <c r="AC232" s="185" t="s">
        <v>401</v>
      </c>
      <c r="AD232" s="185" t="s">
        <v>331</v>
      </c>
      <c r="AE232" s="185" t="s">
        <v>403</v>
      </c>
      <c r="AF232" s="185" t="s">
        <v>405</v>
      </c>
      <c r="AG232" s="185">
        <v>7.57</v>
      </c>
      <c r="AH232" s="185">
        <v>1.4800000000000001E-2</v>
      </c>
      <c r="AI232" s="185">
        <v>7.57</v>
      </c>
      <c r="AJ232" s="185">
        <v>0</v>
      </c>
      <c r="AK232" s="185">
        <v>15.14</v>
      </c>
      <c r="AL232" s="185">
        <v>27.41</v>
      </c>
      <c r="AM232" s="186">
        <v>92</v>
      </c>
      <c r="AN232" s="186" t="str">
        <f t="shared" si="149"/>
        <v>Hawke's Bay RegionPeri-urban Roads</v>
      </c>
      <c r="AO232" s="18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86"/>
    </row>
    <row r="233" spans="1:70">
      <c r="A233" s="202"/>
      <c r="B233" s="195" t="str">
        <f t="shared" si="148"/>
        <v>Urban Connectors NZTA Roads Canterbury Region</v>
      </c>
      <c r="C233" s="196">
        <f t="shared" si="150"/>
        <v>1.37</v>
      </c>
      <c r="D233" s="196">
        <f t="shared" si="151"/>
        <v>0.91</v>
      </c>
      <c r="E233" s="197">
        <f t="shared" si="137"/>
        <v>1819.8180181981802</v>
      </c>
      <c r="F233" s="202"/>
      <c r="AA233" s="185" t="s">
        <v>400</v>
      </c>
      <c r="AB233" s="185" t="s">
        <v>423</v>
      </c>
      <c r="AC233" s="185" t="s">
        <v>401</v>
      </c>
      <c r="AD233" s="185" t="s">
        <v>331</v>
      </c>
      <c r="AE233" s="185" t="s">
        <v>403</v>
      </c>
      <c r="AF233" s="185" t="s">
        <v>406</v>
      </c>
      <c r="AG233" s="185">
        <v>153.49</v>
      </c>
      <c r="AH233" s="185">
        <v>0.29899999999999999</v>
      </c>
      <c r="AI233" s="185">
        <v>133.72</v>
      </c>
      <c r="AJ233" s="185">
        <v>19.77</v>
      </c>
      <c r="AK233" s="185">
        <v>306.77999999999997</v>
      </c>
      <c r="AL233" s="185">
        <v>133.47</v>
      </c>
      <c r="AM233" s="186">
        <v>93</v>
      </c>
      <c r="AN233" s="186" t="str">
        <f t="shared" si="149"/>
        <v>Hawke's Bay RegionRural Connectors</v>
      </c>
      <c r="AO233" s="186"/>
      <c r="AP233" s="136"/>
      <c r="AQ233" s="136"/>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86"/>
    </row>
    <row r="234" spans="1:70">
      <c r="A234" s="202"/>
      <c r="B234" s="195" t="str">
        <f t="shared" si="148"/>
        <v>Transit Corridors NZTA Roads Canterbury Region</v>
      </c>
      <c r="C234" s="196">
        <f t="shared" si="150"/>
        <v>91.98</v>
      </c>
      <c r="D234" s="196">
        <f t="shared" si="151"/>
        <v>241.23</v>
      </c>
      <c r="E234" s="197">
        <f t="shared" si="137"/>
        <v>7185.3023438686787</v>
      </c>
      <c r="F234" s="202"/>
      <c r="AA234" s="185" t="s">
        <v>400</v>
      </c>
      <c r="AB234" s="185" t="s">
        <v>423</v>
      </c>
      <c r="AC234" s="185" t="s">
        <v>401</v>
      </c>
      <c r="AD234" s="185" t="s">
        <v>331</v>
      </c>
      <c r="AE234" s="185" t="s">
        <v>407</v>
      </c>
      <c r="AF234" s="185" t="s">
        <v>408</v>
      </c>
      <c r="AG234" s="185">
        <v>1.87</v>
      </c>
      <c r="AH234" s="185">
        <v>3.5999999999999999E-3</v>
      </c>
      <c r="AI234" s="185">
        <v>1.87</v>
      </c>
      <c r="AJ234" s="185">
        <v>0</v>
      </c>
      <c r="AK234" s="185">
        <v>3.81</v>
      </c>
      <c r="AL234" s="185">
        <v>6.45</v>
      </c>
      <c r="AM234" s="186">
        <v>94</v>
      </c>
      <c r="AN234" s="186" t="str">
        <f t="shared" si="149"/>
        <v>Hawke's Bay RegionActivity Streets</v>
      </c>
      <c r="AO234" s="18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86"/>
    </row>
    <row r="235" spans="1:70">
      <c r="A235" s="202"/>
      <c r="B235" s="195" t="str">
        <f t="shared" si="148"/>
        <v>Urban Connectors NZTA Roads Canterbury Region</v>
      </c>
      <c r="C235" s="196">
        <f t="shared" si="150"/>
        <v>214.74</v>
      </c>
      <c r="D235" s="196">
        <f t="shared" si="151"/>
        <v>471.42</v>
      </c>
      <c r="E235" s="197">
        <f t="shared" si="137"/>
        <v>6014.536853104295</v>
      </c>
      <c r="F235" s="202"/>
      <c r="AA235" s="185" t="s">
        <v>400</v>
      </c>
      <c r="AB235" s="185" t="s">
        <v>423</v>
      </c>
      <c r="AC235" s="185" t="s">
        <v>401</v>
      </c>
      <c r="AD235" s="185" t="s">
        <v>331</v>
      </c>
      <c r="AE235" s="185" t="s">
        <v>407</v>
      </c>
      <c r="AF235" s="185" t="s">
        <v>409</v>
      </c>
      <c r="AG235" s="185">
        <v>0.45</v>
      </c>
      <c r="AH235" s="185">
        <v>8.9999999999999998E-4</v>
      </c>
      <c r="AI235" s="185">
        <v>0.45</v>
      </c>
      <c r="AJ235" s="185">
        <v>0</v>
      </c>
      <c r="AK235" s="185">
        <v>0.9</v>
      </c>
      <c r="AL235" s="185">
        <v>1.77</v>
      </c>
      <c r="AM235" s="186">
        <v>95</v>
      </c>
      <c r="AN235" s="186" t="str">
        <f t="shared" si="149"/>
        <v>Hawke's Bay RegionMain Streets</v>
      </c>
      <c r="AO235" s="18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86"/>
    </row>
    <row r="236" spans="1:70">
      <c r="A236" s="202"/>
      <c r="B236" s="195" t="str">
        <f t="shared" si="148"/>
        <v>NA NZTA Roads Chatham Islands Region</v>
      </c>
      <c r="C236" s="196">
        <f t="shared" si="150"/>
        <v>0</v>
      </c>
      <c r="D236" s="196">
        <f t="shared" si="151"/>
        <v>0</v>
      </c>
      <c r="E236" s="197">
        <f t="shared" si="137"/>
        <v>0</v>
      </c>
      <c r="F236" s="202"/>
      <c r="AA236" s="185" t="s">
        <v>400</v>
      </c>
      <c r="AB236" s="185" t="s">
        <v>423</v>
      </c>
      <c r="AC236" s="185" t="s">
        <v>401</v>
      </c>
      <c r="AD236" s="185" t="s">
        <v>331</v>
      </c>
      <c r="AE236" s="185" t="s">
        <v>407</v>
      </c>
      <c r="AF236" s="185" t="s">
        <v>410</v>
      </c>
      <c r="AG236" s="185">
        <v>4.37</v>
      </c>
      <c r="AH236" s="185">
        <v>8.5000000000000006E-3</v>
      </c>
      <c r="AI236" s="185">
        <v>4.37</v>
      </c>
      <c r="AJ236" s="185">
        <v>0</v>
      </c>
      <c r="AK236" s="185">
        <v>8.66</v>
      </c>
      <c r="AL236" s="185">
        <v>16.010000000000002</v>
      </c>
      <c r="AM236" s="186">
        <v>96</v>
      </c>
      <c r="AN236" s="186" t="str">
        <f t="shared" si="149"/>
        <v>Hawke's Bay RegionTransit Corridors</v>
      </c>
      <c r="AO236" s="18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86"/>
    </row>
    <row r="237" spans="1:70">
      <c r="A237" s="202"/>
      <c r="B237" s="195" t="str">
        <f t="shared" si="148"/>
        <v>Interregional Connectors NZTA Roads Chatham Islands Region</v>
      </c>
      <c r="C237" s="196">
        <f t="shared" si="150"/>
        <v>0</v>
      </c>
      <c r="D237" s="196">
        <f t="shared" si="151"/>
        <v>0</v>
      </c>
      <c r="E237" s="197">
        <f t="shared" si="137"/>
        <v>0</v>
      </c>
      <c r="F237" s="202"/>
      <c r="AA237" s="185" t="s">
        <v>400</v>
      </c>
      <c r="AB237" s="185" t="s">
        <v>423</v>
      </c>
      <c r="AC237" s="185" t="s">
        <v>401</v>
      </c>
      <c r="AD237" s="185" t="s">
        <v>331</v>
      </c>
      <c r="AE237" s="185" t="s">
        <v>407</v>
      </c>
      <c r="AF237" s="185" t="s">
        <v>411</v>
      </c>
      <c r="AG237" s="185">
        <v>23.43</v>
      </c>
      <c r="AH237" s="185">
        <v>4.5699999999999998E-2</v>
      </c>
      <c r="AI237" s="185">
        <v>23.43</v>
      </c>
      <c r="AJ237" s="185">
        <v>0</v>
      </c>
      <c r="AK237" s="185">
        <v>47.27</v>
      </c>
      <c r="AL237" s="185">
        <v>65.67</v>
      </c>
      <c r="AM237" s="186">
        <v>97</v>
      </c>
      <c r="AN237" s="186" t="str">
        <f t="shared" si="149"/>
        <v>Hawke's Bay RegionUrban Connectors</v>
      </c>
      <c r="AO237" s="186"/>
      <c r="AP237" s="136"/>
      <c r="AQ237" s="136"/>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86"/>
    </row>
    <row r="238" spans="1:70">
      <c r="A238" s="202"/>
      <c r="B238" s="195" t="str">
        <f t="shared" si="148"/>
        <v>Rural Connectors NZTA Roads Chatham Islands Region</v>
      </c>
      <c r="C238" s="196">
        <f t="shared" si="150"/>
        <v>0</v>
      </c>
      <c r="D238" s="196">
        <f t="shared" si="151"/>
        <v>0</v>
      </c>
      <c r="E238" s="197">
        <f t="shared" si="137"/>
        <v>0</v>
      </c>
      <c r="F238" s="202"/>
      <c r="AA238" s="185" t="s">
        <v>400</v>
      </c>
      <c r="AB238" s="185" t="s">
        <v>435</v>
      </c>
      <c r="AC238" s="185" t="s">
        <v>401</v>
      </c>
      <c r="AD238" s="185" t="s">
        <v>331</v>
      </c>
      <c r="AE238" s="185"/>
      <c r="AF238" s="185" t="s">
        <v>402</v>
      </c>
      <c r="AG238" s="185">
        <v>0.5</v>
      </c>
      <c r="AH238" s="185">
        <v>8.0000000000000004E-4</v>
      </c>
      <c r="AI238" s="185">
        <v>0.5</v>
      </c>
      <c r="AJ238" s="185">
        <v>0</v>
      </c>
      <c r="AK238" s="185">
        <v>1</v>
      </c>
      <c r="AL238" s="185">
        <v>2.2400000000000002</v>
      </c>
      <c r="AM238" s="186">
        <v>141</v>
      </c>
      <c r="AN238" s="186" t="str">
        <f t="shared" si="149"/>
        <v>Nelson Marlborough RegionUnclassified</v>
      </c>
      <c r="AO238" s="18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86"/>
    </row>
    <row r="239" spans="1:70">
      <c r="A239" s="202"/>
      <c r="B239" s="195" t="str">
        <f t="shared" si="148"/>
        <v>NA NZTA Roads Chatham Islands Region</v>
      </c>
      <c r="C239" s="196">
        <f t="shared" si="150"/>
        <v>0</v>
      </c>
      <c r="D239" s="196">
        <f t="shared" si="151"/>
        <v>0</v>
      </c>
      <c r="E239" s="197">
        <f t="shared" si="137"/>
        <v>0</v>
      </c>
      <c r="F239" s="202"/>
      <c r="AA239" s="185" t="s">
        <v>400</v>
      </c>
      <c r="AB239" s="185" t="s">
        <v>435</v>
      </c>
      <c r="AC239" s="185" t="s">
        <v>401</v>
      </c>
      <c r="AD239" s="185" t="s">
        <v>331</v>
      </c>
      <c r="AE239" s="185" t="s">
        <v>403</v>
      </c>
      <c r="AF239" s="185" t="s">
        <v>404</v>
      </c>
      <c r="AG239" s="185">
        <v>220.43</v>
      </c>
      <c r="AH239" s="185">
        <v>0.33839999999999998</v>
      </c>
      <c r="AI239" s="185">
        <v>220.43</v>
      </c>
      <c r="AJ239" s="185">
        <v>0</v>
      </c>
      <c r="AK239" s="185">
        <v>458.31</v>
      </c>
      <c r="AL239" s="185">
        <v>421.34</v>
      </c>
      <c r="AM239" s="186">
        <v>142</v>
      </c>
      <c r="AN239" s="186" t="str">
        <f t="shared" si="149"/>
        <v>Nelson Marlborough RegionInterregional Connectors</v>
      </c>
      <c r="AO239" s="186"/>
      <c r="AP239" s="136"/>
      <c r="AQ239" s="136"/>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86"/>
    </row>
    <row r="240" spans="1:70">
      <c r="A240" s="202"/>
      <c r="B240" s="195" t="str">
        <f t="shared" si="148"/>
        <v>Interregional Connectors NZTA Roads Chatham Islands Region</v>
      </c>
      <c r="C240" s="196">
        <f t="shared" si="150"/>
        <v>0</v>
      </c>
      <c r="D240" s="196">
        <f t="shared" si="151"/>
        <v>0</v>
      </c>
      <c r="E240" s="197">
        <f t="shared" si="137"/>
        <v>0</v>
      </c>
      <c r="F240" s="202"/>
      <c r="AA240" s="185" t="s">
        <v>400</v>
      </c>
      <c r="AB240" s="185" t="s">
        <v>435</v>
      </c>
      <c r="AC240" s="185" t="s">
        <v>401</v>
      </c>
      <c r="AD240" s="185" t="s">
        <v>331</v>
      </c>
      <c r="AE240" s="185" t="s">
        <v>403</v>
      </c>
      <c r="AF240" s="185" t="s">
        <v>405</v>
      </c>
      <c r="AG240" s="185">
        <v>7.62</v>
      </c>
      <c r="AH240" s="185">
        <v>1.17E-2</v>
      </c>
      <c r="AI240" s="185">
        <v>7.62</v>
      </c>
      <c r="AJ240" s="185">
        <v>0</v>
      </c>
      <c r="AK240" s="185">
        <v>15.25</v>
      </c>
      <c r="AL240" s="185">
        <v>27.46</v>
      </c>
      <c r="AM240" s="186">
        <v>143</v>
      </c>
      <c r="AN240" s="186" t="str">
        <f t="shared" si="149"/>
        <v>Nelson Marlborough RegionPeri-urban Roads</v>
      </c>
      <c r="AO240" s="186"/>
      <c r="AP240" s="136"/>
      <c r="AQ240" s="136"/>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86"/>
    </row>
    <row r="241" spans="1:70">
      <c r="A241" s="202"/>
      <c r="B241" s="195" t="str">
        <f t="shared" si="148"/>
        <v>Urban Connectors NZTA Roads Chatham Islands Region</v>
      </c>
      <c r="C241" s="196">
        <f t="shared" si="150"/>
        <v>0</v>
      </c>
      <c r="D241" s="196">
        <f t="shared" si="151"/>
        <v>0</v>
      </c>
      <c r="E241" s="197">
        <f t="shared" si="137"/>
        <v>0</v>
      </c>
      <c r="F241" s="202"/>
      <c r="AA241" s="185" t="s">
        <v>400</v>
      </c>
      <c r="AB241" s="185" t="s">
        <v>435</v>
      </c>
      <c r="AC241" s="185" t="s">
        <v>401</v>
      </c>
      <c r="AD241" s="185" t="s">
        <v>331</v>
      </c>
      <c r="AE241" s="185" t="s">
        <v>403</v>
      </c>
      <c r="AF241" s="185" t="s">
        <v>406</v>
      </c>
      <c r="AG241" s="185">
        <v>363.97</v>
      </c>
      <c r="AH241" s="185">
        <v>0.55869999999999997</v>
      </c>
      <c r="AI241" s="185">
        <v>363.97</v>
      </c>
      <c r="AJ241" s="185">
        <v>0</v>
      </c>
      <c r="AK241" s="185">
        <v>733.86</v>
      </c>
      <c r="AL241" s="185">
        <v>225.34</v>
      </c>
      <c r="AM241" s="186">
        <v>144</v>
      </c>
      <c r="AN241" s="186" t="str">
        <f t="shared" si="149"/>
        <v>Nelson Marlborough RegionRural Connectors</v>
      </c>
      <c r="AO241" s="186"/>
      <c r="AP241" s="136"/>
      <c r="AQ241" s="136"/>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86"/>
    </row>
    <row r="242" spans="1:70">
      <c r="A242" s="202"/>
      <c r="B242" s="195" t="str">
        <f t="shared" si="148"/>
        <v>NA NZTA Roads Chatham Islands Region</v>
      </c>
      <c r="C242" s="196">
        <f t="shared" si="150"/>
        <v>0</v>
      </c>
      <c r="D242" s="196">
        <f t="shared" si="151"/>
        <v>0</v>
      </c>
      <c r="E242" s="197">
        <f t="shared" si="137"/>
        <v>0</v>
      </c>
      <c r="F242" s="202"/>
      <c r="AA242" s="185" t="s">
        <v>400</v>
      </c>
      <c r="AB242" s="185" t="s">
        <v>435</v>
      </c>
      <c r="AC242" s="185" t="s">
        <v>401</v>
      </c>
      <c r="AD242" s="185" t="s">
        <v>331</v>
      </c>
      <c r="AE242" s="185" t="s">
        <v>407</v>
      </c>
      <c r="AF242" s="185" t="s">
        <v>408</v>
      </c>
      <c r="AG242" s="185">
        <v>9.3000000000000007</v>
      </c>
      <c r="AH242" s="185">
        <v>1.43E-2</v>
      </c>
      <c r="AI242" s="185">
        <v>9.3000000000000007</v>
      </c>
      <c r="AJ242" s="185">
        <v>0</v>
      </c>
      <c r="AK242" s="185">
        <v>16.600000000000001</v>
      </c>
      <c r="AL242" s="185">
        <v>38.53</v>
      </c>
      <c r="AM242" s="186">
        <v>145</v>
      </c>
      <c r="AN242" s="186" t="str">
        <f t="shared" si="149"/>
        <v>Nelson Marlborough RegionActivity Streets</v>
      </c>
      <c r="AO242" s="18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86"/>
    </row>
    <row r="243" spans="1:70">
      <c r="A243" s="202"/>
      <c r="B243" s="195" t="str">
        <f t="shared" si="148"/>
        <v>Urban Connectors NZTA Roads Chatham Islands Region</v>
      </c>
      <c r="C243" s="196">
        <f t="shared" si="150"/>
        <v>0</v>
      </c>
      <c r="D243" s="196">
        <f t="shared" si="151"/>
        <v>0</v>
      </c>
      <c r="E243" s="197">
        <f t="shared" si="137"/>
        <v>0</v>
      </c>
      <c r="F243" s="202"/>
      <c r="AA243" s="185" t="s">
        <v>400</v>
      </c>
      <c r="AB243" s="185" t="s">
        <v>435</v>
      </c>
      <c r="AC243" s="185" t="s">
        <v>401</v>
      </c>
      <c r="AD243" s="185" t="s">
        <v>331</v>
      </c>
      <c r="AE243" s="185" t="s">
        <v>407</v>
      </c>
      <c r="AF243" s="185" t="s">
        <v>409</v>
      </c>
      <c r="AG243" s="185">
        <v>0.53</v>
      </c>
      <c r="AH243" s="185">
        <v>8.0000000000000004E-4</v>
      </c>
      <c r="AI243" s="185">
        <v>0.53</v>
      </c>
      <c r="AJ243" s="185">
        <v>0</v>
      </c>
      <c r="AK243" s="185">
        <v>1.06</v>
      </c>
      <c r="AL243" s="185">
        <v>2.09</v>
      </c>
      <c r="AM243" s="186">
        <v>146</v>
      </c>
      <c r="AN243" s="186" t="str">
        <f t="shared" si="149"/>
        <v>Nelson Marlborough RegionMain Streets</v>
      </c>
      <c r="AO243" s="18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86"/>
    </row>
    <row r="244" spans="1:70">
      <c r="A244" s="202"/>
      <c r="B244" s="195" t="str">
        <f t="shared" si="148"/>
        <v>Urban Connectors NZTA Roads Chatham Islands Region</v>
      </c>
      <c r="C244" s="196">
        <f t="shared" si="150"/>
        <v>0</v>
      </c>
      <c r="D244" s="196">
        <f t="shared" si="151"/>
        <v>0</v>
      </c>
      <c r="E244" s="197">
        <f t="shared" si="137"/>
        <v>0</v>
      </c>
      <c r="F244" s="202"/>
      <c r="AA244" s="185" t="s">
        <v>400</v>
      </c>
      <c r="AB244" s="185" t="s">
        <v>435</v>
      </c>
      <c r="AC244" s="185" t="s">
        <v>401</v>
      </c>
      <c r="AD244" s="185" t="s">
        <v>331</v>
      </c>
      <c r="AE244" s="185" t="s">
        <v>407</v>
      </c>
      <c r="AF244" s="185" t="s">
        <v>410</v>
      </c>
      <c r="AG244" s="185">
        <v>12.84</v>
      </c>
      <c r="AH244" s="185">
        <v>1.9699999999999999E-2</v>
      </c>
      <c r="AI244" s="185">
        <v>12.84</v>
      </c>
      <c r="AJ244" s="185">
        <v>0</v>
      </c>
      <c r="AK244" s="185">
        <v>20.37</v>
      </c>
      <c r="AL244" s="185">
        <v>61.76</v>
      </c>
      <c r="AM244" s="186">
        <v>147</v>
      </c>
      <c r="AN244" s="186" t="str">
        <f t="shared" si="149"/>
        <v>Nelson Marlborough RegionTransit Corridors</v>
      </c>
      <c r="AO244" s="18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86"/>
    </row>
    <row r="245" spans="1:70">
      <c r="A245" s="202"/>
      <c r="B245" s="195" t="str">
        <f t="shared" si="148"/>
        <v>NA NZTA Roads Gisborne Region</v>
      </c>
      <c r="C245" s="196">
        <f t="shared" si="150"/>
        <v>0.34</v>
      </c>
      <c r="D245" s="196">
        <f t="shared" si="151"/>
        <v>0.25</v>
      </c>
      <c r="E245" s="197">
        <f t="shared" si="137"/>
        <v>2014.5044319097501</v>
      </c>
      <c r="F245" s="202"/>
      <c r="AA245" s="185" t="s">
        <v>400</v>
      </c>
      <c r="AB245" s="185" t="s">
        <v>435</v>
      </c>
      <c r="AC245" s="185" t="s">
        <v>401</v>
      </c>
      <c r="AD245" s="185" t="s">
        <v>331</v>
      </c>
      <c r="AE245" s="185" t="s">
        <v>407</v>
      </c>
      <c r="AF245" s="185" t="s">
        <v>411</v>
      </c>
      <c r="AG245" s="185">
        <v>36.270000000000003</v>
      </c>
      <c r="AH245" s="185">
        <v>5.57E-2</v>
      </c>
      <c r="AI245" s="185">
        <v>36.270000000000003</v>
      </c>
      <c r="AJ245" s="185">
        <v>0</v>
      </c>
      <c r="AK245" s="185">
        <v>73.81</v>
      </c>
      <c r="AL245" s="185">
        <v>127.1</v>
      </c>
      <c r="AM245" s="186">
        <v>148</v>
      </c>
      <c r="AN245" s="186" t="str">
        <f t="shared" si="149"/>
        <v>Nelson Marlborough RegionUrban Connectors</v>
      </c>
      <c r="AO245" s="186"/>
      <c r="AP245" s="136"/>
      <c r="AQ245" s="136"/>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86"/>
    </row>
    <row r="246" spans="1:70">
      <c r="A246" s="202"/>
      <c r="B246" s="195" t="str">
        <f t="shared" si="148"/>
        <v>Interregional Connectors NZTA Roads Gisborne Region</v>
      </c>
      <c r="C246" s="196">
        <f t="shared" si="150"/>
        <v>90.44</v>
      </c>
      <c r="D246" s="196">
        <f t="shared" si="151"/>
        <v>47.45</v>
      </c>
      <c r="E246" s="197">
        <f t="shared" si="137"/>
        <v>1437.4170720919947</v>
      </c>
      <c r="F246" s="202"/>
      <c r="AA246" s="185" t="s">
        <v>400</v>
      </c>
      <c r="AB246" s="185" t="s">
        <v>427</v>
      </c>
      <c r="AC246" s="185" t="s">
        <v>401</v>
      </c>
      <c r="AD246" s="185" t="s">
        <v>331</v>
      </c>
      <c r="AE246" s="185"/>
      <c r="AF246" s="185" t="s">
        <v>402</v>
      </c>
      <c r="AG246" s="185">
        <v>13.64</v>
      </c>
      <c r="AH246" s="185">
        <v>1.6199999999999999E-2</v>
      </c>
      <c r="AI246" s="185">
        <v>13.64</v>
      </c>
      <c r="AJ246" s="185">
        <v>0</v>
      </c>
      <c r="AK246" s="185">
        <v>27.22</v>
      </c>
      <c r="AL246" s="185">
        <v>25.31</v>
      </c>
      <c r="AM246" s="186">
        <v>149</v>
      </c>
      <c r="AN246" s="186" t="str">
        <f t="shared" si="149"/>
        <v>Northland RegionUnclassified</v>
      </c>
      <c r="AO246" s="186"/>
      <c r="AP246" s="136"/>
      <c r="AQ246" s="136"/>
      <c r="AR246" s="136"/>
      <c r="AS246" s="136"/>
      <c r="AT246" s="136"/>
      <c r="AU246" s="136"/>
      <c r="AV246" s="136"/>
      <c r="AW246" s="136"/>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86"/>
    </row>
    <row r="247" spans="1:70">
      <c r="A247" s="202"/>
      <c r="B247" s="195" t="str">
        <f t="shared" si="148"/>
        <v>Interregional Connectors NZTA Roads Gisborne Region</v>
      </c>
      <c r="C247" s="196">
        <f t="shared" si="150"/>
        <v>6.53</v>
      </c>
      <c r="D247" s="196">
        <f t="shared" si="151"/>
        <v>1.9</v>
      </c>
      <c r="E247" s="197">
        <f t="shared" si="137"/>
        <v>797.16377519981529</v>
      </c>
      <c r="F247" s="202"/>
      <c r="AA247" s="185" t="s">
        <v>400</v>
      </c>
      <c r="AB247" s="185" t="s">
        <v>427</v>
      </c>
      <c r="AC247" s="185" t="s">
        <v>401</v>
      </c>
      <c r="AD247" s="185" t="s">
        <v>331</v>
      </c>
      <c r="AE247" s="185" t="s">
        <v>403</v>
      </c>
      <c r="AF247" s="185" t="s">
        <v>404</v>
      </c>
      <c r="AG247" s="185">
        <v>119.45</v>
      </c>
      <c r="AH247" s="185">
        <v>0.14219999999999999</v>
      </c>
      <c r="AI247" s="185">
        <v>119.45</v>
      </c>
      <c r="AJ247" s="185">
        <v>0</v>
      </c>
      <c r="AK247" s="185">
        <v>271.3</v>
      </c>
      <c r="AL247" s="185">
        <v>471.56</v>
      </c>
      <c r="AM247" s="186">
        <v>150</v>
      </c>
      <c r="AN247" s="186" t="str">
        <f t="shared" si="149"/>
        <v>Northland RegionInterregional Connectors</v>
      </c>
      <c r="AO247" s="18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86"/>
    </row>
    <row r="248" spans="1:70">
      <c r="A248" s="202"/>
      <c r="B248" s="195" t="str">
        <f t="shared" si="148"/>
        <v>Rural Connectors NZTA Roads Gisborne Region</v>
      </c>
      <c r="C248" s="196">
        <f t="shared" si="150"/>
        <v>538.58000000000004</v>
      </c>
      <c r="D248" s="196">
        <f t="shared" si="151"/>
        <v>130.81</v>
      </c>
      <c r="E248" s="197">
        <f t="shared" si="137"/>
        <v>665.42307854698583</v>
      </c>
      <c r="F248" s="202"/>
      <c r="AA248" s="185" t="s">
        <v>400</v>
      </c>
      <c r="AB248" s="185" t="s">
        <v>427</v>
      </c>
      <c r="AC248" s="185" t="s">
        <v>401</v>
      </c>
      <c r="AD248" s="185" t="s">
        <v>331</v>
      </c>
      <c r="AE248" s="185" t="s">
        <v>403</v>
      </c>
      <c r="AF248" s="185" t="s">
        <v>405</v>
      </c>
      <c r="AG248" s="185">
        <v>17.75</v>
      </c>
      <c r="AH248" s="185">
        <v>2.1100000000000001E-2</v>
      </c>
      <c r="AI248" s="185">
        <v>17.75</v>
      </c>
      <c r="AJ248" s="185">
        <v>0</v>
      </c>
      <c r="AK248" s="185">
        <v>36.15</v>
      </c>
      <c r="AL248" s="185">
        <v>22.72</v>
      </c>
      <c r="AM248" s="186">
        <v>151</v>
      </c>
      <c r="AN248" s="186" t="str">
        <f t="shared" si="149"/>
        <v>Northland RegionPeri-urban Roads</v>
      </c>
      <c r="AO248" s="186"/>
      <c r="AP248" s="136"/>
      <c r="AQ248" s="136"/>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86"/>
    </row>
    <row r="249" spans="1:70">
      <c r="A249" s="202"/>
      <c r="B249" s="195" t="str">
        <f t="shared" si="148"/>
        <v>NA NZTA Roads Gisborne Region</v>
      </c>
      <c r="C249" s="196">
        <f t="shared" si="150"/>
        <v>0</v>
      </c>
      <c r="D249" s="196">
        <f t="shared" si="151"/>
        <v>0</v>
      </c>
      <c r="E249" s="197">
        <f t="shared" si="137"/>
        <v>0</v>
      </c>
      <c r="F249" s="202"/>
      <c r="AA249" s="185" t="s">
        <v>400</v>
      </c>
      <c r="AB249" s="185" t="s">
        <v>427</v>
      </c>
      <c r="AC249" s="185" t="s">
        <v>401</v>
      </c>
      <c r="AD249" s="185" t="s">
        <v>331</v>
      </c>
      <c r="AE249" s="185" t="s">
        <v>403</v>
      </c>
      <c r="AF249" s="185" t="s">
        <v>406</v>
      </c>
      <c r="AG249" s="185">
        <v>617.47</v>
      </c>
      <c r="AH249" s="185">
        <v>0.7349</v>
      </c>
      <c r="AI249" s="185">
        <v>617.47</v>
      </c>
      <c r="AJ249" s="185">
        <v>0</v>
      </c>
      <c r="AK249" s="185">
        <v>1241.57</v>
      </c>
      <c r="AL249" s="185">
        <v>512.01</v>
      </c>
      <c r="AM249" s="186">
        <v>152</v>
      </c>
      <c r="AN249" s="186" t="str">
        <f t="shared" si="149"/>
        <v>Northland RegionRural Connectors</v>
      </c>
      <c r="AO249" s="18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86"/>
    </row>
    <row r="250" spans="1:70">
      <c r="A250" s="202"/>
      <c r="B250" s="195" t="str">
        <f t="shared" si="148"/>
        <v>Interregional Connectors NZTA Roads Gisborne Region</v>
      </c>
      <c r="C250" s="196">
        <f t="shared" si="150"/>
        <v>0</v>
      </c>
      <c r="D250" s="196">
        <f t="shared" si="151"/>
        <v>0</v>
      </c>
      <c r="E250" s="197">
        <f t="shared" si="137"/>
        <v>0</v>
      </c>
      <c r="F250" s="202"/>
      <c r="AA250" s="185" t="s">
        <v>400</v>
      </c>
      <c r="AB250" s="185" t="s">
        <v>427</v>
      </c>
      <c r="AC250" s="185" t="s">
        <v>401</v>
      </c>
      <c r="AD250" s="185" t="s">
        <v>331</v>
      </c>
      <c r="AE250" s="185" t="s">
        <v>403</v>
      </c>
      <c r="AF250" s="185" t="s">
        <v>415</v>
      </c>
      <c r="AG250" s="185">
        <v>0.98</v>
      </c>
      <c r="AH250" s="185">
        <v>1.1999999999999999E-3</v>
      </c>
      <c r="AI250" s="185">
        <v>0.98</v>
      </c>
      <c r="AJ250" s="185">
        <v>0</v>
      </c>
      <c r="AK250" s="185">
        <v>1.91</v>
      </c>
      <c r="AL250" s="185">
        <v>0.22</v>
      </c>
      <c r="AM250" s="186">
        <v>153</v>
      </c>
      <c r="AN250" s="186" t="str">
        <f t="shared" si="149"/>
        <v>Northland RegionStopping Places</v>
      </c>
      <c r="AO250" s="186"/>
      <c r="AP250" s="136"/>
      <c r="AQ250" s="136"/>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86"/>
    </row>
    <row r="251" spans="1:70">
      <c r="A251" s="202"/>
      <c r="B251" s="195" t="str">
        <f t="shared" si="148"/>
        <v>Urban Connectors NZTA Roads Gisborne Region</v>
      </c>
      <c r="C251" s="196">
        <f t="shared" si="150"/>
        <v>3.37</v>
      </c>
      <c r="D251" s="196">
        <f t="shared" si="151"/>
        <v>5.33</v>
      </c>
      <c r="E251" s="197">
        <f t="shared" si="137"/>
        <v>4333.1571887321652</v>
      </c>
      <c r="F251" s="202"/>
      <c r="AA251" s="185" t="s">
        <v>400</v>
      </c>
      <c r="AB251" s="185" t="s">
        <v>427</v>
      </c>
      <c r="AC251" s="185" t="s">
        <v>401</v>
      </c>
      <c r="AD251" s="185" t="s">
        <v>331</v>
      </c>
      <c r="AE251" s="185" t="s">
        <v>407</v>
      </c>
      <c r="AF251" s="185" t="s">
        <v>408</v>
      </c>
      <c r="AG251" s="185">
        <v>7.98</v>
      </c>
      <c r="AH251" s="185">
        <v>9.4999999999999998E-3</v>
      </c>
      <c r="AI251" s="185">
        <v>7.98</v>
      </c>
      <c r="AJ251" s="185">
        <v>0</v>
      </c>
      <c r="AK251" s="185">
        <v>15.96</v>
      </c>
      <c r="AL251" s="185">
        <v>17.5</v>
      </c>
      <c r="AM251" s="186">
        <v>154</v>
      </c>
      <c r="AN251" s="186" t="str">
        <f t="shared" si="149"/>
        <v>Northland RegionActivity Streets</v>
      </c>
      <c r="AO251" s="186"/>
      <c r="AP251" s="136"/>
      <c r="AQ251" s="136"/>
      <c r="AR251" s="136"/>
      <c r="AS251" s="136"/>
      <c r="AT251" s="136"/>
      <c r="AU251" s="136"/>
      <c r="AV251" s="136"/>
      <c r="AW251" s="136"/>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86"/>
    </row>
    <row r="252" spans="1:70">
      <c r="A252" s="202"/>
      <c r="B252" s="195" t="str">
        <f t="shared" si="148"/>
        <v>NA NZTA Roads Gisborne Region</v>
      </c>
      <c r="C252" s="196">
        <f t="shared" si="150"/>
        <v>0</v>
      </c>
      <c r="D252" s="196">
        <f t="shared" si="151"/>
        <v>0</v>
      </c>
      <c r="E252" s="197">
        <f t="shared" si="137"/>
        <v>0</v>
      </c>
      <c r="F252" s="202"/>
      <c r="AA252" s="185" t="s">
        <v>400</v>
      </c>
      <c r="AB252" s="185" t="s">
        <v>427</v>
      </c>
      <c r="AC252" s="185" t="s">
        <v>401</v>
      </c>
      <c r="AD252" s="185" t="s">
        <v>331</v>
      </c>
      <c r="AE252" s="185" t="s">
        <v>407</v>
      </c>
      <c r="AF252" s="185" t="s">
        <v>409</v>
      </c>
      <c r="AG252" s="185">
        <v>1.31</v>
      </c>
      <c r="AH252" s="185">
        <v>1.6000000000000001E-3</v>
      </c>
      <c r="AI252" s="185">
        <v>1.31</v>
      </c>
      <c r="AJ252" s="185">
        <v>0</v>
      </c>
      <c r="AK252" s="185">
        <v>2.61</v>
      </c>
      <c r="AL252" s="185">
        <v>3.6</v>
      </c>
      <c r="AM252" s="186">
        <v>155</v>
      </c>
      <c r="AN252" s="186" t="str">
        <f t="shared" si="149"/>
        <v>Northland RegionMain Streets</v>
      </c>
      <c r="AO252" s="18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86"/>
    </row>
    <row r="253" spans="1:70">
      <c r="A253" s="202"/>
      <c r="B253" s="195" t="str">
        <f t="shared" si="148"/>
        <v>Urban Connectors NZTA Roads Gisborne Region</v>
      </c>
      <c r="C253" s="196">
        <f t="shared" si="150"/>
        <v>0</v>
      </c>
      <c r="D253" s="196">
        <f t="shared" si="151"/>
        <v>0</v>
      </c>
      <c r="E253" s="197">
        <f t="shared" ref="E253:E308" si="152">IFERROR($E$12*(D253/C253)/$E$13,0)</f>
        <v>0</v>
      </c>
      <c r="F253" s="202"/>
      <c r="AA253" s="185" t="s">
        <v>400</v>
      </c>
      <c r="AB253" s="185" t="s">
        <v>427</v>
      </c>
      <c r="AC253" s="185" t="s">
        <v>401</v>
      </c>
      <c r="AD253" s="185" t="s">
        <v>331</v>
      </c>
      <c r="AE253" s="185" t="s">
        <v>407</v>
      </c>
      <c r="AF253" s="185" t="s">
        <v>410</v>
      </c>
      <c r="AG253" s="185">
        <v>2.9</v>
      </c>
      <c r="AH253" s="185">
        <v>3.5000000000000001E-3</v>
      </c>
      <c r="AI253" s="185">
        <v>2.9</v>
      </c>
      <c r="AJ253" s="185">
        <v>0</v>
      </c>
      <c r="AK253" s="185">
        <v>5.8</v>
      </c>
      <c r="AL253" s="185">
        <v>13.14</v>
      </c>
      <c r="AM253" s="186">
        <v>156</v>
      </c>
      <c r="AN253" s="186" t="str">
        <f t="shared" si="149"/>
        <v>Northland RegionTransit Corridors</v>
      </c>
      <c r="AO253" s="186"/>
      <c r="AP253" s="136"/>
      <c r="AQ253" s="136"/>
      <c r="AR253" s="136"/>
      <c r="AS253" s="136"/>
      <c r="AT253" s="136"/>
      <c r="AU253" s="136"/>
      <c r="AV253" s="136"/>
      <c r="AW253" s="136"/>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86"/>
    </row>
    <row r="254" spans="1:70">
      <c r="A254" s="202"/>
      <c r="B254" s="195" t="str">
        <f t="shared" si="148"/>
        <v>Urban Connectors NZTA Roads Gisborne Region</v>
      </c>
      <c r="C254" s="196">
        <f t="shared" si="150"/>
        <v>23.57</v>
      </c>
      <c r="D254" s="196">
        <f t="shared" si="151"/>
        <v>29.88</v>
      </c>
      <c r="E254" s="197">
        <f t="shared" si="152"/>
        <v>3473.1868349015749</v>
      </c>
      <c r="F254" s="202"/>
      <c r="AA254" s="185" t="s">
        <v>400</v>
      </c>
      <c r="AB254" s="185" t="s">
        <v>427</v>
      </c>
      <c r="AC254" s="185" t="s">
        <v>401</v>
      </c>
      <c r="AD254" s="185" t="s">
        <v>331</v>
      </c>
      <c r="AE254" s="185" t="s">
        <v>407</v>
      </c>
      <c r="AF254" s="185" t="s">
        <v>411</v>
      </c>
      <c r="AG254" s="185">
        <v>58.68</v>
      </c>
      <c r="AH254" s="185">
        <v>6.9800000000000001E-2</v>
      </c>
      <c r="AI254" s="185">
        <v>58.68</v>
      </c>
      <c r="AJ254" s="185">
        <v>0</v>
      </c>
      <c r="AK254" s="185">
        <v>117.82</v>
      </c>
      <c r="AL254" s="185">
        <v>170.55</v>
      </c>
      <c r="AM254" s="186">
        <v>157</v>
      </c>
      <c r="AN254" s="186" t="str">
        <f t="shared" si="149"/>
        <v>Northland RegionUrban Connectors</v>
      </c>
      <c r="AO254" s="186"/>
      <c r="AP254" s="136"/>
      <c r="AQ254" s="136"/>
      <c r="AR254" s="136"/>
      <c r="AS254" s="136"/>
      <c r="AT254" s="136"/>
      <c r="AU254" s="136"/>
      <c r="AV254" s="136"/>
      <c r="AW254" s="136"/>
      <c r="AX254" s="136"/>
      <c r="AY254" s="136"/>
      <c r="AZ254" s="136"/>
      <c r="BA254" s="136"/>
      <c r="BB254" s="136"/>
      <c r="BC254" s="136"/>
      <c r="BD254" s="136"/>
      <c r="BE254" s="136"/>
      <c r="BF254" s="136"/>
      <c r="BG254" s="136"/>
      <c r="BH254" s="136"/>
      <c r="BI254" s="136"/>
      <c r="BJ254" s="136"/>
      <c r="BK254" s="136"/>
      <c r="BL254" s="136"/>
      <c r="BM254" s="136"/>
      <c r="BN254" s="136"/>
      <c r="BO254" s="136"/>
      <c r="BP254" s="136"/>
      <c r="BQ254" s="136"/>
      <c r="BR254" s="186"/>
    </row>
    <row r="255" spans="1:70">
      <c r="A255" s="202"/>
      <c r="B255" s="195" t="str">
        <f t="shared" si="148"/>
        <v>NA NZTA Roads Hawke's Bay Region</v>
      </c>
      <c r="C255" s="196">
        <f t="shared" si="150"/>
        <v>57.76</v>
      </c>
      <c r="D255" s="196">
        <f t="shared" si="151"/>
        <v>135.09</v>
      </c>
      <c r="E255" s="197">
        <f t="shared" si="152"/>
        <v>6407.7144917087244</v>
      </c>
      <c r="F255" s="202"/>
      <c r="AA255" s="185" t="s">
        <v>400</v>
      </c>
      <c r="AB255" s="185" t="s">
        <v>428</v>
      </c>
      <c r="AC255" s="185" t="s">
        <v>401</v>
      </c>
      <c r="AD255" s="185" t="s">
        <v>331</v>
      </c>
      <c r="AE255" s="185"/>
      <c r="AF255" s="185" t="s">
        <v>402</v>
      </c>
      <c r="AG255" s="185">
        <v>2.77</v>
      </c>
      <c r="AH255" s="185">
        <v>2.0999999999999999E-3</v>
      </c>
      <c r="AI255" s="185">
        <v>2.77</v>
      </c>
      <c r="AJ255" s="185">
        <v>0</v>
      </c>
      <c r="AK255" s="185">
        <v>4.75</v>
      </c>
      <c r="AL255" s="185">
        <v>7.54</v>
      </c>
      <c r="AM255" s="186">
        <v>170</v>
      </c>
      <c r="AN255" s="186" t="str">
        <f t="shared" si="149"/>
        <v>Otago RegionUnclassified</v>
      </c>
      <c r="AO255" s="18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86"/>
    </row>
    <row r="256" spans="1:70">
      <c r="A256" s="202"/>
      <c r="B256" s="195" t="str">
        <f t="shared" si="148"/>
        <v>Interregional Connectors NZTA Roads Hawke's Bay Region</v>
      </c>
      <c r="C256" s="196">
        <f t="shared" si="150"/>
        <v>612.94000000000005</v>
      </c>
      <c r="D256" s="196">
        <f t="shared" si="151"/>
        <v>387.95</v>
      </c>
      <c r="E256" s="197">
        <f t="shared" si="152"/>
        <v>1734.0632236903562</v>
      </c>
      <c r="F256" s="202"/>
      <c r="AA256" s="185" t="s">
        <v>400</v>
      </c>
      <c r="AB256" s="185" t="s">
        <v>428</v>
      </c>
      <c r="AC256" s="185" t="s">
        <v>401</v>
      </c>
      <c r="AD256" s="185" t="s">
        <v>331</v>
      </c>
      <c r="AE256" s="185" t="s">
        <v>403</v>
      </c>
      <c r="AF256" s="185" t="s">
        <v>404</v>
      </c>
      <c r="AG256" s="185">
        <v>326.27</v>
      </c>
      <c r="AH256" s="185">
        <v>0.2462</v>
      </c>
      <c r="AI256" s="185">
        <v>326.27</v>
      </c>
      <c r="AJ256" s="185">
        <v>0</v>
      </c>
      <c r="AK256" s="185">
        <v>682.04</v>
      </c>
      <c r="AL256" s="185">
        <v>675.9</v>
      </c>
      <c r="AM256" s="186">
        <v>171</v>
      </c>
      <c r="AN256" s="186" t="str">
        <f t="shared" si="149"/>
        <v>Otago RegionInterregional Connectors</v>
      </c>
      <c r="AO256" s="18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86"/>
    </row>
    <row r="257" spans="1:70">
      <c r="A257" s="202"/>
      <c r="B257" s="195" t="str">
        <f t="shared" si="148"/>
        <v>Interregional Connectors NZTA Roads Hawke's Bay Region</v>
      </c>
      <c r="C257" s="196">
        <f t="shared" si="150"/>
        <v>15.14</v>
      </c>
      <c r="D257" s="196">
        <f t="shared" si="151"/>
        <v>27.41</v>
      </c>
      <c r="E257" s="197">
        <f t="shared" si="152"/>
        <v>4960.0984419391616</v>
      </c>
      <c r="F257" s="202"/>
      <c r="AA257" s="185" t="s">
        <v>400</v>
      </c>
      <c r="AB257" s="185" t="s">
        <v>428</v>
      </c>
      <c r="AC257" s="185" t="s">
        <v>401</v>
      </c>
      <c r="AD257" s="185" t="s">
        <v>331</v>
      </c>
      <c r="AE257" s="185" t="s">
        <v>403</v>
      </c>
      <c r="AF257" s="185" t="s">
        <v>405</v>
      </c>
      <c r="AG257" s="185">
        <v>4.37</v>
      </c>
      <c r="AH257" s="185">
        <v>3.3E-3</v>
      </c>
      <c r="AI257" s="185">
        <v>4.37</v>
      </c>
      <c r="AJ257" s="185">
        <v>0</v>
      </c>
      <c r="AK257" s="185">
        <v>8.74</v>
      </c>
      <c r="AL257" s="185">
        <v>7.76</v>
      </c>
      <c r="AM257" s="186">
        <v>172</v>
      </c>
      <c r="AN257" s="186" t="str">
        <f t="shared" si="149"/>
        <v>Otago RegionPeri-urban Roads</v>
      </c>
      <c r="AO257" s="186"/>
      <c r="AP257" s="136"/>
      <c r="AQ257" s="136"/>
      <c r="AR257" s="136"/>
      <c r="AS257" s="136"/>
      <c r="AT257" s="136"/>
      <c r="AU257" s="136"/>
      <c r="AV257" s="136"/>
      <c r="AW257" s="136"/>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86"/>
    </row>
    <row r="258" spans="1:70">
      <c r="A258" s="202"/>
      <c r="B258" s="195" t="str">
        <f t="shared" si="148"/>
        <v>Rural Connectors NZTA Roads Hawke's Bay Region</v>
      </c>
      <c r="C258" s="196">
        <f t="shared" si="150"/>
        <v>306.77999999999997</v>
      </c>
      <c r="D258" s="196">
        <f t="shared" si="151"/>
        <v>133.47</v>
      </c>
      <c r="E258" s="197">
        <f t="shared" si="152"/>
        <v>1191.9656851056534</v>
      </c>
      <c r="F258" s="202"/>
      <c r="AA258" s="185" t="s">
        <v>400</v>
      </c>
      <c r="AB258" s="185" t="s">
        <v>428</v>
      </c>
      <c r="AC258" s="185" t="s">
        <v>401</v>
      </c>
      <c r="AD258" s="185" t="s">
        <v>331</v>
      </c>
      <c r="AE258" s="185" t="s">
        <v>403</v>
      </c>
      <c r="AF258" s="185" t="s">
        <v>406</v>
      </c>
      <c r="AG258" s="185">
        <v>885.89</v>
      </c>
      <c r="AH258" s="185">
        <v>0.66839999999999999</v>
      </c>
      <c r="AI258" s="185">
        <v>885.89</v>
      </c>
      <c r="AJ258" s="185">
        <v>0</v>
      </c>
      <c r="AK258" s="185">
        <v>1776.8</v>
      </c>
      <c r="AL258" s="185">
        <v>592.67999999999995</v>
      </c>
      <c r="AM258" s="186">
        <v>173</v>
      </c>
      <c r="AN258" s="186" t="str">
        <f t="shared" si="149"/>
        <v>Otago RegionRural Connectors</v>
      </c>
      <c r="AO258" s="186"/>
      <c r="AP258" s="136"/>
      <c r="AQ258" s="136"/>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86"/>
    </row>
    <row r="259" spans="1:70">
      <c r="A259" s="202"/>
      <c r="B259" s="195" t="str">
        <f t="shared" si="148"/>
        <v>NA NZTA Roads Hawke's Bay Region</v>
      </c>
      <c r="C259" s="196">
        <f t="shared" si="150"/>
        <v>0</v>
      </c>
      <c r="D259" s="196">
        <f t="shared" si="151"/>
        <v>0</v>
      </c>
      <c r="E259" s="197">
        <f t="shared" si="152"/>
        <v>0</v>
      </c>
      <c r="F259" s="202"/>
      <c r="AA259" s="185" t="s">
        <v>400</v>
      </c>
      <c r="AB259" s="185" t="s">
        <v>428</v>
      </c>
      <c r="AC259" s="185" t="s">
        <v>401</v>
      </c>
      <c r="AD259" s="185" t="s">
        <v>331</v>
      </c>
      <c r="AE259" s="185" t="s">
        <v>403</v>
      </c>
      <c r="AF259" s="185" t="s">
        <v>415</v>
      </c>
      <c r="AG259" s="185">
        <v>0.2</v>
      </c>
      <c r="AH259" s="185">
        <v>2.0000000000000001E-4</v>
      </c>
      <c r="AI259" s="185">
        <v>0.2</v>
      </c>
      <c r="AJ259" s="185">
        <v>0</v>
      </c>
      <c r="AK259" s="185">
        <v>0.4</v>
      </c>
      <c r="AL259" s="185">
        <v>0.18</v>
      </c>
      <c r="AM259" s="186">
        <v>174</v>
      </c>
      <c r="AN259" s="186" t="str">
        <f t="shared" si="149"/>
        <v>Otago RegionStopping Places</v>
      </c>
      <c r="AO259" s="18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86"/>
    </row>
    <row r="260" spans="1:70">
      <c r="A260" s="202"/>
      <c r="B260" s="195" t="str">
        <f t="shared" si="148"/>
        <v>Interregional Connectors NZTA Roads Hawke's Bay Region</v>
      </c>
      <c r="C260" s="196">
        <f t="shared" si="150"/>
        <v>0</v>
      </c>
      <c r="D260" s="196">
        <f t="shared" si="151"/>
        <v>0</v>
      </c>
      <c r="E260" s="197">
        <f t="shared" si="152"/>
        <v>0</v>
      </c>
      <c r="F260" s="202"/>
      <c r="AA260" s="185" t="s">
        <v>400</v>
      </c>
      <c r="AB260" s="185" t="s">
        <v>428</v>
      </c>
      <c r="AC260" s="185" t="s">
        <v>401</v>
      </c>
      <c r="AD260" s="185" t="s">
        <v>331</v>
      </c>
      <c r="AE260" s="185" t="s">
        <v>407</v>
      </c>
      <c r="AF260" s="185" t="s">
        <v>408</v>
      </c>
      <c r="AG260" s="185">
        <v>15.41</v>
      </c>
      <c r="AH260" s="185">
        <v>1.1599999999999999E-2</v>
      </c>
      <c r="AI260" s="185">
        <v>15.41</v>
      </c>
      <c r="AJ260" s="185">
        <v>0</v>
      </c>
      <c r="AK260" s="185">
        <v>34.369999999999997</v>
      </c>
      <c r="AL260" s="185">
        <v>63.58</v>
      </c>
      <c r="AM260" s="186">
        <v>175</v>
      </c>
      <c r="AN260" s="186" t="str">
        <f t="shared" si="149"/>
        <v>Otago RegionActivity Streets</v>
      </c>
      <c r="AO260" s="186"/>
      <c r="AP260" s="136"/>
      <c r="AQ260" s="136"/>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86"/>
    </row>
    <row r="261" spans="1:70">
      <c r="A261" s="202"/>
      <c r="B261" s="195" t="str">
        <f t="shared" si="148"/>
        <v>Urban Connectors NZTA Roads Hawke's Bay Region</v>
      </c>
      <c r="C261" s="196">
        <f t="shared" si="150"/>
        <v>3.81</v>
      </c>
      <c r="D261" s="196">
        <f t="shared" si="151"/>
        <v>6.45</v>
      </c>
      <c r="E261" s="197">
        <f t="shared" si="152"/>
        <v>4638.1188652788269</v>
      </c>
      <c r="F261" s="202"/>
      <c r="AA261" s="185" t="s">
        <v>400</v>
      </c>
      <c r="AB261" s="185" t="s">
        <v>428</v>
      </c>
      <c r="AC261" s="185" t="s">
        <v>401</v>
      </c>
      <c r="AD261" s="185" t="s">
        <v>331</v>
      </c>
      <c r="AE261" s="185" t="s">
        <v>407</v>
      </c>
      <c r="AF261" s="185" t="s">
        <v>409</v>
      </c>
      <c r="AG261" s="185">
        <v>3.05</v>
      </c>
      <c r="AH261" s="185">
        <v>2.3E-3</v>
      </c>
      <c r="AI261" s="185">
        <v>3.05</v>
      </c>
      <c r="AJ261" s="185">
        <v>0</v>
      </c>
      <c r="AK261" s="185">
        <v>6.09</v>
      </c>
      <c r="AL261" s="185">
        <v>9.7799999999999994</v>
      </c>
      <c r="AM261" s="186">
        <v>176</v>
      </c>
      <c r="AN261" s="186" t="str">
        <f t="shared" si="149"/>
        <v>Otago RegionMain Streets</v>
      </c>
      <c r="AO261" s="186"/>
      <c r="AP261" s="136"/>
      <c r="AQ261" s="136"/>
      <c r="AR261" s="136"/>
      <c r="AS261" s="136"/>
      <c r="AT261" s="136"/>
      <c r="AU261" s="136"/>
      <c r="AV261" s="136"/>
      <c r="AW261" s="136"/>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86"/>
    </row>
    <row r="262" spans="1:70">
      <c r="A262" s="202"/>
      <c r="B262" s="195" t="str">
        <f t="shared" si="148"/>
        <v>NA NZTA Roads Hawke's Bay Region</v>
      </c>
      <c r="C262" s="196">
        <f t="shared" ref="C262:C293" si="153">AZ80</f>
        <v>0</v>
      </c>
      <c r="D262" s="196">
        <f t="shared" ref="D262:D293" si="154">BA80</f>
        <v>0</v>
      </c>
      <c r="E262" s="197">
        <f t="shared" si="152"/>
        <v>0</v>
      </c>
      <c r="F262" s="202"/>
      <c r="AA262" s="185" t="s">
        <v>400</v>
      </c>
      <c r="AB262" s="185" t="s">
        <v>428</v>
      </c>
      <c r="AC262" s="185" t="s">
        <v>401</v>
      </c>
      <c r="AD262" s="185" t="s">
        <v>331</v>
      </c>
      <c r="AE262" s="185" t="s">
        <v>407</v>
      </c>
      <c r="AF262" s="185" t="s">
        <v>410</v>
      </c>
      <c r="AG262" s="185">
        <v>28.79</v>
      </c>
      <c r="AH262" s="185">
        <v>2.1700000000000001E-2</v>
      </c>
      <c r="AI262" s="185">
        <v>28.79</v>
      </c>
      <c r="AJ262" s="185">
        <v>0</v>
      </c>
      <c r="AK262" s="185">
        <v>54.8</v>
      </c>
      <c r="AL262" s="185">
        <v>137.27000000000001</v>
      </c>
      <c r="AM262" s="186">
        <v>177</v>
      </c>
      <c r="AN262" s="186" t="str">
        <f t="shared" si="149"/>
        <v>Otago RegionTransit Corridors</v>
      </c>
      <c r="AO262" s="186"/>
      <c r="AP262" s="136"/>
      <c r="AQ262" s="136"/>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86"/>
    </row>
    <row r="263" spans="1:70">
      <c r="A263" s="202"/>
      <c r="B263" s="195" t="str">
        <f t="shared" ref="B263:B326" si="155">CONCATENATE(BB81,$E$14,AP81,$E$14,AQ81)</f>
        <v>NA NZTA Roads Hawke's Bay Region</v>
      </c>
      <c r="C263" s="196">
        <f t="shared" si="153"/>
        <v>0</v>
      </c>
      <c r="D263" s="196">
        <f t="shared" si="154"/>
        <v>0</v>
      </c>
      <c r="E263" s="197">
        <f t="shared" si="152"/>
        <v>0</v>
      </c>
      <c r="F263" s="202"/>
      <c r="AA263" s="185" t="s">
        <v>400</v>
      </c>
      <c r="AB263" s="185" t="s">
        <v>428</v>
      </c>
      <c r="AC263" s="185" t="s">
        <v>401</v>
      </c>
      <c r="AD263" s="185" t="s">
        <v>331</v>
      </c>
      <c r="AE263" s="185" t="s">
        <v>407</v>
      </c>
      <c r="AF263" s="185" t="s">
        <v>411</v>
      </c>
      <c r="AG263" s="185">
        <v>58.54</v>
      </c>
      <c r="AH263" s="185">
        <v>4.4200000000000003E-2</v>
      </c>
      <c r="AI263" s="185">
        <v>58.54</v>
      </c>
      <c r="AJ263" s="185">
        <v>0</v>
      </c>
      <c r="AK263" s="185">
        <v>116.84</v>
      </c>
      <c r="AL263" s="185">
        <v>181.25</v>
      </c>
      <c r="AM263" s="186">
        <v>178</v>
      </c>
      <c r="AN263" s="186" t="str">
        <f t="shared" si="149"/>
        <v>Otago RegionUrban Connectors</v>
      </c>
      <c r="AO263" s="18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86"/>
    </row>
    <row r="264" spans="1:70">
      <c r="A264" s="202"/>
      <c r="B264" s="195" t="str">
        <f t="shared" si="155"/>
        <v>Urban Connectors NZTA Roads Hawke's Bay Region</v>
      </c>
      <c r="C264" s="196">
        <f t="shared" si="153"/>
        <v>0.9</v>
      </c>
      <c r="D264" s="196">
        <f t="shared" si="154"/>
        <v>1.77</v>
      </c>
      <c r="E264" s="197">
        <f t="shared" si="152"/>
        <v>5388.1278538812785</v>
      </c>
      <c r="F264" s="202"/>
      <c r="AA264" s="185" t="s">
        <v>400</v>
      </c>
      <c r="AB264" s="185" t="s">
        <v>429</v>
      </c>
      <c r="AC264" s="185" t="s">
        <v>401</v>
      </c>
      <c r="AD264" s="185" t="s">
        <v>331</v>
      </c>
      <c r="AE264" s="185"/>
      <c r="AF264" s="185" t="s">
        <v>402</v>
      </c>
      <c r="AG264" s="185">
        <v>5.98</v>
      </c>
      <c r="AH264" s="185">
        <v>7.6E-3</v>
      </c>
      <c r="AI264" s="185">
        <v>5.98</v>
      </c>
      <c r="AJ264" s="185">
        <v>0</v>
      </c>
      <c r="AK264" s="185">
        <v>11.95</v>
      </c>
      <c r="AL264" s="185">
        <v>9.3000000000000007</v>
      </c>
      <c r="AM264" s="186">
        <v>191</v>
      </c>
      <c r="AN264" s="186" t="str">
        <f t="shared" si="149"/>
        <v>Southland RegionUnclassified</v>
      </c>
      <c r="AO264" s="18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86"/>
    </row>
    <row r="265" spans="1:70">
      <c r="A265" s="202"/>
      <c r="B265" s="195" t="str">
        <f t="shared" si="155"/>
        <v>Transit Corridors NZTA Roads Hawke's Bay Region</v>
      </c>
      <c r="C265" s="196">
        <f t="shared" si="153"/>
        <v>8.66</v>
      </c>
      <c r="D265" s="196">
        <f t="shared" si="154"/>
        <v>16.010000000000002</v>
      </c>
      <c r="E265" s="197">
        <f t="shared" si="152"/>
        <v>5065.0131291720718</v>
      </c>
      <c r="F265" s="202"/>
      <c r="AA265" s="185" t="s">
        <v>400</v>
      </c>
      <c r="AB265" s="185" t="s">
        <v>429</v>
      </c>
      <c r="AC265" s="185" t="s">
        <v>401</v>
      </c>
      <c r="AD265" s="185" t="s">
        <v>331</v>
      </c>
      <c r="AE265" s="185" t="s">
        <v>403</v>
      </c>
      <c r="AF265" s="185" t="s">
        <v>404</v>
      </c>
      <c r="AG265" s="185">
        <v>307.77999999999997</v>
      </c>
      <c r="AH265" s="185">
        <v>0.39029999999999998</v>
      </c>
      <c r="AI265" s="185">
        <v>307.77999999999997</v>
      </c>
      <c r="AJ265" s="185">
        <v>0</v>
      </c>
      <c r="AK265" s="185">
        <v>619.14</v>
      </c>
      <c r="AL265" s="185">
        <v>296.01</v>
      </c>
      <c r="AM265" s="186">
        <v>192</v>
      </c>
      <c r="AN265" s="186" t="str">
        <f t="shared" si="149"/>
        <v>Southland RegionInterregional Connectors</v>
      </c>
      <c r="AO265" s="18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86"/>
    </row>
    <row r="266" spans="1:70">
      <c r="A266" s="202"/>
      <c r="B266" s="195" t="str">
        <f t="shared" si="155"/>
        <v>Urban Connectors NZTA Roads Hawke's Bay Region</v>
      </c>
      <c r="C266" s="196">
        <f t="shared" si="153"/>
        <v>47.27</v>
      </c>
      <c r="D266" s="196">
        <f t="shared" si="154"/>
        <v>65.67</v>
      </c>
      <c r="E266" s="197">
        <f t="shared" si="152"/>
        <v>3806.1732223223621</v>
      </c>
      <c r="F266" s="202"/>
      <c r="AA266" s="185" t="s">
        <v>400</v>
      </c>
      <c r="AB266" s="185" t="s">
        <v>429</v>
      </c>
      <c r="AC266" s="185" t="s">
        <v>401</v>
      </c>
      <c r="AD266" s="185" t="s">
        <v>331</v>
      </c>
      <c r="AE266" s="185" t="s">
        <v>403</v>
      </c>
      <c r="AF266" s="185" t="s">
        <v>405</v>
      </c>
      <c r="AG266" s="185">
        <v>7.76</v>
      </c>
      <c r="AH266" s="185">
        <v>9.7999999999999997E-3</v>
      </c>
      <c r="AI266" s="185">
        <v>7.76</v>
      </c>
      <c r="AJ266" s="185">
        <v>0</v>
      </c>
      <c r="AK266" s="185">
        <v>21.4</v>
      </c>
      <c r="AL266" s="185">
        <v>25.39</v>
      </c>
      <c r="AM266" s="186">
        <v>193</v>
      </c>
      <c r="AN266" s="186" t="str">
        <f t="shared" si="149"/>
        <v>Southland RegionPeri-urban Roads</v>
      </c>
      <c r="AO266" s="186"/>
      <c r="AP266" s="136"/>
      <c r="AQ266" s="136"/>
      <c r="AR266" s="136"/>
      <c r="AS266" s="136"/>
      <c r="AT266" s="136"/>
      <c r="AU266" s="136"/>
      <c r="AV266" s="136"/>
      <c r="AW266" s="136"/>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86"/>
    </row>
    <row r="267" spans="1:70">
      <c r="A267" s="202"/>
      <c r="B267" s="195" t="str">
        <f t="shared" si="155"/>
        <v>NA NZTA Roads Manawatu/Whanganui Region</v>
      </c>
      <c r="C267" s="196">
        <f t="shared" si="153"/>
        <v>35.1</v>
      </c>
      <c r="D267" s="196">
        <f t="shared" si="154"/>
        <v>39.090000000000003</v>
      </c>
      <c r="E267" s="197">
        <f t="shared" si="152"/>
        <v>3051.1649689731885</v>
      </c>
      <c r="F267" s="202"/>
      <c r="AA267" s="185" t="s">
        <v>400</v>
      </c>
      <c r="AB267" s="185" t="s">
        <v>429</v>
      </c>
      <c r="AC267" s="185" t="s">
        <v>401</v>
      </c>
      <c r="AD267" s="185" t="s">
        <v>331</v>
      </c>
      <c r="AE267" s="185" t="s">
        <v>403</v>
      </c>
      <c r="AF267" s="185" t="s">
        <v>406</v>
      </c>
      <c r="AG267" s="185">
        <v>409.53</v>
      </c>
      <c r="AH267" s="185">
        <v>0.51939999999999997</v>
      </c>
      <c r="AI267" s="185">
        <v>409.53</v>
      </c>
      <c r="AJ267" s="185">
        <v>0</v>
      </c>
      <c r="AK267" s="185">
        <v>819.06</v>
      </c>
      <c r="AL267" s="185">
        <v>289.5</v>
      </c>
      <c r="AM267" s="186">
        <v>194</v>
      </c>
      <c r="AN267" s="186" t="str">
        <f t="shared" si="149"/>
        <v>Southland RegionRural Connectors</v>
      </c>
      <c r="AO267" s="186"/>
      <c r="AP267" s="136"/>
      <c r="AQ267" s="136"/>
      <c r="AR267" s="136"/>
      <c r="AS267" s="136"/>
      <c r="AT267" s="136"/>
      <c r="AU267" s="136"/>
      <c r="AV267" s="136"/>
      <c r="AW267" s="136"/>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86"/>
    </row>
    <row r="268" spans="1:70" ht="25.5">
      <c r="A268" s="202"/>
      <c r="B268" s="195" t="str">
        <f t="shared" si="155"/>
        <v>Interregional Connectors NZTA Roads Manawatu/Whanganui Region</v>
      </c>
      <c r="C268" s="196">
        <f t="shared" si="153"/>
        <v>938.01</v>
      </c>
      <c r="D268" s="196">
        <f t="shared" si="154"/>
        <v>1022.62</v>
      </c>
      <c r="E268" s="197">
        <f t="shared" si="152"/>
        <v>2986.8536904052048</v>
      </c>
      <c r="F268" s="202"/>
      <c r="AA268" s="185" t="s">
        <v>400</v>
      </c>
      <c r="AB268" s="185" t="s">
        <v>429</v>
      </c>
      <c r="AC268" s="185" t="s">
        <v>401</v>
      </c>
      <c r="AD268" s="185" t="s">
        <v>331</v>
      </c>
      <c r="AE268" s="185" t="s">
        <v>403</v>
      </c>
      <c r="AF268" s="185" t="s">
        <v>415</v>
      </c>
      <c r="AG268" s="185">
        <v>0.91</v>
      </c>
      <c r="AH268" s="185">
        <v>1.1999999999999999E-3</v>
      </c>
      <c r="AI268" s="185">
        <v>0.91</v>
      </c>
      <c r="AJ268" s="185">
        <v>0</v>
      </c>
      <c r="AK268" s="185">
        <v>1.82</v>
      </c>
      <c r="AL268" s="185">
        <v>0.35</v>
      </c>
      <c r="AM268" s="186">
        <v>195</v>
      </c>
      <c r="AN268" s="186" t="str">
        <f t="shared" si="149"/>
        <v>Southland RegionStopping Places</v>
      </c>
      <c r="AO268" s="18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86"/>
    </row>
    <row r="269" spans="1:70" ht="25.5">
      <c r="A269" s="202"/>
      <c r="B269" s="195" t="str">
        <f t="shared" si="155"/>
        <v>Interregional Connectors NZTA Roads Manawatu/Whanganui Region</v>
      </c>
      <c r="C269" s="196">
        <f t="shared" si="153"/>
        <v>27.98</v>
      </c>
      <c r="D269" s="196">
        <f t="shared" si="154"/>
        <v>31.21</v>
      </c>
      <c r="E269" s="197">
        <f t="shared" si="152"/>
        <v>3055.9989033262509</v>
      </c>
      <c r="F269" s="202"/>
      <c r="AA269" s="185" t="s">
        <v>400</v>
      </c>
      <c r="AB269" s="185" t="s">
        <v>429</v>
      </c>
      <c r="AC269" s="185" t="s">
        <v>401</v>
      </c>
      <c r="AD269" s="185" t="s">
        <v>331</v>
      </c>
      <c r="AE269" s="185" t="s">
        <v>407</v>
      </c>
      <c r="AF269" s="185" t="s">
        <v>408</v>
      </c>
      <c r="AG269" s="185">
        <v>12.25</v>
      </c>
      <c r="AH269" s="185">
        <v>1.55E-2</v>
      </c>
      <c r="AI269" s="185">
        <v>12.25</v>
      </c>
      <c r="AJ269" s="185">
        <v>0</v>
      </c>
      <c r="AK269" s="185">
        <v>23.78</v>
      </c>
      <c r="AL269" s="185">
        <v>26.59</v>
      </c>
      <c r="AM269" s="186">
        <v>196</v>
      </c>
      <c r="AN269" s="186" t="str">
        <f t="shared" si="149"/>
        <v>Southland RegionActivity Streets</v>
      </c>
      <c r="AO269" s="18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86"/>
    </row>
    <row r="270" spans="1:70">
      <c r="A270" s="202"/>
      <c r="B270" s="195" t="str">
        <f t="shared" si="155"/>
        <v>Rural Connectors NZTA Roads Manawatu/Whanganui Region</v>
      </c>
      <c r="C270" s="196">
        <f t="shared" si="153"/>
        <v>884.61</v>
      </c>
      <c r="D270" s="196">
        <f t="shared" si="154"/>
        <v>285.99</v>
      </c>
      <c r="E270" s="197">
        <f t="shared" si="152"/>
        <v>885.73975715325673</v>
      </c>
      <c r="F270" s="202"/>
      <c r="AA270" s="185" t="s">
        <v>400</v>
      </c>
      <c r="AB270" s="185" t="s">
        <v>429</v>
      </c>
      <c r="AC270" s="185" t="s">
        <v>401</v>
      </c>
      <c r="AD270" s="185" t="s">
        <v>331</v>
      </c>
      <c r="AE270" s="185" t="s">
        <v>407</v>
      </c>
      <c r="AF270" s="185" t="s">
        <v>409</v>
      </c>
      <c r="AG270" s="185">
        <v>2.41</v>
      </c>
      <c r="AH270" s="185">
        <v>3.0999999999999999E-3</v>
      </c>
      <c r="AI270" s="185">
        <v>2.41</v>
      </c>
      <c r="AJ270" s="185">
        <v>0</v>
      </c>
      <c r="AK270" s="185">
        <v>4.33</v>
      </c>
      <c r="AL270" s="185">
        <v>6.36</v>
      </c>
      <c r="AM270" s="186">
        <v>197</v>
      </c>
      <c r="AN270" s="186" t="str">
        <f t="shared" si="149"/>
        <v>Southland RegionMain Streets</v>
      </c>
      <c r="AO270" s="186"/>
      <c r="AP270" s="136"/>
      <c r="AQ270" s="136"/>
      <c r="AR270" s="136"/>
      <c r="AS270" s="136"/>
      <c r="AT270" s="136"/>
      <c r="AU270" s="136"/>
      <c r="AV270" s="136"/>
      <c r="AW270" s="136"/>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86"/>
    </row>
    <row r="271" spans="1:70">
      <c r="A271" s="202"/>
      <c r="B271" s="195" t="str">
        <f t="shared" si="155"/>
        <v>NA NZTA Roads Manawatu/Whanganui Region</v>
      </c>
      <c r="C271" s="196">
        <f t="shared" si="153"/>
        <v>0</v>
      </c>
      <c r="D271" s="196">
        <f t="shared" si="154"/>
        <v>0</v>
      </c>
      <c r="E271" s="197">
        <f t="shared" si="152"/>
        <v>0</v>
      </c>
      <c r="F271" s="202"/>
      <c r="AA271" s="185" t="s">
        <v>400</v>
      </c>
      <c r="AB271" s="185" t="s">
        <v>429</v>
      </c>
      <c r="AC271" s="185" t="s">
        <v>401</v>
      </c>
      <c r="AD271" s="185" t="s">
        <v>331</v>
      </c>
      <c r="AE271" s="185" t="s">
        <v>407</v>
      </c>
      <c r="AF271" s="185" t="s">
        <v>411</v>
      </c>
      <c r="AG271" s="185">
        <v>41.87</v>
      </c>
      <c r="AH271" s="185">
        <v>5.3100000000000001E-2</v>
      </c>
      <c r="AI271" s="185">
        <v>41.87</v>
      </c>
      <c r="AJ271" s="185">
        <v>0</v>
      </c>
      <c r="AK271" s="185">
        <v>87.85</v>
      </c>
      <c r="AL271" s="185">
        <v>70.95</v>
      </c>
      <c r="AM271" s="186">
        <v>198</v>
      </c>
      <c r="AN271" s="186" t="str">
        <f t="shared" si="149"/>
        <v>Southland RegionUrban Connectors</v>
      </c>
      <c r="AO271" s="186"/>
      <c r="AP271" s="136"/>
      <c r="AQ271" s="136"/>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86"/>
    </row>
    <row r="272" spans="1:70" ht="25.5">
      <c r="A272" s="202"/>
      <c r="B272" s="195" t="str">
        <f t="shared" si="155"/>
        <v>Interregional Connectors NZTA Roads Manawatu/Whanganui Region</v>
      </c>
      <c r="C272" s="196">
        <f t="shared" si="153"/>
        <v>3.22</v>
      </c>
      <c r="D272" s="196">
        <f t="shared" si="154"/>
        <v>1.74</v>
      </c>
      <c r="E272" s="197">
        <f t="shared" si="152"/>
        <v>1480.4730707053516</v>
      </c>
      <c r="F272" s="202"/>
      <c r="AA272" s="185" t="s">
        <v>400</v>
      </c>
      <c r="AB272" s="185" t="s">
        <v>430</v>
      </c>
      <c r="AC272" s="185" t="s">
        <v>401</v>
      </c>
      <c r="AD272" s="185" t="s">
        <v>331</v>
      </c>
      <c r="AE272" s="185"/>
      <c r="AF272" s="185" t="s">
        <v>402</v>
      </c>
      <c r="AG272" s="185">
        <v>1.56</v>
      </c>
      <c r="AH272" s="185">
        <v>3.8999999999999998E-3</v>
      </c>
      <c r="AI272" s="185">
        <v>1.56</v>
      </c>
      <c r="AJ272" s="185">
        <v>0</v>
      </c>
      <c r="AK272" s="185">
        <v>3.12</v>
      </c>
      <c r="AL272" s="185">
        <v>5.79</v>
      </c>
      <c r="AM272" s="186">
        <v>209</v>
      </c>
      <c r="AN272" s="186" t="str">
        <f t="shared" ref="AN272:AN313" si="156">AB272&amp;AF272</f>
        <v>Taranaki RegionUnclassified</v>
      </c>
      <c r="AO272" s="18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86"/>
    </row>
    <row r="273" spans="1:70">
      <c r="A273" s="202"/>
      <c r="B273" s="195" t="str">
        <f t="shared" si="155"/>
        <v>Urban Connectors NZTA Roads Manawatu/Whanganui Region</v>
      </c>
      <c r="C273" s="196">
        <f t="shared" si="153"/>
        <v>23.07</v>
      </c>
      <c r="D273" s="196">
        <f t="shared" si="154"/>
        <v>37.5</v>
      </c>
      <c r="E273" s="197">
        <f t="shared" si="152"/>
        <v>4453.3908117640767</v>
      </c>
      <c r="F273" s="202"/>
      <c r="AA273" s="185" t="s">
        <v>400</v>
      </c>
      <c r="AB273" s="185" t="s">
        <v>430</v>
      </c>
      <c r="AC273" s="185" t="s">
        <v>401</v>
      </c>
      <c r="AD273" s="185" t="s">
        <v>331</v>
      </c>
      <c r="AE273" s="185" t="s">
        <v>403</v>
      </c>
      <c r="AF273" s="185" t="s">
        <v>404</v>
      </c>
      <c r="AG273" s="185">
        <v>180.06</v>
      </c>
      <c r="AH273" s="185">
        <v>0.45069999999999999</v>
      </c>
      <c r="AI273" s="185">
        <v>180.06</v>
      </c>
      <c r="AJ273" s="185">
        <v>0</v>
      </c>
      <c r="AK273" s="185">
        <v>389.72</v>
      </c>
      <c r="AL273" s="185">
        <v>408.77</v>
      </c>
      <c r="AM273" s="186">
        <v>210</v>
      </c>
      <c r="AN273" s="186" t="str">
        <f t="shared" si="156"/>
        <v>Taranaki RegionInterregional Connectors</v>
      </c>
      <c r="AO273" s="186"/>
      <c r="AP273" s="136"/>
      <c r="AQ273" s="136"/>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86"/>
    </row>
    <row r="274" spans="1:70">
      <c r="A274" s="202"/>
      <c r="B274" s="195" t="str">
        <f t="shared" si="155"/>
        <v>NA NZTA Roads Manawatu/Whanganui Region</v>
      </c>
      <c r="C274" s="196">
        <f t="shared" si="153"/>
        <v>0</v>
      </c>
      <c r="D274" s="196">
        <f t="shared" si="154"/>
        <v>0</v>
      </c>
      <c r="E274" s="197">
        <f t="shared" si="152"/>
        <v>0</v>
      </c>
      <c r="F274" s="202"/>
      <c r="AA274" s="185" t="s">
        <v>400</v>
      </c>
      <c r="AB274" s="185" t="s">
        <v>430</v>
      </c>
      <c r="AC274" s="185" t="s">
        <v>401</v>
      </c>
      <c r="AD274" s="185" t="s">
        <v>331</v>
      </c>
      <c r="AE274" s="185" t="s">
        <v>403</v>
      </c>
      <c r="AF274" s="185" t="s">
        <v>405</v>
      </c>
      <c r="AG274" s="185">
        <v>8.56</v>
      </c>
      <c r="AH274" s="185">
        <v>2.1399999999999999E-2</v>
      </c>
      <c r="AI274" s="185">
        <v>8.56</v>
      </c>
      <c r="AJ274" s="185">
        <v>0</v>
      </c>
      <c r="AK274" s="185">
        <v>17.27</v>
      </c>
      <c r="AL274" s="185">
        <v>21.66</v>
      </c>
      <c r="AM274" s="186">
        <v>211</v>
      </c>
      <c r="AN274" s="186" t="str">
        <f t="shared" si="156"/>
        <v>Taranaki RegionPeri-urban Roads</v>
      </c>
      <c r="AO274" s="186"/>
      <c r="AP274" s="136"/>
      <c r="AQ274" s="136"/>
      <c r="AR274" s="136"/>
      <c r="AS274" s="136"/>
      <c r="AT274" s="136"/>
      <c r="AU274" s="136"/>
      <c r="AV274" s="136"/>
      <c r="AW274" s="136"/>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86"/>
    </row>
    <row r="275" spans="1:70">
      <c r="A275" s="202"/>
      <c r="B275" s="195" t="str">
        <f t="shared" si="155"/>
        <v>NA NZTA Roads Manawatu/Whanganui Region</v>
      </c>
      <c r="C275" s="196">
        <f t="shared" si="153"/>
        <v>0</v>
      </c>
      <c r="D275" s="196">
        <f t="shared" si="154"/>
        <v>0</v>
      </c>
      <c r="E275" s="197">
        <f t="shared" si="152"/>
        <v>0</v>
      </c>
      <c r="F275" s="202"/>
      <c r="AA275" s="185" t="s">
        <v>400</v>
      </c>
      <c r="AB275" s="185" t="s">
        <v>430</v>
      </c>
      <c r="AC275" s="185" t="s">
        <v>401</v>
      </c>
      <c r="AD275" s="185" t="s">
        <v>331</v>
      </c>
      <c r="AE275" s="185" t="s">
        <v>403</v>
      </c>
      <c r="AF275" s="185" t="s">
        <v>406</v>
      </c>
      <c r="AG275" s="185">
        <v>159.61000000000001</v>
      </c>
      <c r="AH275" s="185">
        <v>0.39950000000000002</v>
      </c>
      <c r="AI275" s="185">
        <v>159.61000000000001</v>
      </c>
      <c r="AJ275" s="185">
        <v>0</v>
      </c>
      <c r="AK275" s="185">
        <v>322.74</v>
      </c>
      <c r="AL275" s="185">
        <v>127.17</v>
      </c>
      <c r="AM275" s="186">
        <v>212</v>
      </c>
      <c r="AN275" s="186" t="str">
        <f t="shared" si="156"/>
        <v>Taranaki RegionRural Connectors</v>
      </c>
      <c r="AO275" s="18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86"/>
    </row>
    <row r="276" spans="1:70">
      <c r="A276" s="202"/>
      <c r="B276" s="195" t="str">
        <f t="shared" si="155"/>
        <v>Urban Connectors NZTA Roads Manawatu/Whanganui Region</v>
      </c>
      <c r="C276" s="196">
        <f t="shared" si="153"/>
        <v>7.84</v>
      </c>
      <c r="D276" s="196">
        <f t="shared" si="154"/>
        <v>9.39</v>
      </c>
      <c r="E276" s="197">
        <f t="shared" si="152"/>
        <v>3281.3810455689131</v>
      </c>
      <c r="F276" s="202"/>
      <c r="AA276" s="185" t="s">
        <v>400</v>
      </c>
      <c r="AB276" s="185" t="s">
        <v>430</v>
      </c>
      <c r="AC276" s="185" t="s">
        <v>401</v>
      </c>
      <c r="AD276" s="185" t="s">
        <v>331</v>
      </c>
      <c r="AE276" s="185" t="s">
        <v>407</v>
      </c>
      <c r="AF276" s="185" t="s">
        <v>408</v>
      </c>
      <c r="AG276" s="185">
        <v>12.42</v>
      </c>
      <c r="AH276" s="185">
        <v>3.1099999999999999E-2</v>
      </c>
      <c r="AI276" s="185">
        <v>12.42</v>
      </c>
      <c r="AJ276" s="185">
        <v>0</v>
      </c>
      <c r="AK276" s="185">
        <v>25.87</v>
      </c>
      <c r="AL276" s="185">
        <v>53.9</v>
      </c>
      <c r="AM276" s="186">
        <v>213</v>
      </c>
      <c r="AN276" s="186" t="str">
        <f t="shared" si="156"/>
        <v>Taranaki RegionActivity Streets</v>
      </c>
      <c r="AO276" s="186"/>
      <c r="AP276" s="136"/>
      <c r="AQ276" s="136"/>
      <c r="AR276" s="136"/>
      <c r="AS276" s="136"/>
      <c r="AT276" s="136"/>
      <c r="AU276" s="136"/>
      <c r="AV276" s="136"/>
      <c r="AW276" s="136"/>
      <c r="AX276" s="136"/>
      <c r="AY276" s="136"/>
      <c r="AZ276" s="136"/>
      <c r="BA276" s="136"/>
      <c r="BB276" s="136"/>
      <c r="BC276" s="136"/>
      <c r="BD276" s="136"/>
      <c r="BE276" s="136"/>
      <c r="BF276" s="136"/>
      <c r="BG276" s="136"/>
      <c r="BH276" s="136"/>
      <c r="BI276" s="136"/>
      <c r="BJ276" s="136"/>
      <c r="BK276" s="136"/>
      <c r="BL276" s="136"/>
      <c r="BM276" s="136"/>
      <c r="BN276" s="136"/>
      <c r="BO276" s="136"/>
      <c r="BP276" s="136"/>
      <c r="BQ276" s="136"/>
      <c r="BR276" s="186"/>
    </row>
    <row r="277" spans="1:70">
      <c r="A277" s="202"/>
      <c r="B277" s="195" t="str">
        <f t="shared" si="155"/>
        <v>Urban Connectors NZTA Roads Manawatu/Whanganui Region</v>
      </c>
      <c r="C277" s="196">
        <f t="shared" si="153"/>
        <v>91.93</v>
      </c>
      <c r="D277" s="196">
        <f t="shared" si="154"/>
        <v>128.91999999999999</v>
      </c>
      <c r="E277" s="197">
        <f t="shared" si="152"/>
        <v>3842.1133411514706</v>
      </c>
      <c r="F277" s="202"/>
      <c r="AA277" s="185" t="s">
        <v>400</v>
      </c>
      <c r="AB277" s="185" t="s">
        <v>430</v>
      </c>
      <c r="AC277" s="185" t="s">
        <v>401</v>
      </c>
      <c r="AD277" s="185" t="s">
        <v>331</v>
      </c>
      <c r="AE277" s="185" t="s">
        <v>407</v>
      </c>
      <c r="AF277" s="185" t="s">
        <v>409</v>
      </c>
      <c r="AG277" s="185">
        <v>1</v>
      </c>
      <c r="AH277" s="185">
        <v>2.5000000000000001E-3</v>
      </c>
      <c r="AI277" s="185">
        <v>1</v>
      </c>
      <c r="AJ277" s="185">
        <v>0</v>
      </c>
      <c r="AK277" s="185">
        <v>2</v>
      </c>
      <c r="AL277" s="185">
        <v>3.92</v>
      </c>
      <c r="AM277" s="186">
        <v>214</v>
      </c>
      <c r="AN277" s="186" t="str">
        <f t="shared" si="156"/>
        <v>Taranaki RegionMain Streets</v>
      </c>
      <c r="AO277" s="186"/>
      <c r="AP277" s="136"/>
      <c r="AQ277" s="136"/>
      <c r="AR277" s="136"/>
      <c r="AS277" s="136"/>
      <c r="AT277" s="136"/>
      <c r="AU277" s="136"/>
      <c r="AV277" s="136"/>
      <c r="AW277" s="136"/>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86"/>
    </row>
    <row r="278" spans="1:70">
      <c r="A278" s="202"/>
      <c r="B278" s="195" t="str">
        <f t="shared" si="155"/>
        <v>NA NZTA Roads Nelson Marlborough Region</v>
      </c>
      <c r="C278" s="196">
        <f t="shared" si="153"/>
        <v>1</v>
      </c>
      <c r="D278" s="196">
        <f t="shared" si="154"/>
        <v>2.2400000000000002</v>
      </c>
      <c r="E278" s="197">
        <f t="shared" si="152"/>
        <v>6136.9863013698632</v>
      </c>
      <c r="F278" s="202"/>
      <c r="AA278" s="185" t="s">
        <v>400</v>
      </c>
      <c r="AB278" s="185" t="s">
        <v>430</v>
      </c>
      <c r="AC278" s="185" t="s">
        <v>401</v>
      </c>
      <c r="AD278" s="185" t="s">
        <v>331</v>
      </c>
      <c r="AE278" s="185" t="s">
        <v>407</v>
      </c>
      <c r="AF278" s="185" t="s">
        <v>410</v>
      </c>
      <c r="AG278" s="185">
        <v>4.37</v>
      </c>
      <c r="AH278" s="185">
        <v>1.09E-2</v>
      </c>
      <c r="AI278" s="185">
        <v>4.37</v>
      </c>
      <c r="AJ278" s="185">
        <v>0</v>
      </c>
      <c r="AK278" s="185">
        <v>8.75</v>
      </c>
      <c r="AL278" s="185">
        <v>24.66</v>
      </c>
      <c r="AM278" s="186">
        <v>215</v>
      </c>
      <c r="AN278" s="186" t="str">
        <f t="shared" si="156"/>
        <v>Taranaki RegionTransit Corridors</v>
      </c>
      <c r="AO278" s="18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86"/>
    </row>
    <row r="279" spans="1:70">
      <c r="A279" s="202"/>
      <c r="B279" s="195" t="str">
        <f t="shared" si="155"/>
        <v>Interregional Connectors NZTA Roads Nelson Marlborough Region</v>
      </c>
      <c r="C279" s="196">
        <f t="shared" si="153"/>
        <v>458.31</v>
      </c>
      <c r="D279" s="196">
        <f t="shared" si="154"/>
        <v>421.34</v>
      </c>
      <c r="E279" s="197">
        <f t="shared" si="152"/>
        <v>2518.7234936692666</v>
      </c>
      <c r="F279" s="202"/>
      <c r="AA279" s="185" t="s">
        <v>400</v>
      </c>
      <c r="AB279" s="185" t="s">
        <v>430</v>
      </c>
      <c r="AC279" s="185" t="s">
        <v>401</v>
      </c>
      <c r="AD279" s="185" t="s">
        <v>331</v>
      </c>
      <c r="AE279" s="185" t="s">
        <v>407</v>
      </c>
      <c r="AF279" s="185" t="s">
        <v>411</v>
      </c>
      <c r="AG279" s="185">
        <v>31.89</v>
      </c>
      <c r="AH279" s="185">
        <v>7.9799999999999996E-2</v>
      </c>
      <c r="AI279" s="185">
        <v>31.89</v>
      </c>
      <c r="AJ279" s="185">
        <v>0</v>
      </c>
      <c r="AK279" s="185">
        <v>65.83</v>
      </c>
      <c r="AL279" s="185">
        <v>127.44</v>
      </c>
      <c r="AM279" s="186">
        <v>216</v>
      </c>
      <c r="AN279" s="186" t="str">
        <f t="shared" si="156"/>
        <v>Taranaki RegionUrban Connectors</v>
      </c>
      <c r="AO279" s="186"/>
      <c r="AP279" s="136"/>
      <c r="AQ279" s="136"/>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86"/>
    </row>
    <row r="280" spans="1:70">
      <c r="A280" s="202"/>
      <c r="B280" s="195" t="str">
        <f t="shared" si="155"/>
        <v>Interregional Connectors NZTA Roads Nelson Marlborough Region</v>
      </c>
      <c r="C280" s="196">
        <f t="shared" si="153"/>
        <v>15.25</v>
      </c>
      <c r="D280" s="196">
        <f t="shared" si="154"/>
        <v>27.46</v>
      </c>
      <c r="E280" s="197">
        <f t="shared" si="152"/>
        <v>4933.303390972379</v>
      </c>
      <c r="F280" s="202"/>
      <c r="AA280" s="185" t="s">
        <v>400</v>
      </c>
      <c r="AB280" s="185" t="s">
        <v>432</v>
      </c>
      <c r="AC280" s="185" t="s">
        <v>401</v>
      </c>
      <c r="AD280" s="185" t="s">
        <v>331</v>
      </c>
      <c r="AE280" s="185"/>
      <c r="AF280" s="185" t="s">
        <v>402</v>
      </c>
      <c r="AG280" s="185">
        <v>74.099999999999994</v>
      </c>
      <c r="AH280" s="185">
        <v>3.9899999999999998E-2</v>
      </c>
      <c r="AI280" s="185">
        <v>74.099999999999994</v>
      </c>
      <c r="AJ280" s="185">
        <v>0</v>
      </c>
      <c r="AK280" s="185">
        <v>145.09</v>
      </c>
      <c r="AL280" s="185">
        <v>316.99</v>
      </c>
      <c r="AM280" s="186">
        <v>240</v>
      </c>
      <c r="AN280" s="186" t="str">
        <f t="shared" si="156"/>
        <v>Waikato RegionUnclassified</v>
      </c>
      <c r="AO280" s="186"/>
      <c r="AP280" s="136"/>
      <c r="AQ280" s="136"/>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86"/>
    </row>
    <row r="281" spans="1:70">
      <c r="A281" s="202"/>
      <c r="B281" s="195" t="str">
        <f t="shared" si="155"/>
        <v>Rural Connectors NZTA Roads Nelson Marlborough Region</v>
      </c>
      <c r="C281" s="196">
        <f t="shared" si="153"/>
        <v>733.86</v>
      </c>
      <c r="D281" s="196">
        <f t="shared" si="154"/>
        <v>225.34</v>
      </c>
      <c r="E281" s="197">
        <f t="shared" si="152"/>
        <v>841.26381464270935</v>
      </c>
      <c r="F281" s="202"/>
      <c r="AA281" s="185" t="s">
        <v>400</v>
      </c>
      <c r="AB281" s="185" t="s">
        <v>432</v>
      </c>
      <c r="AC281" s="185" t="s">
        <v>401</v>
      </c>
      <c r="AD281" s="185" t="s">
        <v>331</v>
      </c>
      <c r="AE281" s="185" t="s">
        <v>403</v>
      </c>
      <c r="AF281" s="185" t="s">
        <v>404</v>
      </c>
      <c r="AG281" s="185">
        <v>683.45</v>
      </c>
      <c r="AH281" s="185">
        <v>0.36840000000000001</v>
      </c>
      <c r="AI281" s="185">
        <v>683.45</v>
      </c>
      <c r="AJ281" s="185">
        <v>0</v>
      </c>
      <c r="AK281" s="185">
        <v>1423.98</v>
      </c>
      <c r="AL281" s="185">
        <v>1913.27</v>
      </c>
      <c r="AM281" s="186">
        <v>241</v>
      </c>
      <c r="AN281" s="186" t="str">
        <f t="shared" si="156"/>
        <v>Waikato RegionInterregional Connectors</v>
      </c>
      <c r="AO281" s="186"/>
      <c r="AP281" s="136"/>
      <c r="AQ281" s="136"/>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86"/>
    </row>
    <row r="282" spans="1:70">
      <c r="A282" s="202"/>
      <c r="B282" s="195" t="str">
        <f t="shared" si="155"/>
        <v>NA NZTA Roads Nelson Marlborough Region</v>
      </c>
      <c r="C282" s="196">
        <f t="shared" si="153"/>
        <v>0</v>
      </c>
      <c r="D282" s="196">
        <f t="shared" si="154"/>
        <v>0</v>
      </c>
      <c r="E282" s="197">
        <f t="shared" si="152"/>
        <v>0</v>
      </c>
      <c r="F282" s="202"/>
      <c r="AA282" s="185" t="s">
        <v>400</v>
      </c>
      <c r="AB282" s="185" t="s">
        <v>432</v>
      </c>
      <c r="AC282" s="185" t="s">
        <v>401</v>
      </c>
      <c r="AD282" s="185" t="s">
        <v>331</v>
      </c>
      <c r="AE282" s="185" t="s">
        <v>403</v>
      </c>
      <c r="AF282" s="185" t="s">
        <v>405</v>
      </c>
      <c r="AG282" s="185">
        <v>33.619999999999997</v>
      </c>
      <c r="AH282" s="185">
        <v>1.8100000000000002E-2</v>
      </c>
      <c r="AI282" s="185">
        <v>33.619999999999997</v>
      </c>
      <c r="AJ282" s="185">
        <v>0</v>
      </c>
      <c r="AK282" s="185">
        <v>68.650000000000006</v>
      </c>
      <c r="AL282" s="185">
        <v>72.37</v>
      </c>
      <c r="AM282" s="186">
        <v>242</v>
      </c>
      <c r="AN282" s="186" t="str">
        <f t="shared" si="156"/>
        <v>Waikato RegionPeri-urban Roads</v>
      </c>
      <c r="AO282" s="186"/>
      <c r="AP282" s="136"/>
      <c r="AQ282" s="136"/>
      <c r="AR282" s="136"/>
      <c r="AS282" s="136"/>
      <c r="AT282" s="136"/>
      <c r="AU282" s="136"/>
      <c r="AV282" s="136"/>
      <c r="AW282" s="136"/>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86"/>
    </row>
    <row r="283" spans="1:70">
      <c r="A283" s="202"/>
      <c r="B283" s="195" t="str">
        <f t="shared" si="155"/>
        <v>Interregional Connectors NZTA Roads Nelson Marlborough Region</v>
      </c>
      <c r="C283" s="196">
        <f t="shared" si="153"/>
        <v>0</v>
      </c>
      <c r="D283" s="196">
        <f t="shared" si="154"/>
        <v>0</v>
      </c>
      <c r="E283" s="197">
        <f t="shared" si="152"/>
        <v>0</v>
      </c>
      <c r="F283" s="202"/>
      <c r="AA283" s="185" t="s">
        <v>400</v>
      </c>
      <c r="AB283" s="185" t="s">
        <v>432</v>
      </c>
      <c r="AC283" s="185" t="s">
        <v>401</v>
      </c>
      <c r="AD283" s="185" t="s">
        <v>331</v>
      </c>
      <c r="AE283" s="185" t="s">
        <v>403</v>
      </c>
      <c r="AF283" s="185" t="s">
        <v>406</v>
      </c>
      <c r="AG283" s="185">
        <v>947.47</v>
      </c>
      <c r="AH283" s="185">
        <v>0.51070000000000004</v>
      </c>
      <c r="AI283" s="185">
        <v>947.47</v>
      </c>
      <c r="AJ283" s="185">
        <v>0</v>
      </c>
      <c r="AK283" s="185">
        <v>1892.98</v>
      </c>
      <c r="AL283" s="185">
        <v>1221.81</v>
      </c>
      <c r="AM283" s="186">
        <v>243</v>
      </c>
      <c r="AN283" s="186" t="str">
        <f t="shared" si="156"/>
        <v>Waikato RegionRural Connectors</v>
      </c>
      <c r="AO283" s="18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86"/>
    </row>
    <row r="284" spans="1:70">
      <c r="A284" s="202"/>
      <c r="B284" s="195" t="str">
        <f t="shared" si="155"/>
        <v>Urban Connectors NZTA Roads Nelson Marlborough Region</v>
      </c>
      <c r="C284" s="196">
        <f t="shared" si="153"/>
        <v>16.600000000000001</v>
      </c>
      <c r="D284" s="196">
        <f t="shared" si="154"/>
        <v>38.53</v>
      </c>
      <c r="E284" s="197">
        <f t="shared" si="152"/>
        <v>6359.1351708202674</v>
      </c>
      <c r="F284" s="202"/>
      <c r="AA284" s="185" t="s">
        <v>400</v>
      </c>
      <c r="AB284" s="185" t="s">
        <v>432</v>
      </c>
      <c r="AC284" s="185" t="s">
        <v>401</v>
      </c>
      <c r="AD284" s="185" t="s">
        <v>331</v>
      </c>
      <c r="AE284" s="185" t="s">
        <v>403</v>
      </c>
      <c r="AF284" s="185" t="s">
        <v>415</v>
      </c>
      <c r="AG284" s="185">
        <v>2.65</v>
      </c>
      <c r="AH284" s="185">
        <v>1.4E-3</v>
      </c>
      <c r="AI284" s="185">
        <v>2.65</v>
      </c>
      <c r="AJ284" s="185">
        <v>0</v>
      </c>
      <c r="AK284" s="185">
        <v>5.47</v>
      </c>
      <c r="AL284" s="185">
        <v>7.23</v>
      </c>
      <c r="AM284" s="186">
        <v>244</v>
      </c>
      <c r="AN284" s="186" t="str">
        <f t="shared" si="156"/>
        <v>Waikato RegionStopping Places</v>
      </c>
      <c r="AO284" s="186"/>
      <c r="AP284" s="136"/>
      <c r="AQ284" s="136"/>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86"/>
    </row>
    <row r="285" spans="1:70">
      <c r="A285" s="202"/>
      <c r="B285" s="195" t="str">
        <f t="shared" si="155"/>
        <v>NA NZTA Roads Nelson Marlborough Region</v>
      </c>
      <c r="C285" s="196">
        <f t="shared" si="153"/>
        <v>0</v>
      </c>
      <c r="D285" s="196">
        <f t="shared" si="154"/>
        <v>0</v>
      </c>
      <c r="E285" s="197">
        <f t="shared" si="152"/>
        <v>0</v>
      </c>
      <c r="F285" s="202"/>
      <c r="AA285" s="185" t="s">
        <v>400</v>
      </c>
      <c r="AB285" s="185" t="s">
        <v>432</v>
      </c>
      <c r="AC285" s="185" t="s">
        <v>401</v>
      </c>
      <c r="AD285" s="185" t="s">
        <v>331</v>
      </c>
      <c r="AE285" s="185" t="s">
        <v>407</v>
      </c>
      <c r="AF285" s="185" t="s">
        <v>408</v>
      </c>
      <c r="AG285" s="185">
        <v>13.39</v>
      </c>
      <c r="AH285" s="185">
        <v>7.1999999999999998E-3</v>
      </c>
      <c r="AI285" s="185">
        <v>13.39</v>
      </c>
      <c r="AJ285" s="185">
        <v>0</v>
      </c>
      <c r="AK285" s="185">
        <v>25.69</v>
      </c>
      <c r="AL285" s="185">
        <v>46.07</v>
      </c>
      <c r="AM285" s="186">
        <v>245</v>
      </c>
      <c r="AN285" s="186" t="str">
        <f t="shared" si="156"/>
        <v>Waikato RegionActivity Streets</v>
      </c>
      <c r="AO285" s="186"/>
      <c r="AP285" s="136"/>
      <c r="AQ285" s="136"/>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86"/>
    </row>
    <row r="286" spans="1:70">
      <c r="A286" s="202"/>
      <c r="B286" s="195" t="str">
        <f t="shared" si="155"/>
        <v>NA NZTA Roads Nelson Marlborough Region</v>
      </c>
      <c r="C286" s="196">
        <f t="shared" si="153"/>
        <v>0</v>
      </c>
      <c r="D286" s="196">
        <f t="shared" si="154"/>
        <v>0</v>
      </c>
      <c r="E286" s="197">
        <f t="shared" si="152"/>
        <v>0</v>
      </c>
      <c r="F286" s="202"/>
      <c r="AA286" s="185" t="s">
        <v>400</v>
      </c>
      <c r="AB286" s="185" t="s">
        <v>432</v>
      </c>
      <c r="AC286" s="185" t="s">
        <v>401</v>
      </c>
      <c r="AD286" s="185" t="s">
        <v>331</v>
      </c>
      <c r="AE286" s="185" t="s">
        <v>407</v>
      </c>
      <c r="AF286" s="185" t="s">
        <v>409</v>
      </c>
      <c r="AG286" s="185">
        <v>1.77</v>
      </c>
      <c r="AH286" s="185">
        <v>1E-3</v>
      </c>
      <c r="AI286" s="185">
        <v>1.77</v>
      </c>
      <c r="AJ286" s="185">
        <v>0</v>
      </c>
      <c r="AK286" s="185">
        <v>3.07</v>
      </c>
      <c r="AL286" s="185">
        <v>5.44</v>
      </c>
      <c r="AM286" s="186">
        <v>246</v>
      </c>
      <c r="AN286" s="186" t="str">
        <f t="shared" si="156"/>
        <v>Waikato RegionMain Streets</v>
      </c>
      <c r="AO286" s="18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86"/>
    </row>
    <row r="287" spans="1:70">
      <c r="A287" s="202"/>
      <c r="B287" s="195" t="str">
        <f t="shared" si="155"/>
        <v>Urban Connectors NZTA Roads Nelson Marlborough Region</v>
      </c>
      <c r="C287" s="196">
        <f t="shared" si="153"/>
        <v>1.06</v>
      </c>
      <c r="D287" s="196">
        <f t="shared" si="154"/>
        <v>2.09</v>
      </c>
      <c r="E287" s="197">
        <f t="shared" si="152"/>
        <v>5401.9126389247858</v>
      </c>
      <c r="F287" s="202"/>
      <c r="AA287" s="185" t="s">
        <v>400</v>
      </c>
      <c r="AB287" s="185" t="s">
        <v>432</v>
      </c>
      <c r="AC287" s="185" t="s">
        <v>401</v>
      </c>
      <c r="AD287" s="185" t="s">
        <v>331</v>
      </c>
      <c r="AE287" s="185" t="s">
        <v>407</v>
      </c>
      <c r="AF287" s="185" t="s">
        <v>410</v>
      </c>
      <c r="AG287" s="185">
        <v>2.92</v>
      </c>
      <c r="AH287" s="185">
        <v>1.6000000000000001E-3</v>
      </c>
      <c r="AI287" s="185">
        <v>2.92</v>
      </c>
      <c r="AJ287" s="185">
        <v>0</v>
      </c>
      <c r="AK287" s="185">
        <v>6.05</v>
      </c>
      <c r="AL287" s="185">
        <v>22.61</v>
      </c>
      <c r="AM287" s="186">
        <v>247</v>
      </c>
      <c r="AN287" s="186" t="str">
        <f t="shared" si="156"/>
        <v>Waikato RegionTransit Corridors</v>
      </c>
      <c r="AO287" s="18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86"/>
    </row>
    <row r="288" spans="1:70">
      <c r="A288" s="202"/>
      <c r="B288" s="195" t="str">
        <f t="shared" si="155"/>
        <v>Transit Corridors NZTA Roads Nelson Marlborough Region</v>
      </c>
      <c r="C288" s="196">
        <f t="shared" si="153"/>
        <v>20.37</v>
      </c>
      <c r="D288" s="196">
        <f t="shared" si="154"/>
        <v>61.76</v>
      </c>
      <c r="E288" s="197">
        <f t="shared" si="152"/>
        <v>8306.6018385888456</v>
      </c>
      <c r="F288" s="202"/>
      <c r="AA288" s="185" t="s">
        <v>400</v>
      </c>
      <c r="AB288" s="185" t="s">
        <v>432</v>
      </c>
      <c r="AC288" s="185" t="s">
        <v>401</v>
      </c>
      <c r="AD288" s="185" t="s">
        <v>331</v>
      </c>
      <c r="AE288" s="185" t="s">
        <v>407</v>
      </c>
      <c r="AF288" s="185" t="s">
        <v>411</v>
      </c>
      <c r="AG288" s="185">
        <v>95.69</v>
      </c>
      <c r="AH288" s="185">
        <v>5.16E-2</v>
      </c>
      <c r="AI288" s="185">
        <v>95.69</v>
      </c>
      <c r="AJ288" s="185">
        <v>0</v>
      </c>
      <c r="AK288" s="185">
        <v>191.98</v>
      </c>
      <c r="AL288" s="185">
        <v>314.8</v>
      </c>
      <c r="AM288" s="186">
        <v>248</v>
      </c>
      <c r="AN288" s="186" t="str">
        <f t="shared" si="156"/>
        <v>Waikato RegionUrban Connectors</v>
      </c>
      <c r="AO288" s="186"/>
      <c r="AP288" s="136"/>
      <c r="AQ288" s="136"/>
      <c r="AR288" s="136"/>
      <c r="AS288" s="136"/>
      <c r="AT288" s="136"/>
      <c r="AU288" s="136"/>
      <c r="AV288" s="136"/>
      <c r="AW288" s="136"/>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86"/>
    </row>
    <row r="289" spans="1:70">
      <c r="A289" s="202"/>
      <c r="B289" s="195" t="str">
        <f t="shared" si="155"/>
        <v>Urban Connectors NZTA Roads Nelson Marlborough Region</v>
      </c>
      <c r="C289" s="196">
        <f t="shared" si="153"/>
        <v>73.81</v>
      </c>
      <c r="D289" s="196">
        <f t="shared" si="154"/>
        <v>127.1</v>
      </c>
      <c r="E289" s="197">
        <f t="shared" si="152"/>
        <v>4717.7777819020694</v>
      </c>
      <c r="F289" s="202"/>
      <c r="AA289" s="185" t="s">
        <v>400</v>
      </c>
      <c r="AB289" s="185" t="s">
        <v>424</v>
      </c>
      <c r="AC289" s="185" t="s">
        <v>401</v>
      </c>
      <c r="AD289" s="185" t="s">
        <v>331</v>
      </c>
      <c r="AE289" s="185"/>
      <c r="AF289" s="185" t="s">
        <v>402</v>
      </c>
      <c r="AG289" s="185">
        <v>16.73</v>
      </c>
      <c r="AH289" s="185">
        <v>1.7399999999999999E-2</v>
      </c>
      <c r="AI289" s="185">
        <v>16.73</v>
      </c>
      <c r="AJ289" s="185">
        <v>0</v>
      </c>
      <c r="AK289" s="185">
        <v>35.1</v>
      </c>
      <c r="AL289" s="185">
        <v>39.090000000000003</v>
      </c>
      <c r="AM289" s="186">
        <v>261</v>
      </c>
      <c r="AN289" s="186" t="str">
        <f t="shared" si="156"/>
        <v>Manawatu/Whanganui RegionUnclassified</v>
      </c>
      <c r="AO289" s="18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86"/>
    </row>
    <row r="290" spans="1:70">
      <c r="A290" s="202"/>
      <c r="B290" s="195" t="str">
        <f t="shared" si="155"/>
        <v>NA NZTA Roads Northland Region</v>
      </c>
      <c r="C290" s="196">
        <f t="shared" si="153"/>
        <v>27.22</v>
      </c>
      <c r="D290" s="196">
        <f t="shared" si="154"/>
        <v>25.31</v>
      </c>
      <c r="E290" s="197">
        <f t="shared" si="152"/>
        <v>2547.4822098980403</v>
      </c>
      <c r="F290" s="202"/>
      <c r="AA290" s="185" t="s">
        <v>400</v>
      </c>
      <c r="AB290" s="185" t="s">
        <v>424</v>
      </c>
      <c r="AC290" s="185" t="s">
        <v>401</v>
      </c>
      <c r="AD290" s="185" t="s">
        <v>331</v>
      </c>
      <c r="AE290" s="185" t="s">
        <v>403</v>
      </c>
      <c r="AF290" s="185" t="s">
        <v>404</v>
      </c>
      <c r="AG290" s="185">
        <v>432.47</v>
      </c>
      <c r="AH290" s="185">
        <v>0.44890000000000002</v>
      </c>
      <c r="AI290" s="185">
        <v>432.47</v>
      </c>
      <c r="AJ290" s="185">
        <v>0</v>
      </c>
      <c r="AK290" s="185">
        <v>938.01</v>
      </c>
      <c r="AL290" s="185">
        <v>1022.62</v>
      </c>
      <c r="AM290" s="186">
        <v>262</v>
      </c>
      <c r="AN290" s="186" t="str">
        <f t="shared" si="156"/>
        <v>Manawatu/Whanganui RegionInterregional Connectors</v>
      </c>
      <c r="AO290" s="186"/>
      <c r="AP290" s="136"/>
      <c r="AQ290" s="136"/>
      <c r="AR290" s="136"/>
      <c r="AS290" s="136"/>
      <c r="AT290" s="136"/>
      <c r="AU290" s="136"/>
      <c r="AV290" s="136"/>
      <c r="AW290" s="136"/>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86"/>
    </row>
    <row r="291" spans="1:70">
      <c r="A291" s="202"/>
      <c r="B291" s="195" t="str">
        <f t="shared" si="155"/>
        <v>Interregional Connectors NZTA Roads Northland Region</v>
      </c>
      <c r="C291" s="196">
        <f t="shared" si="153"/>
        <v>271.3</v>
      </c>
      <c r="D291" s="196">
        <f t="shared" si="154"/>
        <v>471.56</v>
      </c>
      <c r="E291" s="197">
        <f t="shared" si="152"/>
        <v>4762.0538351620053</v>
      </c>
      <c r="F291" s="202"/>
      <c r="AA291" s="185" t="s">
        <v>400</v>
      </c>
      <c r="AB291" s="185" t="s">
        <v>424</v>
      </c>
      <c r="AC291" s="185" t="s">
        <v>401</v>
      </c>
      <c r="AD291" s="185" t="s">
        <v>331</v>
      </c>
      <c r="AE291" s="185" t="s">
        <v>403</v>
      </c>
      <c r="AF291" s="185" t="s">
        <v>405</v>
      </c>
      <c r="AG291" s="185">
        <v>13.99</v>
      </c>
      <c r="AH291" s="185">
        <v>1.4500000000000001E-2</v>
      </c>
      <c r="AI291" s="185">
        <v>13.99</v>
      </c>
      <c r="AJ291" s="185">
        <v>0</v>
      </c>
      <c r="AK291" s="185">
        <v>27.98</v>
      </c>
      <c r="AL291" s="185">
        <v>31.21</v>
      </c>
      <c r="AM291" s="186">
        <v>263</v>
      </c>
      <c r="AN291" s="186" t="str">
        <f t="shared" si="156"/>
        <v>Manawatu/Whanganui RegionPeri-urban Roads</v>
      </c>
      <c r="AO291" s="186"/>
      <c r="AP291" s="136"/>
      <c r="AQ291" s="136"/>
      <c r="AR291" s="136"/>
      <c r="AS291" s="136"/>
      <c r="AT291" s="136"/>
      <c r="AU291" s="136"/>
      <c r="AV291" s="136"/>
      <c r="AW291" s="136"/>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86"/>
    </row>
    <row r="292" spans="1:70">
      <c r="A292" s="202"/>
      <c r="B292" s="195" t="str">
        <f t="shared" si="155"/>
        <v>Interregional Connectors NZTA Roads Northland Region</v>
      </c>
      <c r="C292" s="196">
        <f t="shared" si="153"/>
        <v>36.15</v>
      </c>
      <c r="D292" s="196">
        <f t="shared" si="154"/>
        <v>22.72</v>
      </c>
      <c r="E292" s="197">
        <f t="shared" si="152"/>
        <v>1721.8969665965631</v>
      </c>
      <c r="F292" s="202"/>
      <c r="AA292" s="185" t="s">
        <v>400</v>
      </c>
      <c r="AB292" s="185" t="s">
        <v>424</v>
      </c>
      <c r="AC292" s="185" t="s">
        <v>401</v>
      </c>
      <c r="AD292" s="185" t="s">
        <v>331</v>
      </c>
      <c r="AE292" s="185" t="s">
        <v>403</v>
      </c>
      <c r="AF292" s="185" t="s">
        <v>406</v>
      </c>
      <c r="AG292" s="185">
        <v>440.95</v>
      </c>
      <c r="AH292" s="185">
        <v>0.4577</v>
      </c>
      <c r="AI292" s="185">
        <v>429.13</v>
      </c>
      <c r="AJ292" s="185">
        <v>11.82</v>
      </c>
      <c r="AK292" s="185">
        <v>884.61</v>
      </c>
      <c r="AL292" s="185">
        <v>285.99</v>
      </c>
      <c r="AM292" s="186">
        <v>264</v>
      </c>
      <c r="AN292" s="186" t="str">
        <f t="shared" si="156"/>
        <v>Manawatu/Whanganui RegionRural Connectors</v>
      </c>
      <c r="AO292" s="186"/>
      <c r="AP292" s="136"/>
      <c r="AQ292" s="136"/>
      <c r="AR292" s="136"/>
      <c r="AS292" s="136"/>
      <c r="AT292" s="136"/>
      <c r="AU292" s="136"/>
      <c r="AV292" s="136"/>
      <c r="AW292" s="136"/>
      <c r="AX292" s="136"/>
      <c r="AY292" s="136"/>
      <c r="AZ292" s="136"/>
      <c r="BA292" s="136"/>
      <c r="BB292" s="136"/>
      <c r="BC292" s="136"/>
      <c r="BD292" s="136"/>
      <c r="BE292" s="136"/>
      <c r="BF292" s="136"/>
      <c r="BG292" s="136"/>
      <c r="BH292" s="136"/>
      <c r="BI292" s="136"/>
      <c r="BJ292" s="136"/>
      <c r="BK292" s="136"/>
      <c r="BL292" s="136"/>
      <c r="BM292" s="136"/>
      <c r="BN292" s="136"/>
      <c r="BO292" s="136"/>
      <c r="BP292" s="136"/>
      <c r="BQ292" s="136"/>
      <c r="BR292" s="186"/>
    </row>
    <row r="293" spans="1:70">
      <c r="A293" s="202"/>
      <c r="B293" s="195" t="str">
        <f t="shared" si="155"/>
        <v>Rural Connectors NZTA Roads Northland Region</v>
      </c>
      <c r="C293" s="196">
        <f t="shared" si="153"/>
        <v>1241.57</v>
      </c>
      <c r="D293" s="196">
        <f t="shared" si="154"/>
        <v>512.01</v>
      </c>
      <c r="E293" s="197">
        <f t="shared" si="152"/>
        <v>1129.8332943673504</v>
      </c>
      <c r="F293" s="202"/>
      <c r="AA293" s="185" t="s">
        <v>400</v>
      </c>
      <c r="AB293" s="185" t="s">
        <v>424</v>
      </c>
      <c r="AC293" s="185" t="s">
        <v>401</v>
      </c>
      <c r="AD293" s="185" t="s">
        <v>331</v>
      </c>
      <c r="AE293" s="185" t="s">
        <v>403</v>
      </c>
      <c r="AF293" s="185" t="s">
        <v>415</v>
      </c>
      <c r="AG293" s="185">
        <v>1.61</v>
      </c>
      <c r="AH293" s="185">
        <v>1.6999999999999999E-3</v>
      </c>
      <c r="AI293" s="185">
        <v>1.61</v>
      </c>
      <c r="AJ293" s="185">
        <v>0</v>
      </c>
      <c r="AK293" s="185">
        <v>3.22</v>
      </c>
      <c r="AL293" s="185">
        <v>1.74</v>
      </c>
      <c r="AM293" s="186">
        <v>265</v>
      </c>
      <c r="AN293" s="186" t="str">
        <f t="shared" si="156"/>
        <v>Manawatu/Whanganui RegionStopping Places</v>
      </c>
      <c r="AO293" s="186"/>
      <c r="AP293" s="136"/>
      <c r="AQ293" s="136"/>
      <c r="AR293" s="136"/>
      <c r="AS293" s="136"/>
      <c r="AT293" s="136"/>
      <c r="AU293" s="136"/>
      <c r="AV293" s="136"/>
      <c r="AW293" s="136"/>
      <c r="AX293" s="136"/>
      <c r="AY293" s="136"/>
      <c r="AZ293" s="136"/>
      <c r="BA293" s="136"/>
      <c r="BB293" s="136"/>
      <c r="BC293" s="136"/>
      <c r="BD293" s="136"/>
      <c r="BE293" s="136"/>
      <c r="BF293" s="136"/>
      <c r="BG293" s="136"/>
      <c r="BH293" s="136"/>
      <c r="BI293" s="136"/>
      <c r="BJ293" s="136"/>
      <c r="BK293" s="136"/>
      <c r="BL293" s="136"/>
      <c r="BM293" s="136"/>
      <c r="BN293" s="136"/>
      <c r="BO293" s="136"/>
      <c r="BP293" s="136"/>
      <c r="BQ293" s="136"/>
      <c r="BR293" s="186"/>
    </row>
    <row r="294" spans="1:70">
      <c r="A294" s="202"/>
      <c r="B294" s="195" t="str">
        <f t="shared" si="155"/>
        <v>NA NZTA Roads Northland Region</v>
      </c>
      <c r="C294" s="196">
        <f t="shared" ref="C294:C325" si="157">AZ112</f>
        <v>0</v>
      </c>
      <c r="D294" s="196">
        <f t="shared" ref="D294:D325" si="158">BA112</f>
        <v>0</v>
      </c>
      <c r="E294" s="197">
        <f t="shared" si="152"/>
        <v>0</v>
      </c>
      <c r="F294" s="202"/>
      <c r="AA294" s="185" t="s">
        <v>400</v>
      </c>
      <c r="AB294" s="185" t="s">
        <v>424</v>
      </c>
      <c r="AC294" s="185" t="s">
        <v>401</v>
      </c>
      <c r="AD294" s="185" t="s">
        <v>331</v>
      </c>
      <c r="AE294" s="185" t="s">
        <v>407</v>
      </c>
      <c r="AF294" s="185" t="s">
        <v>408</v>
      </c>
      <c r="AG294" s="185">
        <v>10.98</v>
      </c>
      <c r="AH294" s="185">
        <v>1.14E-2</v>
      </c>
      <c r="AI294" s="185">
        <v>10.98</v>
      </c>
      <c r="AJ294" s="185">
        <v>0</v>
      </c>
      <c r="AK294" s="185">
        <v>23.07</v>
      </c>
      <c r="AL294" s="185">
        <v>37.5</v>
      </c>
      <c r="AM294" s="186">
        <v>266</v>
      </c>
      <c r="AN294" s="186" t="str">
        <f t="shared" si="156"/>
        <v>Manawatu/Whanganui RegionActivity Streets</v>
      </c>
      <c r="AO294" s="186"/>
      <c r="AP294" s="136"/>
      <c r="AQ294" s="136"/>
      <c r="AR294" s="136"/>
      <c r="AS294" s="136"/>
      <c r="AT294" s="136"/>
      <c r="AU294" s="136"/>
      <c r="AV294" s="136"/>
      <c r="AW294" s="136"/>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86"/>
    </row>
    <row r="295" spans="1:70">
      <c r="A295" s="202"/>
      <c r="B295" s="195" t="str">
        <f t="shared" si="155"/>
        <v>Interregional Connectors NZTA Roads Northland Region</v>
      </c>
      <c r="C295" s="196">
        <f t="shared" si="157"/>
        <v>1.91</v>
      </c>
      <c r="D295" s="196">
        <f t="shared" si="158"/>
        <v>0.22</v>
      </c>
      <c r="E295" s="197">
        <f t="shared" si="152"/>
        <v>315.57053718711899</v>
      </c>
      <c r="F295" s="202"/>
      <c r="AA295" s="185" t="s">
        <v>400</v>
      </c>
      <c r="AB295" s="185" t="s">
        <v>424</v>
      </c>
      <c r="AC295" s="185" t="s">
        <v>401</v>
      </c>
      <c r="AD295" s="185" t="s">
        <v>331</v>
      </c>
      <c r="AE295" s="185" t="s">
        <v>407</v>
      </c>
      <c r="AF295" s="185" t="s">
        <v>409</v>
      </c>
      <c r="AG295" s="185">
        <v>2.87</v>
      </c>
      <c r="AH295" s="185">
        <v>3.0000000000000001E-3</v>
      </c>
      <c r="AI295" s="185">
        <v>2.87</v>
      </c>
      <c r="AJ295" s="185">
        <v>0</v>
      </c>
      <c r="AK295" s="185">
        <v>7.84</v>
      </c>
      <c r="AL295" s="185">
        <v>9.39</v>
      </c>
      <c r="AM295" s="186">
        <v>267</v>
      </c>
      <c r="AN295" s="186" t="str">
        <f t="shared" si="156"/>
        <v>Manawatu/Whanganui RegionMain Streets</v>
      </c>
      <c r="AO295" s="186"/>
      <c r="AP295" s="136"/>
      <c r="AQ295" s="136"/>
      <c r="AR295" s="136"/>
      <c r="AS295" s="136"/>
      <c r="AT295" s="136"/>
      <c r="AU295" s="136"/>
      <c r="AV295" s="136"/>
      <c r="AW295" s="136"/>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86"/>
    </row>
    <row r="296" spans="1:70">
      <c r="A296" s="202"/>
      <c r="B296" s="195" t="str">
        <f t="shared" si="155"/>
        <v>Urban Connectors NZTA Roads Northland Region</v>
      </c>
      <c r="C296" s="196">
        <f t="shared" si="157"/>
        <v>15.96</v>
      </c>
      <c r="D296" s="196">
        <f t="shared" si="158"/>
        <v>17.5</v>
      </c>
      <c r="E296" s="197">
        <f t="shared" si="152"/>
        <v>3004.0855563566447</v>
      </c>
      <c r="F296" s="202"/>
      <c r="AA296" s="185" t="s">
        <v>400</v>
      </c>
      <c r="AB296" s="185" t="s">
        <v>424</v>
      </c>
      <c r="AC296" s="185" t="s">
        <v>401</v>
      </c>
      <c r="AD296" s="185" t="s">
        <v>331</v>
      </c>
      <c r="AE296" s="185" t="s">
        <v>407</v>
      </c>
      <c r="AF296" s="185" t="s">
        <v>411</v>
      </c>
      <c r="AG296" s="185">
        <v>43.88</v>
      </c>
      <c r="AH296" s="185">
        <v>4.5499999999999999E-2</v>
      </c>
      <c r="AI296" s="185">
        <v>43.88</v>
      </c>
      <c r="AJ296" s="185">
        <v>0</v>
      </c>
      <c r="AK296" s="185">
        <v>91.93</v>
      </c>
      <c r="AL296" s="185">
        <v>128.91999999999999</v>
      </c>
      <c r="AM296" s="186">
        <v>268</v>
      </c>
      <c r="AN296" s="186" t="str">
        <f t="shared" si="156"/>
        <v>Manawatu/Whanganui RegionUrban Connectors</v>
      </c>
      <c r="AO296" s="186"/>
      <c r="AP296" s="136"/>
      <c r="AQ296" s="136"/>
      <c r="AR296" s="136"/>
      <c r="AS296" s="136"/>
      <c r="AT296" s="136"/>
      <c r="AU296" s="136"/>
      <c r="AV296" s="136"/>
      <c r="AW296" s="136"/>
      <c r="AX296" s="136"/>
      <c r="AY296" s="136"/>
      <c r="AZ296" s="136"/>
      <c r="BA296" s="136"/>
      <c r="BB296" s="136"/>
      <c r="BC296" s="136"/>
      <c r="BD296" s="136"/>
      <c r="BE296" s="136"/>
      <c r="BF296" s="136"/>
      <c r="BG296" s="136"/>
      <c r="BH296" s="136"/>
      <c r="BI296" s="136"/>
      <c r="BJ296" s="136"/>
      <c r="BK296" s="136"/>
      <c r="BL296" s="136"/>
      <c r="BM296" s="136"/>
      <c r="BN296" s="136"/>
      <c r="BO296" s="136"/>
      <c r="BP296" s="136"/>
      <c r="BQ296" s="136"/>
      <c r="BR296" s="186"/>
    </row>
    <row r="297" spans="1:70">
      <c r="A297" s="202"/>
      <c r="B297" s="195" t="str">
        <f t="shared" si="155"/>
        <v>NA NZTA Roads Northland Region</v>
      </c>
      <c r="C297" s="196">
        <f t="shared" si="157"/>
        <v>0</v>
      </c>
      <c r="D297" s="196">
        <f t="shared" si="158"/>
        <v>0</v>
      </c>
      <c r="E297" s="197">
        <f t="shared" si="152"/>
        <v>0</v>
      </c>
      <c r="F297" s="202"/>
      <c r="AA297" s="185" t="s">
        <v>400</v>
      </c>
      <c r="AB297" s="185" t="s">
        <v>433</v>
      </c>
      <c r="AC297" s="185" t="s">
        <v>401</v>
      </c>
      <c r="AD297" s="185" t="s">
        <v>331</v>
      </c>
      <c r="AE297" s="185"/>
      <c r="AF297" s="185" t="s">
        <v>402</v>
      </c>
      <c r="AG297" s="185">
        <v>78.42</v>
      </c>
      <c r="AH297" s="185">
        <v>0.21129999999999999</v>
      </c>
      <c r="AI297" s="185">
        <v>78.42</v>
      </c>
      <c r="AJ297" s="185">
        <v>0</v>
      </c>
      <c r="AK297" s="185">
        <v>159.1</v>
      </c>
      <c r="AL297" s="185">
        <v>493.67</v>
      </c>
      <c r="AM297" s="186">
        <v>269</v>
      </c>
      <c r="AN297" s="186" t="str">
        <f t="shared" si="156"/>
        <v>Wellington RegionUnclassified</v>
      </c>
      <c r="AO297" s="186"/>
      <c r="AP297" s="136"/>
      <c r="AQ297" s="136"/>
      <c r="AR297" s="136"/>
      <c r="AS297" s="136"/>
      <c r="AT297" s="136"/>
      <c r="AU297" s="136"/>
      <c r="AV297" s="136"/>
      <c r="AW297" s="136"/>
      <c r="AX297" s="136"/>
      <c r="AY297" s="136"/>
      <c r="AZ297" s="136"/>
      <c r="BA297" s="136"/>
      <c r="BB297" s="136"/>
      <c r="BC297" s="136"/>
      <c r="BD297" s="136"/>
      <c r="BE297" s="136"/>
      <c r="BF297" s="136"/>
      <c r="BG297" s="136"/>
      <c r="BH297" s="136"/>
      <c r="BI297" s="136"/>
      <c r="BJ297" s="136"/>
      <c r="BK297" s="136"/>
      <c r="BL297" s="136"/>
      <c r="BM297" s="136"/>
      <c r="BN297" s="136"/>
      <c r="BO297" s="136"/>
      <c r="BP297" s="136"/>
      <c r="BQ297" s="136"/>
      <c r="BR297" s="186"/>
    </row>
    <row r="298" spans="1:70">
      <c r="A298" s="202"/>
      <c r="B298" s="195" t="str">
        <f t="shared" si="155"/>
        <v>NA NZTA Roads Northland Region</v>
      </c>
      <c r="C298" s="196">
        <f t="shared" si="157"/>
        <v>0</v>
      </c>
      <c r="D298" s="196">
        <f t="shared" si="158"/>
        <v>0</v>
      </c>
      <c r="E298" s="197">
        <f t="shared" si="152"/>
        <v>0</v>
      </c>
      <c r="F298" s="202"/>
      <c r="AA298" s="185" t="s">
        <v>400</v>
      </c>
      <c r="AB298" s="185" t="s">
        <v>433</v>
      </c>
      <c r="AC298" s="185" t="s">
        <v>401</v>
      </c>
      <c r="AD298" s="185" t="s">
        <v>331</v>
      </c>
      <c r="AE298" s="185" t="s">
        <v>403</v>
      </c>
      <c r="AF298" s="185" t="s">
        <v>404</v>
      </c>
      <c r="AG298" s="185">
        <v>125.34</v>
      </c>
      <c r="AH298" s="185">
        <v>0.33760000000000001</v>
      </c>
      <c r="AI298" s="185">
        <v>125.34</v>
      </c>
      <c r="AJ298" s="185">
        <v>0</v>
      </c>
      <c r="AK298" s="185">
        <v>255.15</v>
      </c>
      <c r="AL298" s="185">
        <v>310.32</v>
      </c>
      <c r="AM298" s="186">
        <v>270</v>
      </c>
      <c r="AN298" s="186" t="str">
        <f t="shared" si="156"/>
        <v>Wellington RegionInterregional Connectors</v>
      </c>
      <c r="AO298" s="186"/>
      <c r="AP298" s="136"/>
      <c r="AQ298" s="136"/>
      <c r="AR298" s="136"/>
      <c r="AS298" s="136"/>
      <c r="AT298" s="136"/>
      <c r="AU298" s="136"/>
      <c r="AV298" s="136"/>
      <c r="AW298" s="136"/>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86"/>
    </row>
    <row r="299" spans="1:70">
      <c r="A299" s="202"/>
      <c r="B299" s="195" t="str">
        <f t="shared" si="155"/>
        <v>Urban Connectors NZTA Roads Northland Region</v>
      </c>
      <c r="C299" s="196">
        <f t="shared" si="157"/>
        <v>2.61</v>
      </c>
      <c r="D299" s="196">
        <f t="shared" si="158"/>
        <v>3.6</v>
      </c>
      <c r="E299" s="197">
        <f t="shared" si="152"/>
        <v>3778.9324515824283</v>
      </c>
      <c r="F299" s="202"/>
      <c r="AA299" s="185" t="s">
        <v>400</v>
      </c>
      <c r="AB299" s="185" t="s">
        <v>433</v>
      </c>
      <c r="AC299" s="185" t="s">
        <v>401</v>
      </c>
      <c r="AD299" s="185" t="s">
        <v>331</v>
      </c>
      <c r="AE299" s="185" t="s">
        <v>403</v>
      </c>
      <c r="AF299" s="185" t="s">
        <v>405</v>
      </c>
      <c r="AG299" s="185">
        <v>7.71</v>
      </c>
      <c r="AH299" s="185">
        <v>2.0799999999999999E-2</v>
      </c>
      <c r="AI299" s="185">
        <v>7.71</v>
      </c>
      <c r="AJ299" s="185">
        <v>0</v>
      </c>
      <c r="AK299" s="185">
        <v>14.54</v>
      </c>
      <c r="AL299" s="185">
        <v>25.41</v>
      </c>
      <c r="AM299" s="186">
        <v>271</v>
      </c>
      <c r="AN299" s="186" t="str">
        <f t="shared" si="156"/>
        <v>Wellington RegionPeri-urban Roads</v>
      </c>
      <c r="AO299" s="186"/>
      <c r="AP299" s="136"/>
      <c r="AQ299" s="136"/>
      <c r="AR299" s="136"/>
      <c r="AS299" s="136"/>
      <c r="AT299" s="136"/>
      <c r="AU299" s="136"/>
      <c r="AV299" s="136"/>
      <c r="AW299" s="136"/>
      <c r="AX299" s="136"/>
      <c r="AY299" s="136"/>
      <c r="AZ299" s="136"/>
      <c r="BA299" s="136"/>
      <c r="BB299" s="136"/>
      <c r="BC299" s="136"/>
      <c r="BD299" s="136"/>
      <c r="BE299" s="136"/>
      <c r="BF299" s="136"/>
      <c r="BG299" s="136"/>
      <c r="BH299" s="136"/>
      <c r="BI299" s="136"/>
      <c r="BJ299" s="136"/>
      <c r="BK299" s="136"/>
      <c r="BL299" s="136"/>
      <c r="BM299" s="136"/>
      <c r="BN299" s="136"/>
      <c r="BO299" s="136"/>
      <c r="BP299" s="136"/>
      <c r="BQ299" s="136"/>
      <c r="BR299" s="186"/>
    </row>
    <row r="300" spans="1:70">
      <c r="A300" s="202"/>
      <c r="B300" s="195" t="str">
        <f t="shared" si="155"/>
        <v>Transit Corridors NZTA Roads Northland Region</v>
      </c>
      <c r="C300" s="196">
        <f t="shared" si="157"/>
        <v>5.8</v>
      </c>
      <c r="D300" s="196">
        <f t="shared" si="158"/>
        <v>13.14</v>
      </c>
      <c r="E300" s="197">
        <f t="shared" si="152"/>
        <v>6206.8965517241377</v>
      </c>
      <c r="F300" s="202"/>
      <c r="AA300" s="185" t="s">
        <v>400</v>
      </c>
      <c r="AB300" s="185" t="s">
        <v>433</v>
      </c>
      <c r="AC300" s="185" t="s">
        <v>401</v>
      </c>
      <c r="AD300" s="185" t="s">
        <v>331</v>
      </c>
      <c r="AE300" s="185" t="s">
        <v>403</v>
      </c>
      <c r="AF300" s="185" t="s">
        <v>406</v>
      </c>
      <c r="AG300" s="185">
        <v>15.72</v>
      </c>
      <c r="AH300" s="185">
        <v>4.2299999999999997E-2</v>
      </c>
      <c r="AI300" s="185">
        <v>15.72</v>
      </c>
      <c r="AJ300" s="185">
        <v>0</v>
      </c>
      <c r="AK300" s="185">
        <v>31.44</v>
      </c>
      <c r="AL300" s="185">
        <v>12.84</v>
      </c>
      <c r="AM300" s="186">
        <v>272</v>
      </c>
      <c r="AN300" s="186" t="str">
        <f t="shared" si="156"/>
        <v>Wellington RegionRural Connectors</v>
      </c>
      <c r="AO300" s="186"/>
      <c r="AP300" s="136"/>
      <c r="AQ300" s="136"/>
      <c r="AR300" s="136"/>
      <c r="AS300" s="136"/>
      <c r="AT300" s="136"/>
      <c r="AU300" s="136"/>
      <c r="AV300" s="136"/>
      <c r="AW300" s="136"/>
      <c r="AX300" s="136"/>
      <c r="AY300" s="136"/>
      <c r="AZ300" s="136"/>
      <c r="BA300" s="136"/>
      <c r="BB300" s="136"/>
      <c r="BC300" s="136"/>
      <c r="BD300" s="136"/>
      <c r="BE300" s="136"/>
      <c r="BF300" s="136"/>
      <c r="BG300" s="136"/>
      <c r="BH300" s="136"/>
      <c r="BI300" s="136"/>
      <c r="BJ300" s="136"/>
      <c r="BK300" s="136"/>
      <c r="BL300" s="136"/>
      <c r="BM300" s="136"/>
      <c r="BN300" s="136"/>
      <c r="BO300" s="136"/>
      <c r="BP300" s="136"/>
      <c r="BQ300" s="136"/>
      <c r="BR300" s="186"/>
    </row>
    <row r="301" spans="1:70">
      <c r="A301" s="202"/>
      <c r="B301" s="195" t="str">
        <f t="shared" si="155"/>
        <v>Urban Connectors NZTA Roads Northland Region</v>
      </c>
      <c r="C301" s="196">
        <f t="shared" si="157"/>
        <v>117.82</v>
      </c>
      <c r="D301" s="196">
        <f t="shared" si="158"/>
        <v>170.55</v>
      </c>
      <c r="E301" s="197">
        <f t="shared" si="152"/>
        <v>3965.8824815192902</v>
      </c>
      <c r="F301" s="202"/>
      <c r="AA301" s="185" t="s">
        <v>400</v>
      </c>
      <c r="AB301" s="185" t="s">
        <v>433</v>
      </c>
      <c r="AC301" s="185" t="s">
        <v>401</v>
      </c>
      <c r="AD301" s="185" t="s">
        <v>331</v>
      </c>
      <c r="AE301" s="185" t="s">
        <v>403</v>
      </c>
      <c r="AF301" s="185" t="s">
        <v>415</v>
      </c>
      <c r="AG301" s="185">
        <v>0.19</v>
      </c>
      <c r="AH301" s="185">
        <v>5.0000000000000001E-4</v>
      </c>
      <c r="AI301" s="185">
        <v>0.19</v>
      </c>
      <c r="AJ301" s="185">
        <v>0</v>
      </c>
      <c r="AK301" s="185">
        <v>0.38</v>
      </c>
      <c r="AL301" s="185">
        <v>0.51</v>
      </c>
      <c r="AM301" s="186">
        <v>273</v>
      </c>
      <c r="AN301" s="186" t="str">
        <f t="shared" si="156"/>
        <v>Wellington RegionStopping Places</v>
      </c>
      <c r="AO301" s="186"/>
      <c r="AP301" s="136"/>
      <c r="AQ301" s="136"/>
      <c r="AR301" s="136"/>
      <c r="AS301" s="136"/>
      <c r="AT301" s="136"/>
      <c r="AU301" s="136"/>
      <c r="AV301" s="136"/>
      <c r="AW301" s="136"/>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86"/>
    </row>
    <row r="302" spans="1:70">
      <c r="A302" s="202"/>
      <c r="B302" s="195" t="str">
        <f t="shared" si="155"/>
        <v>NA NZTA Roads Otago Region</v>
      </c>
      <c r="C302" s="196">
        <f t="shared" si="157"/>
        <v>4.75</v>
      </c>
      <c r="D302" s="196">
        <f t="shared" si="158"/>
        <v>7.54</v>
      </c>
      <c r="E302" s="197">
        <f t="shared" si="152"/>
        <v>4348.9545782263876</v>
      </c>
      <c r="F302" s="202"/>
      <c r="AA302" s="185" t="s">
        <v>400</v>
      </c>
      <c r="AB302" s="185" t="s">
        <v>433</v>
      </c>
      <c r="AC302" s="185" t="s">
        <v>401</v>
      </c>
      <c r="AD302" s="185" t="s">
        <v>331</v>
      </c>
      <c r="AE302" s="185" t="s">
        <v>407</v>
      </c>
      <c r="AF302" s="185" t="s">
        <v>408</v>
      </c>
      <c r="AG302" s="185">
        <v>2.39</v>
      </c>
      <c r="AH302" s="185">
        <v>6.4000000000000003E-3</v>
      </c>
      <c r="AI302" s="185">
        <v>2.39</v>
      </c>
      <c r="AJ302" s="185">
        <v>0</v>
      </c>
      <c r="AK302" s="185">
        <v>4.79</v>
      </c>
      <c r="AL302" s="185">
        <v>11.02</v>
      </c>
      <c r="AM302" s="186">
        <v>274</v>
      </c>
      <c r="AN302" s="186" t="str">
        <f t="shared" si="156"/>
        <v>Wellington RegionActivity Streets</v>
      </c>
      <c r="AO302" s="186"/>
      <c r="AP302" s="136"/>
      <c r="AQ302" s="136"/>
      <c r="AR302" s="136"/>
      <c r="AS302" s="136"/>
      <c r="AT302" s="136"/>
      <c r="AU302" s="136"/>
      <c r="AV302" s="136"/>
      <c r="AW302" s="136"/>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86"/>
    </row>
    <row r="303" spans="1:70">
      <c r="A303" s="202"/>
      <c r="B303" s="195" t="str">
        <f t="shared" si="155"/>
        <v>Interregional Connectors NZTA Roads Otago Region</v>
      </c>
      <c r="C303" s="196">
        <f t="shared" si="157"/>
        <v>682.04</v>
      </c>
      <c r="D303" s="196">
        <f t="shared" si="158"/>
        <v>675.9</v>
      </c>
      <c r="E303" s="197">
        <f t="shared" si="152"/>
        <v>2715.0619053395817</v>
      </c>
      <c r="F303" s="202"/>
      <c r="AA303" s="185" t="s">
        <v>400</v>
      </c>
      <c r="AB303" s="185" t="s">
        <v>433</v>
      </c>
      <c r="AC303" s="185" t="s">
        <v>401</v>
      </c>
      <c r="AD303" s="185" t="s">
        <v>331</v>
      </c>
      <c r="AE303" s="185" t="s">
        <v>407</v>
      </c>
      <c r="AF303" s="185" t="s">
        <v>409</v>
      </c>
      <c r="AG303" s="185">
        <v>1.41</v>
      </c>
      <c r="AH303" s="185">
        <v>3.8E-3</v>
      </c>
      <c r="AI303" s="185">
        <v>1.41</v>
      </c>
      <c r="AJ303" s="185">
        <v>0</v>
      </c>
      <c r="AK303" s="185">
        <v>2.82</v>
      </c>
      <c r="AL303" s="185">
        <v>4.9400000000000004</v>
      </c>
      <c r="AM303" s="186">
        <v>275</v>
      </c>
      <c r="AN303" s="186" t="str">
        <f t="shared" si="156"/>
        <v>Wellington RegionMain Streets</v>
      </c>
      <c r="AO303" s="186"/>
      <c r="AP303" s="136"/>
      <c r="AQ303" s="136"/>
      <c r="AR303" s="136"/>
      <c r="AS303" s="136"/>
      <c r="AT303" s="136"/>
      <c r="AU303" s="136"/>
      <c r="AV303" s="136"/>
      <c r="AW303" s="136"/>
      <c r="AX303" s="136"/>
      <c r="AY303" s="136"/>
      <c r="AZ303" s="136"/>
      <c r="BA303" s="136"/>
      <c r="BB303" s="136"/>
      <c r="BC303" s="136"/>
      <c r="BD303" s="136"/>
      <c r="BE303" s="136"/>
      <c r="BF303" s="136"/>
      <c r="BG303" s="136"/>
      <c r="BH303" s="136"/>
      <c r="BI303" s="136"/>
      <c r="BJ303" s="136"/>
      <c r="BK303" s="136"/>
      <c r="BL303" s="136"/>
      <c r="BM303" s="136"/>
      <c r="BN303" s="136"/>
      <c r="BO303" s="136"/>
      <c r="BP303" s="136"/>
      <c r="BQ303" s="136"/>
      <c r="BR303" s="186"/>
    </row>
    <row r="304" spans="1:70">
      <c r="A304" s="202"/>
      <c r="B304" s="195" t="str">
        <f t="shared" si="155"/>
        <v>Interregional Connectors NZTA Roads Otago Region</v>
      </c>
      <c r="C304" s="196">
        <f t="shared" si="157"/>
        <v>8.74</v>
      </c>
      <c r="D304" s="196">
        <f t="shared" si="158"/>
        <v>7.76</v>
      </c>
      <c r="E304" s="197">
        <f t="shared" si="152"/>
        <v>2432.5256261559198</v>
      </c>
      <c r="F304" s="202"/>
      <c r="AA304" s="185" t="s">
        <v>400</v>
      </c>
      <c r="AB304" s="185" t="s">
        <v>433</v>
      </c>
      <c r="AC304" s="185" t="s">
        <v>401</v>
      </c>
      <c r="AD304" s="185" t="s">
        <v>331</v>
      </c>
      <c r="AE304" s="185" t="s">
        <v>407</v>
      </c>
      <c r="AF304" s="185" t="s">
        <v>410</v>
      </c>
      <c r="AG304" s="185">
        <v>114.77</v>
      </c>
      <c r="AH304" s="185">
        <v>0.30919999999999997</v>
      </c>
      <c r="AI304" s="185">
        <v>114.77</v>
      </c>
      <c r="AJ304" s="185">
        <v>0</v>
      </c>
      <c r="AK304" s="185">
        <v>225.79</v>
      </c>
      <c r="AL304" s="185">
        <v>911.36</v>
      </c>
      <c r="AM304" s="186">
        <v>276</v>
      </c>
      <c r="AN304" s="186" t="str">
        <f t="shared" si="156"/>
        <v>Wellington RegionTransit Corridors</v>
      </c>
      <c r="AO304" s="186"/>
      <c r="AP304" s="136"/>
      <c r="AQ304" s="136"/>
      <c r="AR304" s="136"/>
      <c r="AS304" s="136"/>
      <c r="AT304" s="136"/>
      <c r="AU304" s="136"/>
      <c r="AV304" s="136"/>
      <c r="AW304" s="136"/>
      <c r="AX304" s="136"/>
      <c r="AY304" s="136"/>
      <c r="AZ304" s="136"/>
      <c r="BA304" s="136"/>
      <c r="BB304" s="136"/>
      <c r="BC304" s="136"/>
      <c r="BD304" s="136"/>
      <c r="BE304" s="136"/>
      <c r="BF304" s="136"/>
      <c r="BG304" s="136"/>
      <c r="BH304" s="136"/>
      <c r="BI304" s="136"/>
      <c r="BJ304" s="136"/>
      <c r="BK304" s="136"/>
      <c r="BL304" s="136"/>
      <c r="BM304" s="136"/>
      <c r="BN304" s="136"/>
      <c r="BO304" s="136"/>
      <c r="BP304" s="136"/>
      <c r="BQ304" s="136"/>
      <c r="BR304" s="186"/>
    </row>
    <row r="305" spans="1:70">
      <c r="A305" s="202"/>
      <c r="B305" s="195" t="str">
        <f t="shared" si="155"/>
        <v>Rural Connectors NZTA Roads Otago Region</v>
      </c>
      <c r="C305" s="196">
        <f t="shared" si="157"/>
        <v>1776.8</v>
      </c>
      <c r="D305" s="196">
        <f t="shared" si="158"/>
        <v>592.67999999999995</v>
      </c>
      <c r="E305" s="197">
        <f t="shared" si="152"/>
        <v>913.87934596904995</v>
      </c>
      <c r="F305" s="202"/>
      <c r="AA305" s="185" t="s">
        <v>400</v>
      </c>
      <c r="AB305" s="185" t="s">
        <v>433</v>
      </c>
      <c r="AC305" s="185" t="s">
        <v>401</v>
      </c>
      <c r="AD305" s="185" t="s">
        <v>331</v>
      </c>
      <c r="AE305" s="185" t="s">
        <v>407</v>
      </c>
      <c r="AF305" s="185" t="s">
        <v>411</v>
      </c>
      <c r="AG305" s="185">
        <v>25.27</v>
      </c>
      <c r="AH305" s="185">
        <v>6.8099999999999994E-2</v>
      </c>
      <c r="AI305" s="185">
        <v>25.27</v>
      </c>
      <c r="AJ305" s="185">
        <v>0</v>
      </c>
      <c r="AK305" s="185">
        <v>57.49</v>
      </c>
      <c r="AL305" s="185">
        <v>155.47</v>
      </c>
      <c r="AM305" s="186">
        <v>277</v>
      </c>
      <c r="AN305" s="186" t="str">
        <f t="shared" si="156"/>
        <v>Wellington RegionUrban Connectors</v>
      </c>
      <c r="AO305" s="186"/>
      <c r="AP305" s="136"/>
      <c r="AQ305" s="136"/>
      <c r="AR305" s="136"/>
      <c r="AS305" s="136"/>
      <c r="AT305" s="136"/>
      <c r="AU305" s="136"/>
      <c r="AV305" s="136"/>
      <c r="AW305" s="136"/>
      <c r="AX305" s="136"/>
      <c r="AY305" s="136"/>
      <c r="AZ305" s="136"/>
      <c r="BA305" s="136"/>
      <c r="BB305" s="136"/>
      <c r="BC305" s="136"/>
      <c r="BD305" s="136"/>
      <c r="BE305" s="136"/>
      <c r="BF305" s="136"/>
      <c r="BG305" s="136"/>
      <c r="BH305" s="136"/>
      <c r="BI305" s="136"/>
      <c r="BJ305" s="136"/>
      <c r="BK305" s="136"/>
      <c r="BL305" s="136"/>
      <c r="BM305" s="136"/>
      <c r="BN305" s="136"/>
      <c r="BO305" s="136"/>
      <c r="BP305" s="136"/>
      <c r="BQ305" s="136"/>
      <c r="BR305" s="186"/>
    </row>
    <row r="306" spans="1:70">
      <c r="A306" s="202"/>
      <c r="B306" s="195" t="str">
        <f t="shared" si="155"/>
        <v>NA NZTA Roads Otago Region</v>
      </c>
      <c r="C306" s="196">
        <f t="shared" si="157"/>
        <v>0</v>
      </c>
      <c r="D306" s="196">
        <f t="shared" si="158"/>
        <v>0</v>
      </c>
      <c r="E306" s="197">
        <f t="shared" si="152"/>
        <v>0</v>
      </c>
      <c r="F306" s="202"/>
      <c r="AA306" s="185" t="s">
        <v>400</v>
      </c>
      <c r="AB306" s="185" t="s">
        <v>434</v>
      </c>
      <c r="AC306" s="185" t="s">
        <v>401</v>
      </c>
      <c r="AD306" s="185" t="s">
        <v>331</v>
      </c>
      <c r="AE306" s="185"/>
      <c r="AF306" s="185" t="s">
        <v>402</v>
      </c>
      <c r="AG306" s="185">
        <v>0.34</v>
      </c>
      <c r="AH306" s="185">
        <v>4.0000000000000002E-4</v>
      </c>
      <c r="AI306" s="185">
        <v>0.34</v>
      </c>
      <c r="AJ306" s="185">
        <v>0</v>
      </c>
      <c r="AK306" s="185">
        <v>0.44</v>
      </c>
      <c r="AL306" s="185">
        <v>0.2</v>
      </c>
      <c r="AM306" s="186">
        <v>291</v>
      </c>
      <c r="AN306" s="186" t="str">
        <f t="shared" si="156"/>
        <v>West Coast RegionUnclassified</v>
      </c>
      <c r="AO306" s="186"/>
      <c r="AP306" s="136"/>
      <c r="AQ306" s="136"/>
      <c r="AR306" s="136"/>
      <c r="AS306" s="136"/>
      <c r="AT306" s="136"/>
      <c r="AU306" s="136"/>
      <c r="AV306" s="136"/>
      <c r="AW306" s="136"/>
      <c r="AX306" s="136"/>
      <c r="AY306" s="136"/>
      <c r="AZ306" s="136"/>
      <c r="BA306" s="136"/>
      <c r="BB306" s="136"/>
      <c r="BC306" s="136"/>
      <c r="BD306" s="136"/>
      <c r="BE306" s="136"/>
      <c r="BF306" s="136"/>
      <c r="BG306" s="136"/>
      <c r="BH306" s="136"/>
      <c r="BI306" s="136"/>
      <c r="BJ306" s="136"/>
      <c r="BK306" s="136"/>
      <c r="BL306" s="136"/>
      <c r="BM306" s="136"/>
      <c r="BN306" s="136"/>
      <c r="BO306" s="136"/>
      <c r="BP306" s="136"/>
      <c r="BQ306" s="136"/>
      <c r="BR306" s="186"/>
    </row>
    <row r="307" spans="1:70">
      <c r="A307" s="202"/>
      <c r="B307" s="195" t="str">
        <f t="shared" si="155"/>
        <v>Interregional Connectors NZTA Roads Otago Region</v>
      </c>
      <c r="C307" s="196">
        <f t="shared" si="157"/>
        <v>0.4</v>
      </c>
      <c r="D307" s="196">
        <f t="shared" si="158"/>
        <v>0.18</v>
      </c>
      <c r="E307" s="197">
        <f t="shared" si="152"/>
        <v>1232.8767123287669</v>
      </c>
      <c r="F307" s="201"/>
      <c r="AA307" s="185" t="s">
        <v>400</v>
      </c>
      <c r="AB307" s="185" t="s">
        <v>434</v>
      </c>
      <c r="AC307" s="185" t="s">
        <v>401</v>
      </c>
      <c r="AD307" s="185" t="s">
        <v>331</v>
      </c>
      <c r="AE307" s="185" t="s">
        <v>403</v>
      </c>
      <c r="AF307" s="185" t="s">
        <v>404</v>
      </c>
      <c r="AG307" s="185">
        <v>71.95</v>
      </c>
      <c r="AH307" s="185">
        <v>8.2500000000000004E-2</v>
      </c>
      <c r="AI307" s="185">
        <v>71.95</v>
      </c>
      <c r="AJ307" s="185">
        <v>0</v>
      </c>
      <c r="AK307" s="185">
        <v>143.88999999999999</v>
      </c>
      <c r="AL307" s="185">
        <v>36.65</v>
      </c>
      <c r="AM307" s="186">
        <v>292</v>
      </c>
      <c r="AN307" s="186" t="str">
        <f t="shared" si="156"/>
        <v>West Coast RegionInterregional Connectors</v>
      </c>
      <c r="AO307" s="186"/>
      <c r="AP307" s="136"/>
      <c r="AQ307" s="136"/>
      <c r="AR307" s="136"/>
      <c r="AS307" s="136"/>
      <c r="AT307" s="136"/>
      <c r="AU307" s="136"/>
      <c r="AV307" s="136"/>
      <c r="AW307" s="136"/>
      <c r="AX307" s="136"/>
      <c r="AY307" s="136"/>
      <c r="AZ307" s="136"/>
      <c r="BA307" s="136"/>
      <c r="BB307" s="136"/>
      <c r="BC307" s="136"/>
      <c r="BD307" s="136"/>
      <c r="BE307" s="136"/>
      <c r="BF307" s="136"/>
      <c r="BG307" s="136"/>
      <c r="BH307" s="136"/>
      <c r="BI307" s="136"/>
      <c r="BJ307" s="136"/>
      <c r="BK307" s="136"/>
      <c r="BL307" s="136"/>
      <c r="BM307" s="136"/>
      <c r="BN307" s="136"/>
      <c r="BO307" s="136"/>
      <c r="BP307" s="136"/>
      <c r="BQ307" s="136"/>
      <c r="BR307" s="186"/>
    </row>
    <row r="308" spans="1:70">
      <c r="A308" s="202"/>
      <c r="B308" s="195" t="str">
        <f t="shared" si="155"/>
        <v>Urban Connectors NZTA Roads Otago Region</v>
      </c>
      <c r="C308" s="196">
        <f t="shared" si="157"/>
        <v>34.369999999999997</v>
      </c>
      <c r="D308" s="196">
        <f t="shared" si="158"/>
        <v>63.58</v>
      </c>
      <c r="E308" s="197">
        <f t="shared" si="152"/>
        <v>5068.1344434657494</v>
      </c>
      <c r="F308" s="201"/>
      <c r="AA308" s="185" t="s">
        <v>400</v>
      </c>
      <c r="AB308" s="185" t="s">
        <v>434</v>
      </c>
      <c r="AC308" s="185" t="s">
        <v>401</v>
      </c>
      <c r="AD308" s="185" t="s">
        <v>331</v>
      </c>
      <c r="AE308" s="185" t="s">
        <v>403</v>
      </c>
      <c r="AF308" s="185" t="s">
        <v>405</v>
      </c>
      <c r="AG308" s="185">
        <v>16.84</v>
      </c>
      <c r="AH308" s="185">
        <v>1.9300000000000001E-2</v>
      </c>
      <c r="AI308" s="185">
        <v>16.84</v>
      </c>
      <c r="AJ308" s="185">
        <v>0</v>
      </c>
      <c r="AK308" s="185">
        <v>33.67</v>
      </c>
      <c r="AL308" s="185">
        <v>11.64</v>
      </c>
      <c r="AM308" s="186">
        <v>293</v>
      </c>
      <c r="AN308" s="186" t="str">
        <f t="shared" si="156"/>
        <v>West Coast RegionPeri-urban Roads</v>
      </c>
      <c r="AO308" s="186"/>
      <c r="AP308" s="136"/>
      <c r="AQ308" s="136"/>
      <c r="AR308" s="136"/>
      <c r="AS308" s="136"/>
      <c r="AT308" s="136"/>
      <c r="AU308" s="136"/>
      <c r="AV308" s="136"/>
      <c r="AW308" s="136"/>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86"/>
    </row>
    <row r="309" spans="1:70">
      <c r="A309" s="202"/>
      <c r="B309" s="195" t="str">
        <f t="shared" si="155"/>
        <v>NA NZTA Roads Otago Region</v>
      </c>
      <c r="C309" s="196">
        <f t="shared" si="157"/>
        <v>0</v>
      </c>
      <c r="D309" s="196">
        <f t="shared" si="158"/>
        <v>0</v>
      </c>
      <c r="E309" s="197">
        <f t="shared" ref="E309:E361" si="159">IFERROR($E$12*(D309/C309)/$E$13,0)</f>
        <v>0</v>
      </c>
      <c r="F309" s="201"/>
      <c r="AA309" s="185" t="s">
        <v>400</v>
      </c>
      <c r="AB309" s="185" t="s">
        <v>434</v>
      </c>
      <c r="AC309" s="185" t="s">
        <v>401</v>
      </c>
      <c r="AD309" s="185" t="s">
        <v>331</v>
      </c>
      <c r="AE309" s="185" t="s">
        <v>403</v>
      </c>
      <c r="AF309" s="185" t="s">
        <v>406</v>
      </c>
      <c r="AG309" s="185">
        <v>752.2</v>
      </c>
      <c r="AH309" s="185">
        <v>0.86209999999999998</v>
      </c>
      <c r="AI309" s="185">
        <v>752.2</v>
      </c>
      <c r="AJ309" s="185">
        <v>0</v>
      </c>
      <c r="AK309" s="185">
        <v>1500.43</v>
      </c>
      <c r="AL309" s="185">
        <v>335.23</v>
      </c>
      <c r="AM309" s="186">
        <v>294</v>
      </c>
      <c r="AN309" s="186" t="str">
        <f t="shared" si="156"/>
        <v>West Coast RegionRural Connectors</v>
      </c>
      <c r="AO309" s="186"/>
      <c r="AP309" s="136"/>
      <c r="AQ309" s="136"/>
      <c r="AR309" s="136"/>
      <c r="AS309" s="136"/>
      <c r="AT309" s="136"/>
      <c r="AU309" s="136"/>
      <c r="AV309" s="136"/>
      <c r="AW309" s="136"/>
      <c r="AX309" s="136"/>
      <c r="AY309" s="136"/>
      <c r="AZ309" s="136"/>
      <c r="BA309" s="136"/>
      <c r="BB309" s="136"/>
      <c r="BC309" s="136"/>
      <c r="BD309" s="136"/>
      <c r="BE309" s="136"/>
      <c r="BF309" s="136"/>
      <c r="BG309" s="136"/>
      <c r="BH309" s="136"/>
      <c r="BI309" s="136"/>
      <c r="BJ309" s="136"/>
      <c r="BK309" s="136"/>
      <c r="BL309" s="136"/>
      <c r="BM309" s="136"/>
      <c r="BN309" s="136"/>
      <c r="BO309" s="136"/>
      <c r="BP309" s="136"/>
      <c r="BQ309" s="136"/>
      <c r="BR309" s="186"/>
    </row>
    <row r="310" spans="1:70">
      <c r="A310" s="202"/>
      <c r="B310" s="195" t="str">
        <f t="shared" si="155"/>
        <v>NA NZTA Roads Otago Region</v>
      </c>
      <c r="C310" s="196">
        <f t="shared" si="157"/>
        <v>0</v>
      </c>
      <c r="D310" s="196">
        <f t="shared" si="158"/>
        <v>0</v>
      </c>
      <c r="E310" s="197">
        <f t="shared" si="159"/>
        <v>0</v>
      </c>
      <c r="F310" s="201"/>
      <c r="AA310" s="185" t="s">
        <v>400</v>
      </c>
      <c r="AB310" s="185" t="s">
        <v>434</v>
      </c>
      <c r="AC310" s="185" t="s">
        <v>401</v>
      </c>
      <c r="AD310" s="185" t="s">
        <v>331</v>
      </c>
      <c r="AE310" s="185" t="s">
        <v>403</v>
      </c>
      <c r="AF310" s="185" t="s">
        <v>415</v>
      </c>
      <c r="AG310" s="185">
        <v>0.63</v>
      </c>
      <c r="AH310" s="185">
        <v>6.9999999999999999E-4</v>
      </c>
      <c r="AI310" s="185">
        <v>0.63</v>
      </c>
      <c r="AJ310" s="185">
        <v>0</v>
      </c>
      <c r="AK310" s="185">
        <v>1.26</v>
      </c>
      <c r="AL310" s="185">
        <v>0.3</v>
      </c>
      <c r="AM310" s="186">
        <v>295</v>
      </c>
      <c r="AN310" s="186" t="str">
        <f t="shared" si="156"/>
        <v>West Coast RegionStopping Places</v>
      </c>
      <c r="AO310" s="186"/>
      <c r="AP310" s="136"/>
      <c r="AQ310" s="136"/>
      <c r="AR310" s="136"/>
      <c r="AS310" s="136"/>
      <c r="AT310" s="136"/>
      <c r="AU310" s="136"/>
      <c r="AV310" s="136"/>
      <c r="AW310" s="136"/>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86"/>
    </row>
    <row r="311" spans="1:70">
      <c r="A311" s="202"/>
      <c r="B311" s="195" t="str">
        <f t="shared" si="155"/>
        <v>Urban Connectors NZTA Roads Otago Region</v>
      </c>
      <c r="C311" s="196">
        <f t="shared" si="157"/>
        <v>6.09</v>
      </c>
      <c r="D311" s="196">
        <f t="shared" si="158"/>
        <v>9.7799999999999994</v>
      </c>
      <c r="E311" s="197">
        <f t="shared" si="159"/>
        <v>4399.7570686281133</v>
      </c>
      <c r="F311" s="201"/>
      <c r="AA311" s="185" t="s">
        <v>400</v>
      </c>
      <c r="AB311" s="185" t="s">
        <v>434</v>
      </c>
      <c r="AC311" s="185" t="s">
        <v>401</v>
      </c>
      <c r="AD311" s="185" t="s">
        <v>331</v>
      </c>
      <c r="AE311" s="185" t="s">
        <v>407</v>
      </c>
      <c r="AF311" s="185" t="s">
        <v>408</v>
      </c>
      <c r="AG311" s="185">
        <v>2.96</v>
      </c>
      <c r="AH311" s="185">
        <v>3.3999999999999998E-3</v>
      </c>
      <c r="AI311" s="185">
        <v>2.96</v>
      </c>
      <c r="AJ311" s="185">
        <v>0</v>
      </c>
      <c r="AK311" s="185">
        <v>5.91</v>
      </c>
      <c r="AL311" s="185">
        <v>4.43</v>
      </c>
      <c r="AM311" s="186">
        <v>296</v>
      </c>
      <c r="AN311" s="186" t="str">
        <f t="shared" si="156"/>
        <v>West Coast RegionActivity Streets</v>
      </c>
      <c r="AO311" s="18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86"/>
    </row>
    <row r="312" spans="1:70">
      <c r="A312" s="202"/>
      <c r="B312" s="195" t="str">
        <f t="shared" si="155"/>
        <v>Transit Corridors NZTA Roads Otago Region</v>
      </c>
      <c r="C312" s="196">
        <f t="shared" si="157"/>
        <v>54.8</v>
      </c>
      <c r="D312" s="196">
        <f t="shared" si="158"/>
        <v>137.27000000000001</v>
      </c>
      <c r="E312" s="197">
        <f t="shared" si="159"/>
        <v>6862.8137186281383</v>
      </c>
      <c r="F312" s="201"/>
      <c r="AA312" s="185" t="s">
        <v>400</v>
      </c>
      <c r="AB312" s="185" t="s">
        <v>434</v>
      </c>
      <c r="AC312" s="185" t="s">
        <v>401</v>
      </c>
      <c r="AD312" s="185" t="s">
        <v>331</v>
      </c>
      <c r="AE312" s="185" t="s">
        <v>407</v>
      </c>
      <c r="AF312" s="185" t="s">
        <v>409</v>
      </c>
      <c r="AG312" s="185">
        <v>0.16</v>
      </c>
      <c r="AH312" s="185">
        <v>2.0000000000000001E-4</v>
      </c>
      <c r="AI312" s="185">
        <v>0.16</v>
      </c>
      <c r="AJ312" s="185">
        <v>0</v>
      </c>
      <c r="AK312" s="185">
        <v>0.33</v>
      </c>
      <c r="AL312" s="185">
        <v>0.25</v>
      </c>
      <c r="AM312" s="186">
        <v>297</v>
      </c>
      <c r="AN312" s="186" t="str">
        <f t="shared" si="156"/>
        <v>West Coast RegionMain Streets</v>
      </c>
      <c r="AO312" s="186"/>
      <c r="AP312" s="136"/>
      <c r="AQ312" s="136"/>
      <c r="AR312" s="136"/>
      <c r="AS312" s="136"/>
      <c r="AT312" s="136"/>
      <c r="AU312" s="136"/>
      <c r="AV312" s="136"/>
      <c r="AW312" s="136"/>
      <c r="AX312" s="136"/>
      <c r="AY312" s="136"/>
      <c r="AZ312" s="136"/>
      <c r="BA312" s="136"/>
      <c r="BB312" s="136"/>
      <c r="BC312" s="136"/>
      <c r="BD312" s="136"/>
      <c r="BE312" s="136"/>
      <c r="BF312" s="136"/>
      <c r="BG312" s="136"/>
      <c r="BH312" s="136"/>
      <c r="BI312" s="136"/>
      <c r="BJ312" s="136"/>
      <c r="BK312" s="136"/>
      <c r="BL312" s="136"/>
      <c r="BM312" s="136"/>
      <c r="BN312" s="136"/>
      <c r="BO312" s="136"/>
      <c r="BP312" s="136"/>
      <c r="BQ312" s="136"/>
      <c r="BR312" s="186"/>
    </row>
    <row r="313" spans="1:70">
      <c r="A313" s="202"/>
      <c r="B313" s="195" t="str">
        <f t="shared" si="155"/>
        <v>Urban Connectors NZTA Roads Otago Region</v>
      </c>
      <c r="C313" s="196">
        <f t="shared" si="157"/>
        <v>116.84</v>
      </c>
      <c r="D313" s="196">
        <f t="shared" si="158"/>
        <v>181.25</v>
      </c>
      <c r="E313" s="197">
        <f t="shared" si="159"/>
        <v>4250.0457246298656</v>
      </c>
      <c r="F313" s="201"/>
      <c r="AA313" s="185" t="s">
        <v>400</v>
      </c>
      <c r="AB313" s="185" t="s">
        <v>434</v>
      </c>
      <c r="AC313" s="185" t="s">
        <v>401</v>
      </c>
      <c r="AD313" s="185" t="s">
        <v>331</v>
      </c>
      <c r="AE313" s="185" t="s">
        <v>407</v>
      </c>
      <c r="AF313" s="185" t="s">
        <v>411</v>
      </c>
      <c r="AG313" s="185">
        <v>27.41</v>
      </c>
      <c r="AH313" s="185">
        <v>3.1399999999999997E-2</v>
      </c>
      <c r="AI313" s="185">
        <v>27.41</v>
      </c>
      <c r="AJ313" s="185">
        <v>0</v>
      </c>
      <c r="AK313" s="185">
        <v>54.01</v>
      </c>
      <c r="AL313" s="185">
        <v>35.25</v>
      </c>
      <c r="AM313" s="186">
        <v>298</v>
      </c>
      <c r="AN313" s="186" t="str">
        <f t="shared" si="156"/>
        <v>West Coast RegionUrban Connectors</v>
      </c>
      <c r="AO313" s="186"/>
      <c r="AP313" s="136"/>
      <c r="AQ313" s="136"/>
      <c r="AR313" s="136"/>
      <c r="AS313" s="136"/>
      <c r="AT313" s="136"/>
      <c r="AU313" s="136"/>
      <c r="AV313" s="136"/>
      <c r="AW313" s="136"/>
      <c r="AX313" s="136"/>
      <c r="AY313" s="136"/>
      <c r="AZ313" s="136"/>
      <c r="BA313" s="136"/>
      <c r="BB313" s="136"/>
      <c r="BC313" s="136"/>
      <c r="BD313" s="136"/>
      <c r="BE313" s="136"/>
      <c r="BF313" s="136"/>
      <c r="BG313" s="136"/>
      <c r="BH313" s="136"/>
      <c r="BI313" s="136"/>
      <c r="BJ313" s="136"/>
      <c r="BK313" s="136"/>
      <c r="BL313" s="136"/>
      <c r="BM313" s="136"/>
      <c r="BN313" s="136"/>
      <c r="BO313" s="136"/>
      <c r="BP313" s="136"/>
      <c r="BQ313" s="136"/>
      <c r="BR313" s="186"/>
    </row>
    <row r="314" spans="1:70">
      <c r="A314" s="202"/>
      <c r="B314" s="195" t="str">
        <f t="shared" si="155"/>
        <v>NA NZTA Roads Southland Region</v>
      </c>
      <c r="C314" s="196">
        <f t="shared" si="157"/>
        <v>11.95</v>
      </c>
      <c r="D314" s="196">
        <f t="shared" si="158"/>
        <v>9.3000000000000007</v>
      </c>
      <c r="E314" s="197">
        <f t="shared" si="159"/>
        <v>2132.1717200664875</v>
      </c>
      <c r="F314" s="201"/>
    </row>
    <row r="315" spans="1:70">
      <c r="A315" s="202"/>
      <c r="B315" s="195" t="str">
        <f t="shared" si="155"/>
        <v>Interregional Connectors NZTA Roads Southland Region</v>
      </c>
      <c r="C315" s="196">
        <f t="shared" si="157"/>
        <v>619.14</v>
      </c>
      <c r="D315" s="196">
        <f t="shared" si="158"/>
        <v>296.01</v>
      </c>
      <c r="E315" s="197">
        <f t="shared" si="159"/>
        <v>1309.8593232061619</v>
      </c>
      <c r="F315" s="201"/>
      <c r="AA315" s="134" t="s">
        <v>545</v>
      </c>
    </row>
    <row r="316" spans="1:70">
      <c r="A316" s="202"/>
      <c r="B316" s="195" t="str">
        <f t="shared" si="155"/>
        <v>Interregional Connectors NZTA Roads Southland Region</v>
      </c>
      <c r="C316" s="196">
        <f t="shared" si="157"/>
        <v>21.4</v>
      </c>
      <c r="D316" s="196">
        <f t="shared" si="158"/>
        <v>25.39</v>
      </c>
      <c r="E316" s="197">
        <f t="shared" si="159"/>
        <v>3250.5441044680583</v>
      </c>
      <c r="F316" s="201"/>
      <c r="AA316" s="185" t="s">
        <v>412</v>
      </c>
      <c r="AB316" s="185" t="s">
        <v>425</v>
      </c>
      <c r="AC316" s="185" t="s">
        <v>401</v>
      </c>
      <c r="AD316" s="185" t="s">
        <v>331</v>
      </c>
      <c r="AE316" s="185"/>
      <c r="AF316" s="185" t="s">
        <v>402</v>
      </c>
      <c r="AG316" s="185">
        <v>81.209999999999994</v>
      </c>
      <c r="AH316" s="185">
        <v>4.53E-2</v>
      </c>
      <c r="AI316" s="185">
        <v>49.13</v>
      </c>
      <c r="AJ316" s="185">
        <v>32.08</v>
      </c>
      <c r="AK316" s="185">
        <v>149.35</v>
      </c>
      <c r="AL316" s="185">
        <v>7.35</v>
      </c>
    </row>
    <row r="317" spans="1:70">
      <c r="A317" s="202"/>
      <c r="B317" s="195" t="str">
        <f t="shared" si="155"/>
        <v>Rural Connectors NZTA Roads Southland Region</v>
      </c>
      <c r="C317" s="196">
        <f t="shared" si="157"/>
        <v>819.06</v>
      </c>
      <c r="D317" s="196">
        <f t="shared" si="158"/>
        <v>289.5</v>
      </c>
      <c r="E317" s="197">
        <f t="shared" si="159"/>
        <v>968.36701210107549</v>
      </c>
      <c r="F317" s="201"/>
      <c r="AA317" s="185" t="s">
        <v>412</v>
      </c>
      <c r="AB317" s="185" t="s">
        <v>425</v>
      </c>
      <c r="AC317" s="185" t="s">
        <v>401</v>
      </c>
      <c r="AD317" s="185" t="s">
        <v>331</v>
      </c>
      <c r="AE317" s="185" t="s">
        <v>403</v>
      </c>
      <c r="AF317" s="185" t="s">
        <v>404</v>
      </c>
      <c r="AG317" s="185">
        <v>159</v>
      </c>
      <c r="AH317" s="185">
        <v>8.8700000000000001E-2</v>
      </c>
      <c r="AI317" s="185">
        <v>159</v>
      </c>
      <c r="AJ317" s="185">
        <v>0</v>
      </c>
      <c r="AK317" s="185">
        <v>324.42</v>
      </c>
      <c r="AL317" s="185">
        <v>274.76</v>
      </c>
    </row>
    <row r="318" spans="1:70">
      <c r="A318" s="202"/>
      <c r="B318" s="195" t="str">
        <f t="shared" si="155"/>
        <v>NA NZTA Roads Southland Region</v>
      </c>
      <c r="C318" s="196">
        <f t="shared" si="157"/>
        <v>0</v>
      </c>
      <c r="D318" s="196">
        <f t="shared" si="158"/>
        <v>0</v>
      </c>
      <c r="E318" s="197">
        <f t="shared" si="159"/>
        <v>0</v>
      </c>
      <c r="F318" s="201"/>
      <c r="AA318" s="185" t="s">
        <v>412</v>
      </c>
      <c r="AB318" s="185" t="s">
        <v>425</v>
      </c>
      <c r="AC318" s="185" t="s">
        <v>401</v>
      </c>
      <c r="AD318" s="185" t="s">
        <v>331</v>
      </c>
      <c r="AE318" s="185" t="s">
        <v>403</v>
      </c>
      <c r="AF318" s="185" t="s">
        <v>405</v>
      </c>
      <c r="AG318" s="185">
        <v>4.5999999999999996</v>
      </c>
      <c r="AH318" s="185">
        <v>2.5999999999999999E-3</v>
      </c>
      <c r="AI318" s="185">
        <v>4.5999999999999996</v>
      </c>
      <c r="AJ318" s="185">
        <v>0</v>
      </c>
      <c r="AK318" s="185">
        <v>8.6</v>
      </c>
      <c r="AL318" s="185">
        <v>4.3899999999999997</v>
      </c>
    </row>
    <row r="319" spans="1:70">
      <c r="A319" s="202"/>
      <c r="B319" s="195" t="str">
        <f t="shared" si="155"/>
        <v>Interregional Connectors NZTA Roads Southland Region</v>
      </c>
      <c r="C319" s="196">
        <f t="shared" si="157"/>
        <v>1.82</v>
      </c>
      <c r="D319" s="196">
        <f t="shared" si="158"/>
        <v>0.35</v>
      </c>
      <c r="E319" s="197">
        <f t="shared" si="159"/>
        <v>526.87038988408847</v>
      </c>
      <c r="F319" s="201"/>
      <c r="AA319" s="185" t="s">
        <v>412</v>
      </c>
      <c r="AB319" s="185" t="s">
        <v>425</v>
      </c>
      <c r="AC319" s="185" t="s">
        <v>401</v>
      </c>
      <c r="AD319" s="185" t="s">
        <v>331</v>
      </c>
      <c r="AE319" s="185" t="s">
        <v>403</v>
      </c>
      <c r="AF319" s="185" t="s">
        <v>406</v>
      </c>
      <c r="AG319" s="185">
        <v>271.24</v>
      </c>
      <c r="AH319" s="185">
        <v>0.15140000000000001</v>
      </c>
      <c r="AI319" s="185">
        <v>271.24</v>
      </c>
      <c r="AJ319" s="185">
        <v>0</v>
      </c>
      <c r="AK319" s="185">
        <v>542.09</v>
      </c>
      <c r="AL319" s="185">
        <v>78.72</v>
      </c>
    </row>
    <row r="320" spans="1:70">
      <c r="A320" s="202"/>
      <c r="B320" s="195" t="str">
        <f t="shared" si="155"/>
        <v>Urban Connectors NZTA Roads Southland Region</v>
      </c>
      <c r="C320" s="196">
        <f t="shared" si="157"/>
        <v>23.78</v>
      </c>
      <c r="D320" s="196">
        <f t="shared" si="158"/>
        <v>26.59</v>
      </c>
      <c r="E320" s="197">
        <f t="shared" si="159"/>
        <v>3063.4699355968523</v>
      </c>
      <c r="F320" s="201"/>
      <c r="AA320" s="185" t="s">
        <v>412</v>
      </c>
      <c r="AB320" s="185" t="s">
        <v>425</v>
      </c>
      <c r="AC320" s="185" t="s">
        <v>401</v>
      </c>
      <c r="AD320" s="185" t="s">
        <v>331</v>
      </c>
      <c r="AE320" s="185" t="s">
        <v>403</v>
      </c>
      <c r="AF320" s="185" t="s">
        <v>414</v>
      </c>
      <c r="AG320" s="185">
        <v>1059.04</v>
      </c>
      <c r="AH320" s="185">
        <v>0.59109999999999996</v>
      </c>
      <c r="AI320" s="185">
        <v>475.34</v>
      </c>
      <c r="AJ320" s="185">
        <v>583.70000000000005</v>
      </c>
      <c r="AK320" s="185">
        <v>1843.97</v>
      </c>
      <c r="AL320" s="185">
        <v>39.5</v>
      </c>
    </row>
    <row r="321" spans="1:38">
      <c r="A321" s="202"/>
      <c r="B321" s="195" t="str">
        <f t="shared" si="155"/>
        <v>NA NZTA Roads Southland Region</v>
      </c>
      <c r="C321" s="196">
        <f t="shared" si="157"/>
        <v>0</v>
      </c>
      <c r="D321" s="196">
        <f t="shared" si="158"/>
        <v>0</v>
      </c>
      <c r="E321" s="197">
        <f t="shared" si="159"/>
        <v>0</v>
      </c>
      <c r="F321" s="201"/>
      <c r="AA321" s="185"/>
      <c r="AB321" s="185"/>
      <c r="AC321" s="185"/>
      <c r="AD321" s="185"/>
      <c r="AE321" s="185"/>
      <c r="AF321" s="185" t="s">
        <v>415</v>
      </c>
      <c r="AG321" s="185"/>
      <c r="AH321" s="185"/>
      <c r="AI321" s="185"/>
      <c r="AJ321" s="185"/>
      <c r="AK321" s="185"/>
      <c r="AL321" s="185"/>
    </row>
    <row r="322" spans="1:38">
      <c r="A322" s="202"/>
      <c r="B322" s="195" t="str">
        <f t="shared" si="155"/>
        <v>Urban Connectors NZTA Roads Southland Region</v>
      </c>
      <c r="C322" s="196">
        <f t="shared" si="157"/>
        <v>4.33</v>
      </c>
      <c r="D322" s="196">
        <f t="shared" si="158"/>
        <v>6.36</v>
      </c>
      <c r="E322" s="197">
        <f t="shared" si="159"/>
        <v>4024.1703312347745</v>
      </c>
      <c r="F322" s="201"/>
      <c r="AA322" s="185" t="s">
        <v>412</v>
      </c>
      <c r="AB322" s="185" t="s">
        <v>425</v>
      </c>
      <c r="AC322" s="185" t="s">
        <v>401</v>
      </c>
      <c r="AD322" s="185" t="s">
        <v>331</v>
      </c>
      <c r="AE322" s="185" t="s">
        <v>407</v>
      </c>
      <c r="AF322" s="185" t="s">
        <v>408</v>
      </c>
      <c r="AG322" s="185">
        <v>19.39</v>
      </c>
      <c r="AH322" s="185">
        <v>1.0800000000000001E-2</v>
      </c>
      <c r="AI322" s="185">
        <v>19.39</v>
      </c>
      <c r="AJ322" s="185">
        <v>0</v>
      </c>
      <c r="AK322" s="185">
        <v>37.72</v>
      </c>
      <c r="AL322" s="185">
        <v>33.93</v>
      </c>
    </row>
    <row r="323" spans="1:38">
      <c r="A323" s="202"/>
      <c r="B323" s="195" t="str">
        <f t="shared" si="155"/>
        <v>Urban Connectors NZTA Roads Southland Region</v>
      </c>
      <c r="C323" s="196">
        <f t="shared" si="157"/>
        <v>87.85</v>
      </c>
      <c r="D323" s="196">
        <f t="shared" si="158"/>
        <v>70.95</v>
      </c>
      <c r="E323" s="197">
        <f t="shared" si="159"/>
        <v>2212.675715923001</v>
      </c>
      <c r="F323" s="201"/>
      <c r="AA323" s="185"/>
      <c r="AB323" s="185"/>
      <c r="AC323" s="185"/>
      <c r="AD323" s="185"/>
      <c r="AE323" s="185"/>
      <c r="AF323" s="185" t="s">
        <v>544</v>
      </c>
      <c r="AG323" s="185"/>
      <c r="AH323" s="185"/>
      <c r="AI323" s="185"/>
      <c r="AJ323" s="185"/>
      <c r="AK323" s="185"/>
      <c r="AL323" s="185"/>
    </row>
    <row r="324" spans="1:38">
      <c r="A324" s="202"/>
      <c r="B324" s="195" t="str">
        <f t="shared" si="155"/>
        <v>NA NZTA Roads Taranaki Region</v>
      </c>
      <c r="C324" s="196">
        <f t="shared" si="157"/>
        <v>3.12</v>
      </c>
      <c r="D324" s="196">
        <f t="shared" si="158"/>
        <v>5.79</v>
      </c>
      <c r="E324" s="197">
        <f t="shared" si="159"/>
        <v>5084.2992623814534</v>
      </c>
      <c r="F324" s="201"/>
      <c r="AA324" s="185" t="s">
        <v>412</v>
      </c>
      <c r="AB324" s="185" t="s">
        <v>425</v>
      </c>
      <c r="AC324" s="185" t="s">
        <v>401</v>
      </c>
      <c r="AD324" s="185" t="s">
        <v>331</v>
      </c>
      <c r="AE324" s="185" t="s">
        <v>407</v>
      </c>
      <c r="AF324" s="185" t="s">
        <v>418</v>
      </c>
      <c r="AG324" s="185">
        <v>145.94999999999999</v>
      </c>
      <c r="AH324" s="185">
        <v>8.1500000000000003E-2</v>
      </c>
      <c r="AI324" s="185">
        <v>145.41</v>
      </c>
      <c r="AJ324" s="185">
        <v>0.54</v>
      </c>
      <c r="AK324" s="185">
        <v>284.5</v>
      </c>
      <c r="AL324" s="185">
        <v>19.02</v>
      </c>
    </row>
    <row r="325" spans="1:38">
      <c r="A325" s="202"/>
      <c r="B325" s="195" t="str">
        <f t="shared" si="155"/>
        <v>Interregional Connectors NZTA Roads Taranaki Region</v>
      </c>
      <c r="C325" s="196">
        <f t="shared" si="157"/>
        <v>389.72</v>
      </c>
      <c r="D325" s="196">
        <f t="shared" si="158"/>
        <v>408.77</v>
      </c>
      <c r="E325" s="197">
        <f t="shared" si="159"/>
        <v>2873.6472550014832</v>
      </c>
      <c r="F325" s="201"/>
      <c r="AA325" s="185"/>
      <c r="AB325" s="185"/>
      <c r="AC325" s="185"/>
      <c r="AD325" s="185"/>
      <c r="AE325" s="185"/>
      <c r="AF325" s="185" t="s">
        <v>409</v>
      </c>
      <c r="AG325" s="185"/>
      <c r="AH325" s="185"/>
      <c r="AI325" s="185"/>
      <c r="AJ325" s="185"/>
      <c r="AK325" s="185"/>
      <c r="AL325" s="185"/>
    </row>
    <row r="326" spans="1:38">
      <c r="A326" s="202"/>
      <c r="B326" s="195" t="str">
        <f t="shared" si="155"/>
        <v>Interregional Connectors NZTA Roads Taranaki Region</v>
      </c>
      <c r="C326" s="196">
        <f t="shared" ref="C326:C335" si="160">AZ144</f>
        <v>17.27</v>
      </c>
      <c r="D326" s="196">
        <f t="shared" ref="D326:D335" si="161">BA144</f>
        <v>21.66</v>
      </c>
      <c r="E326" s="197">
        <f t="shared" si="159"/>
        <v>3436.1589897756025</v>
      </c>
      <c r="F326" s="201"/>
      <c r="AA326" s="185"/>
      <c r="AB326" s="185"/>
      <c r="AC326" s="185"/>
      <c r="AD326" s="185"/>
      <c r="AE326" s="185"/>
      <c r="AF326" s="185" t="s">
        <v>410</v>
      </c>
      <c r="AG326" s="185"/>
      <c r="AH326" s="185"/>
      <c r="AI326" s="185"/>
      <c r="AJ326" s="185"/>
      <c r="AK326" s="185"/>
      <c r="AL326" s="185"/>
    </row>
    <row r="327" spans="1:38">
      <c r="A327" s="202"/>
      <c r="B327" s="195" t="str">
        <f t="shared" ref="B327:B371" si="162">CONCATENATE(BB145,$E$14,AP145,$E$14,AQ145)</f>
        <v>Rural Connectors NZTA Roads Taranaki Region</v>
      </c>
      <c r="C327" s="196">
        <f t="shared" si="160"/>
        <v>322.74</v>
      </c>
      <c r="D327" s="196">
        <f t="shared" si="161"/>
        <v>127.17</v>
      </c>
      <c r="E327" s="197">
        <f t="shared" si="159"/>
        <v>1079.5406795070633</v>
      </c>
      <c r="F327" s="201"/>
      <c r="AA327" s="185" t="s">
        <v>412</v>
      </c>
      <c r="AB327" s="185" t="s">
        <v>425</v>
      </c>
      <c r="AC327" s="185" t="s">
        <v>401</v>
      </c>
      <c r="AD327" s="185" t="s">
        <v>331</v>
      </c>
      <c r="AE327" s="185" t="s">
        <v>407</v>
      </c>
      <c r="AF327" s="185" t="s">
        <v>411</v>
      </c>
      <c r="AG327" s="185">
        <v>51.33</v>
      </c>
      <c r="AH327" s="185">
        <v>2.86E-2</v>
      </c>
      <c r="AI327" s="185">
        <v>51.33</v>
      </c>
      <c r="AJ327" s="185">
        <v>0</v>
      </c>
      <c r="AK327" s="185">
        <v>102.41</v>
      </c>
      <c r="AL327" s="185">
        <v>80.7</v>
      </c>
    </row>
    <row r="328" spans="1:38">
      <c r="A328" s="202"/>
      <c r="B328" s="195" t="str">
        <f t="shared" si="162"/>
        <v>NA NZTA Roads Taranaki Region</v>
      </c>
      <c r="C328" s="196">
        <f t="shared" si="160"/>
        <v>0</v>
      </c>
      <c r="D328" s="196">
        <f t="shared" si="161"/>
        <v>0</v>
      </c>
      <c r="E328" s="197">
        <f t="shared" si="159"/>
        <v>0</v>
      </c>
      <c r="F328" s="201"/>
      <c r="AA328" s="239" t="s">
        <v>412</v>
      </c>
      <c r="AB328" s="239" t="s">
        <v>426</v>
      </c>
      <c r="AC328" s="239" t="s">
        <v>401</v>
      </c>
      <c r="AD328" s="239" t="s">
        <v>331</v>
      </c>
      <c r="AE328" s="239"/>
      <c r="AF328" s="239" t="s">
        <v>402</v>
      </c>
      <c r="AG328" s="239">
        <v>6.53</v>
      </c>
      <c r="AH328" s="239">
        <v>1.9199999999999998E-2</v>
      </c>
      <c r="AI328" s="239">
        <v>6.35</v>
      </c>
      <c r="AJ328" s="239">
        <v>0.18</v>
      </c>
      <c r="AK328" s="239">
        <v>9.3000000000000007</v>
      </c>
      <c r="AL328" s="239">
        <v>11.58</v>
      </c>
    </row>
    <row r="329" spans="1:38">
      <c r="A329" s="202"/>
      <c r="B329" s="195" t="str">
        <f t="shared" si="162"/>
        <v>Interregional Connectors NZTA Roads Taranaki Region</v>
      </c>
      <c r="C329" s="196">
        <f t="shared" si="160"/>
        <v>0</v>
      </c>
      <c r="D329" s="196">
        <f t="shared" si="161"/>
        <v>0</v>
      </c>
      <c r="E329" s="197">
        <f t="shared" si="159"/>
        <v>0</v>
      </c>
      <c r="F329" s="201"/>
      <c r="AA329" s="185" t="s">
        <v>412</v>
      </c>
      <c r="AB329" s="185" t="s">
        <v>426</v>
      </c>
      <c r="AC329" s="185" t="s">
        <v>401</v>
      </c>
      <c r="AD329" s="185" t="s">
        <v>331</v>
      </c>
      <c r="AE329" s="185" t="s">
        <v>403</v>
      </c>
      <c r="AF329" s="185" t="s">
        <v>404</v>
      </c>
      <c r="AG329" s="185">
        <v>31.63</v>
      </c>
      <c r="AH329" s="185">
        <v>9.2999999999999999E-2</v>
      </c>
      <c r="AI329" s="185">
        <v>31.63</v>
      </c>
      <c r="AJ329" s="185">
        <v>0</v>
      </c>
      <c r="AK329" s="185">
        <v>67.72</v>
      </c>
      <c r="AL329" s="185">
        <v>42.27</v>
      </c>
    </row>
    <row r="330" spans="1:38">
      <c r="A330" s="202"/>
      <c r="B330" s="195" t="str">
        <f t="shared" si="162"/>
        <v>Urban Connectors NZTA Roads Taranaki Region</v>
      </c>
      <c r="C330" s="196">
        <f t="shared" si="160"/>
        <v>25.87</v>
      </c>
      <c r="D330" s="196">
        <f t="shared" si="161"/>
        <v>53.9</v>
      </c>
      <c r="E330" s="197">
        <f t="shared" si="159"/>
        <v>5708.2038220607774</v>
      </c>
      <c r="F330" s="201"/>
      <c r="AA330" s="185" t="s">
        <v>412</v>
      </c>
      <c r="AB330" s="185" t="s">
        <v>426</v>
      </c>
      <c r="AC330" s="185" t="s">
        <v>401</v>
      </c>
      <c r="AD330" s="185" t="s">
        <v>331</v>
      </c>
      <c r="AE330" s="185" t="s">
        <v>403</v>
      </c>
      <c r="AF330" s="185" t="s">
        <v>405</v>
      </c>
      <c r="AG330" s="185">
        <v>3.25</v>
      </c>
      <c r="AH330" s="185">
        <v>9.5999999999999992E-3</v>
      </c>
      <c r="AI330" s="185">
        <v>3.25</v>
      </c>
      <c r="AJ330" s="185">
        <v>0</v>
      </c>
      <c r="AK330" s="185">
        <v>5.01</v>
      </c>
      <c r="AL330" s="185">
        <v>2.4300000000000002</v>
      </c>
    </row>
    <row r="331" spans="1:38">
      <c r="A331" s="202"/>
      <c r="B331" s="195" t="str">
        <f t="shared" si="162"/>
        <v>NA NZTA Roads Taranaki Region</v>
      </c>
      <c r="C331" s="196">
        <f t="shared" si="160"/>
        <v>0</v>
      </c>
      <c r="D331" s="196">
        <f t="shared" si="161"/>
        <v>0</v>
      </c>
      <c r="E331" s="197">
        <f t="shared" si="159"/>
        <v>0</v>
      </c>
      <c r="F331" s="201"/>
      <c r="AA331" s="185" t="s">
        <v>412</v>
      </c>
      <c r="AB331" s="185" t="s">
        <v>426</v>
      </c>
      <c r="AC331" s="185" t="s">
        <v>401</v>
      </c>
      <c r="AD331" s="185" t="s">
        <v>331</v>
      </c>
      <c r="AE331" s="185" t="s">
        <v>403</v>
      </c>
      <c r="AF331" s="185" t="s">
        <v>406</v>
      </c>
      <c r="AG331" s="185">
        <v>8.7200000000000006</v>
      </c>
      <c r="AH331" s="185">
        <v>2.5700000000000001E-2</v>
      </c>
      <c r="AI331" s="185">
        <v>8.7200000000000006</v>
      </c>
      <c r="AJ331" s="185">
        <v>0</v>
      </c>
      <c r="AK331" s="185">
        <v>14.7</v>
      </c>
      <c r="AL331" s="185">
        <v>1.71</v>
      </c>
    </row>
    <row r="332" spans="1:38">
      <c r="A332" s="202"/>
      <c r="B332" s="195" t="str">
        <f t="shared" si="162"/>
        <v>NA NZTA Roads Taranaki Region</v>
      </c>
      <c r="C332" s="196">
        <f t="shared" si="160"/>
        <v>0</v>
      </c>
      <c r="D332" s="196">
        <f t="shared" si="161"/>
        <v>0</v>
      </c>
      <c r="E332" s="197">
        <f t="shared" si="159"/>
        <v>0</v>
      </c>
      <c r="F332" s="201"/>
      <c r="AA332" s="185" t="s">
        <v>412</v>
      </c>
      <c r="AB332" s="185" t="s">
        <v>426</v>
      </c>
      <c r="AC332" s="185" t="s">
        <v>401</v>
      </c>
      <c r="AD332" s="185" t="s">
        <v>331</v>
      </c>
      <c r="AE332" s="185" t="s">
        <v>403</v>
      </c>
      <c r="AF332" s="185" t="s">
        <v>414</v>
      </c>
      <c r="AG332" s="185">
        <v>38.36</v>
      </c>
      <c r="AH332" s="185">
        <v>0.1128</v>
      </c>
      <c r="AI332" s="185">
        <v>22.43</v>
      </c>
      <c r="AJ332" s="185">
        <v>15.93</v>
      </c>
      <c r="AK332" s="185">
        <v>73.739999999999995</v>
      </c>
      <c r="AL332" s="185">
        <v>2.38</v>
      </c>
    </row>
    <row r="333" spans="1:38">
      <c r="A333" s="202"/>
      <c r="B333" s="195" t="str">
        <f t="shared" si="162"/>
        <v>Urban Connectors NZTA Roads Taranaki Region</v>
      </c>
      <c r="C333" s="196">
        <f t="shared" si="160"/>
        <v>2</v>
      </c>
      <c r="D333" s="196">
        <f t="shared" si="161"/>
        <v>3.92</v>
      </c>
      <c r="E333" s="197">
        <f t="shared" si="159"/>
        <v>5369.8630136986303</v>
      </c>
      <c r="F333" s="201"/>
      <c r="AA333" s="185" t="s">
        <v>412</v>
      </c>
      <c r="AB333" s="185" t="s">
        <v>426</v>
      </c>
      <c r="AC333" s="185" t="s">
        <v>401</v>
      </c>
      <c r="AD333" s="185" t="s">
        <v>331</v>
      </c>
      <c r="AE333" s="185" t="s">
        <v>403</v>
      </c>
      <c r="AF333" s="185" t="s">
        <v>415</v>
      </c>
      <c r="AG333" s="185">
        <v>0.24</v>
      </c>
      <c r="AH333" s="185">
        <v>6.9999999999999999E-4</v>
      </c>
      <c r="AI333" s="185">
        <v>0.12</v>
      </c>
      <c r="AJ333" s="185">
        <v>0.12</v>
      </c>
      <c r="AK333" s="185">
        <v>0.49</v>
      </c>
      <c r="AL333" s="185">
        <v>0.03</v>
      </c>
    </row>
    <row r="334" spans="1:38">
      <c r="A334" s="202"/>
      <c r="B334" s="195" t="str">
        <f t="shared" si="162"/>
        <v>Transit Corridors NZTA Roads Taranaki Region</v>
      </c>
      <c r="C334" s="196">
        <f t="shared" si="160"/>
        <v>8.75</v>
      </c>
      <c r="D334" s="196">
        <f t="shared" si="161"/>
        <v>24.66</v>
      </c>
      <c r="E334" s="197">
        <f t="shared" si="159"/>
        <v>7721.3307240704507</v>
      </c>
      <c r="F334" s="201"/>
      <c r="AA334" s="185" t="s">
        <v>412</v>
      </c>
      <c r="AB334" s="185" t="s">
        <v>426</v>
      </c>
      <c r="AC334" s="185" t="s">
        <v>401</v>
      </c>
      <c r="AD334" s="185" t="s">
        <v>331</v>
      </c>
      <c r="AE334" s="185" t="s">
        <v>407</v>
      </c>
      <c r="AF334" s="185" t="s">
        <v>408</v>
      </c>
      <c r="AG334" s="185">
        <v>24.81</v>
      </c>
      <c r="AH334" s="185">
        <v>7.2999999999999995E-2</v>
      </c>
      <c r="AI334" s="185">
        <v>24.81</v>
      </c>
      <c r="AJ334" s="185">
        <v>0</v>
      </c>
      <c r="AK334" s="185">
        <v>46.53</v>
      </c>
      <c r="AL334" s="185">
        <v>60.36</v>
      </c>
    </row>
    <row r="335" spans="1:38">
      <c r="A335" s="202"/>
      <c r="B335" s="195" t="str">
        <f t="shared" si="162"/>
        <v>Urban Connectors NZTA Roads Taranaki Region</v>
      </c>
      <c r="C335" s="196">
        <f t="shared" si="160"/>
        <v>65.83</v>
      </c>
      <c r="D335" s="196">
        <f t="shared" si="161"/>
        <v>127.44</v>
      </c>
      <c r="E335" s="197">
        <f t="shared" si="159"/>
        <v>5303.8232558333102</v>
      </c>
      <c r="F335" s="201"/>
      <c r="AA335" s="185" t="s">
        <v>412</v>
      </c>
      <c r="AB335" s="185" t="s">
        <v>426</v>
      </c>
      <c r="AC335" s="185" t="s">
        <v>401</v>
      </c>
      <c r="AD335" s="185" t="s">
        <v>331</v>
      </c>
      <c r="AE335" s="185" t="s">
        <v>407</v>
      </c>
      <c r="AF335" s="185" t="s">
        <v>417</v>
      </c>
      <c r="AG335" s="185">
        <v>0.11</v>
      </c>
      <c r="AH335" s="185">
        <v>2.9999999999999997E-4</v>
      </c>
      <c r="AI335" s="185">
        <v>0.11</v>
      </c>
      <c r="AJ335" s="185">
        <v>0</v>
      </c>
      <c r="AK335" s="185">
        <v>0.21</v>
      </c>
      <c r="AL335" s="185">
        <v>0.1</v>
      </c>
    </row>
    <row r="336" spans="1:38">
      <c r="A336" s="202"/>
      <c r="B336" s="195" t="str">
        <f t="shared" si="162"/>
        <v>NA NZTA Roads Waikato Region</v>
      </c>
      <c r="C336" s="196">
        <f t="shared" ref="C336:C349" si="163">AZ154</f>
        <v>145.09</v>
      </c>
      <c r="D336" s="196">
        <f t="shared" ref="D336:D349" si="164">BA154</f>
        <v>316.99</v>
      </c>
      <c r="E336" s="197">
        <f t="shared" si="159"/>
        <v>5985.7037247546868</v>
      </c>
      <c r="F336" s="201"/>
      <c r="AA336" s="185" t="s">
        <v>412</v>
      </c>
      <c r="AB336" s="185" t="s">
        <v>426</v>
      </c>
      <c r="AC336" s="185" t="s">
        <v>401</v>
      </c>
      <c r="AD336" s="185" t="s">
        <v>331</v>
      </c>
      <c r="AE336" s="185" t="s">
        <v>407</v>
      </c>
      <c r="AF336" s="185" t="s">
        <v>418</v>
      </c>
      <c r="AG336" s="185">
        <v>160</v>
      </c>
      <c r="AH336" s="185">
        <v>0.47060000000000002</v>
      </c>
      <c r="AI336" s="185">
        <v>159.85</v>
      </c>
      <c r="AJ336" s="185">
        <v>0.15</v>
      </c>
      <c r="AK336" s="185">
        <v>300.27999999999997</v>
      </c>
      <c r="AL336" s="185">
        <v>41.26</v>
      </c>
    </row>
    <row r="337" spans="1:38">
      <c r="A337" s="202"/>
      <c r="B337" s="195" t="str">
        <f t="shared" si="162"/>
        <v>Interregional Connectors NZTA Roads Waikato Region</v>
      </c>
      <c r="C337" s="196">
        <f t="shared" si="163"/>
        <v>1423.98</v>
      </c>
      <c r="D337" s="196">
        <f t="shared" si="164"/>
        <v>1913.27</v>
      </c>
      <c r="E337" s="197">
        <f t="shared" si="159"/>
        <v>3681.1160384544419</v>
      </c>
      <c r="F337" s="201"/>
      <c r="AA337" s="185" t="s">
        <v>412</v>
      </c>
      <c r="AB337" s="185" t="s">
        <v>426</v>
      </c>
      <c r="AC337" s="185" t="s">
        <v>401</v>
      </c>
      <c r="AD337" s="185" t="s">
        <v>331</v>
      </c>
      <c r="AE337" s="185" t="s">
        <v>407</v>
      </c>
      <c r="AF337" s="185" t="s">
        <v>409</v>
      </c>
      <c r="AG337" s="185">
        <v>1.56</v>
      </c>
      <c r="AH337" s="185">
        <v>4.5999999999999999E-3</v>
      </c>
      <c r="AI337" s="185">
        <v>1.56</v>
      </c>
      <c r="AJ337" s="185">
        <v>0</v>
      </c>
      <c r="AK337" s="185">
        <v>3.12</v>
      </c>
      <c r="AL337" s="185">
        <v>3.51</v>
      </c>
    </row>
    <row r="338" spans="1:38">
      <c r="A338" s="202"/>
      <c r="B338" s="195" t="str">
        <f t="shared" si="162"/>
        <v>Interregional Connectors NZTA Roads Waikato Region</v>
      </c>
      <c r="C338" s="196">
        <f t="shared" si="163"/>
        <v>68.650000000000006</v>
      </c>
      <c r="D338" s="196">
        <f t="shared" si="164"/>
        <v>72.37</v>
      </c>
      <c r="E338" s="197">
        <f t="shared" si="159"/>
        <v>2888.1860539364852</v>
      </c>
      <c r="F338" s="201"/>
      <c r="AA338" s="185" t="s">
        <v>412</v>
      </c>
      <c r="AB338" s="185" t="s">
        <v>426</v>
      </c>
      <c r="AC338" s="185" t="s">
        <v>401</v>
      </c>
      <c r="AD338" s="185" t="s">
        <v>331</v>
      </c>
      <c r="AE338" s="185" t="s">
        <v>407</v>
      </c>
      <c r="AF338" s="185" t="s">
        <v>410</v>
      </c>
      <c r="AG338" s="185">
        <v>12.84</v>
      </c>
      <c r="AH338" s="185">
        <v>3.78E-2</v>
      </c>
      <c r="AI338" s="185">
        <v>12.84</v>
      </c>
      <c r="AJ338" s="185">
        <v>0</v>
      </c>
      <c r="AK338" s="185">
        <v>20.37</v>
      </c>
      <c r="AL338" s="185">
        <v>61.76</v>
      </c>
    </row>
    <row r="339" spans="1:38">
      <c r="A339" s="202"/>
      <c r="B339" s="195" t="str">
        <f t="shared" si="162"/>
        <v>Rural Connectors NZTA Roads Waikato Region</v>
      </c>
      <c r="C339" s="196">
        <f t="shared" si="163"/>
        <v>1892.98</v>
      </c>
      <c r="D339" s="196">
        <f t="shared" si="164"/>
        <v>1221.81</v>
      </c>
      <c r="E339" s="197">
        <f t="shared" si="159"/>
        <v>1768.3359874558878</v>
      </c>
      <c r="F339" s="201"/>
      <c r="AA339" s="185" t="s">
        <v>412</v>
      </c>
      <c r="AB339" s="185" t="s">
        <v>426</v>
      </c>
      <c r="AC339" s="185" t="s">
        <v>401</v>
      </c>
      <c r="AD339" s="185" t="s">
        <v>331</v>
      </c>
      <c r="AE339" s="185" t="s">
        <v>407</v>
      </c>
      <c r="AF339" s="185" t="s">
        <v>411</v>
      </c>
      <c r="AG339" s="185">
        <v>51.91</v>
      </c>
      <c r="AH339" s="185">
        <v>0.1527</v>
      </c>
      <c r="AI339" s="185">
        <v>51.91</v>
      </c>
      <c r="AJ339" s="185">
        <v>0</v>
      </c>
      <c r="AK339" s="185">
        <v>104.47</v>
      </c>
      <c r="AL339" s="185">
        <v>189.63</v>
      </c>
    </row>
    <row r="340" spans="1:38">
      <c r="A340" s="202"/>
      <c r="B340" s="195" t="str">
        <f t="shared" si="162"/>
        <v>NA NZTA Roads Waikato Region</v>
      </c>
      <c r="C340" s="196">
        <f t="shared" si="163"/>
        <v>0</v>
      </c>
      <c r="D340" s="196">
        <f t="shared" si="164"/>
        <v>0</v>
      </c>
      <c r="E340" s="197">
        <f t="shared" si="159"/>
        <v>0</v>
      </c>
      <c r="F340" s="201"/>
      <c r="AA340" s="185" t="s">
        <v>412</v>
      </c>
      <c r="AB340" s="185" t="s">
        <v>431</v>
      </c>
      <c r="AC340" s="185" t="s">
        <v>401</v>
      </c>
      <c r="AD340" s="185" t="s">
        <v>331</v>
      </c>
      <c r="AE340" s="185"/>
      <c r="AF340" s="185" t="s">
        <v>402</v>
      </c>
      <c r="AG340" s="185">
        <v>37.479999999999997</v>
      </c>
      <c r="AH340" s="185">
        <v>1.84E-2</v>
      </c>
      <c r="AI340" s="185">
        <v>8.41</v>
      </c>
      <c r="AJ340" s="185">
        <v>29.07</v>
      </c>
      <c r="AK340" s="185">
        <v>57.31</v>
      </c>
      <c r="AL340" s="185">
        <v>1.07</v>
      </c>
    </row>
    <row r="341" spans="1:38">
      <c r="A341" s="202"/>
      <c r="B341" s="195" t="str">
        <f t="shared" si="162"/>
        <v>Interregional Connectors NZTA Roads Waikato Region</v>
      </c>
      <c r="C341" s="196">
        <f t="shared" si="163"/>
        <v>5.47</v>
      </c>
      <c r="D341" s="196">
        <f t="shared" si="164"/>
        <v>7.23</v>
      </c>
      <c r="E341" s="197">
        <f t="shared" si="159"/>
        <v>3621.2466504720646</v>
      </c>
      <c r="F341" s="201"/>
      <c r="AA341" s="185" t="s">
        <v>412</v>
      </c>
      <c r="AB341" s="185" t="s">
        <v>431</v>
      </c>
      <c r="AC341" s="185" t="s">
        <v>401</v>
      </c>
      <c r="AD341" s="185" t="s">
        <v>331</v>
      </c>
      <c r="AE341" s="185" t="s">
        <v>403</v>
      </c>
      <c r="AF341" s="185" t="s">
        <v>404</v>
      </c>
      <c r="AG341" s="185">
        <v>29.8</v>
      </c>
      <c r="AH341" s="185">
        <v>1.46E-2</v>
      </c>
      <c r="AI341" s="185">
        <v>29.8</v>
      </c>
      <c r="AJ341" s="185">
        <v>0</v>
      </c>
      <c r="AK341" s="185">
        <v>66.17</v>
      </c>
      <c r="AL341" s="185">
        <v>104.31</v>
      </c>
    </row>
    <row r="342" spans="1:38">
      <c r="A342" s="202"/>
      <c r="B342" s="195" t="str">
        <f t="shared" si="162"/>
        <v>Urban Connectors NZTA Roads Waikato Region</v>
      </c>
      <c r="C342" s="196">
        <f t="shared" si="163"/>
        <v>25.69</v>
      </c>
      <c r="D342" s="196">
        <f t="shared" si="164"/>
        <v>46.07</v>
      </c>
      <c r="E342" s="197">
        <f t="shared" si="159"/>
        <v>4913.1638023430041</v>
      </c>
      <c r="F342" s="201"/>
      <c r="AA342" s="185" t="s">
        <v>412</v>
      </c>
      <c r="AB342" s="185" t="s">
        <v>431</v>
      </c>
      <c r="AC342" s="185" t="s">
        <v>401</v>
      </c>
      <c r="AD342" s="185" t="s">
        <v>331</v>
      </c>
      <c r="AE342" s="185" t="s">
        <v>403</v>
      </c>
      <c r="AF342" s="185" t="s">
        <v>405</v>
      </c>
      <c r="AG342" s="185">
        <v>53.99</v>
      </c>
      <c r="AH342" s="185">
        <v>2.6499999999999999E-2</v>
      </c>
      <c r="AI342" s="185">
        <v>52.46</v>
      </c>
      <c r="AJ342" s="185">
        <v>1.53</v>
      </c>
      <c r="AK342" s="185">
        <v>107.34</v>
      </c>
      <c r="AL342" s="185">
        <v>37.020000000000003</v>
      </c>
    </row>
    <row r="343" spans="1:38">
      <c r="A343" s="202"/>
      <c r="B343" s="195" t="str">
        <f t="shared" si="162"/>
        <v>NA NZTA Roads Waikato Region</v>
      </c>
      <c r="C343" s="196">
        <f t="shared" si="163"/>
        <v>0</v>
      </c>
      <c r="D343" s="196">
        <f t="shared" si="164"/>
        <v>0</v>
      </c>
      <c r="E343" s="197">
        <f t="shared" si="159"/>
        <v>0</v>
      </c>
      <c r="F343" s="201"/>
      <c r="AA343" s="185" t="s">
        <v>412</v>
      </c>
      <c r="AB343" s="185" t="s">
        <v>431</v>
      </c>
      <c r="AC343" s="185" t="s">
        <v>401</v>
      </c>
      <c r="AD343" s="185" t="s">
        <v>331</v>
      </c>
      <c r="AE343" s="185" t="s">
        <v>403</v>
      </c>
      <c r="AF343" s="185" t="s">
        <v>406</v>
      </c>
      <c r="AG343" s="185">
        <v>684.25</v>
      </c>
      <c r="AH343" s="185">
        <v>0.33629999999999999</v>
      </c>
      <c r="AI343" s="185">
        <v>660.44</v>
      </c>
      <c r="AJ343" s="185">
        <v>23.81</v>
      </c>
      <c r="AK343" s="185">
        <v>1369.3</v>
      </c>
      <c r="AL343" s="185">
        <v>300.17</v>
      </c>
    </row>
    <row r="344" spans="1:38">
      <c r="A344" s="202"/>
      <c r="B344" s="195" t="str">
        <f t="shared" si="162"/>
        <v>NA NZTA Roads Waikato Region</v>
      </c>
      <c r="C344" s="196">
        <f t="shared" si="163"/>
        <v>0</v>
      </c>
      <c r="D344" s="196">
        <f t="shared" si="164"/>
        <v>0</v>
      </c>
      <c r="E344" s="197">
        <f t="shared" si="159"/>
        <v>0</v>
      </c>
      <c r="F344" s="201"/>
      <c r="AA344" s="185" t="s">
        <v>412</v>
      </c>
      <c r="AB344" s="185" t="s">
        <v>431</v>
      </c>
      <c r="AC344" s="185" t="s">
        <v>401</v>
      </c>
      <c r="AD344" s="185" t="s">
        <v>331</v>
      </c>
      <c r="AE344" s="185" t="s">
        <v>403</v>
      </c>
      <c r="AF344" s="185" t="s">
        <v>414</v>
      </c>
      <c r="AG344" s="185">
        <v>1009.45</v>
      </c>
      <c r="AH344" s="185">
        <v>0.49609999999999999</v>
      </c>
      <c r="AI344" s="185">
        <v>327.73</v>
      </c>
      <c r="AJ344" s="185">
        <v>681.72</v>
      </c>
      <c r="AK344" s="185">
        <v>1745.89</v>
      </c>
      <c r="AL344" s="185">
        <v>32.19</v>
      </c>
    </row>
    <row r="345" spans="1:38">
      <c r="A345" s="202"/>
      <c r="B345" s="195" t="str">
        <f t="shared" si="162"/>
        <v>Urban Connectors NZTA Roads Waikato Region</v>
      </c>
      <c r="C345" s="196">
        <f t="shared" si="163"/>
        <v>3.07</v>
      </c>
      <c r="D345" s="196">
        <f t="shared" si="164"/>
        <v>5.44</v>
      </c>
      <c r="E345" s="197">
        <f t="shared" si="159"/>
        <v>4854.7588237918881</v>
      </c>
      <c r="F345" s="201"/>
      <c r="AA345" s="185" t="s">
        <v>412</v>
      </c>
      <c r="AB345" s="185" t="s">
        <v>431</v>
      </c>
      <c r="AC345" s="185" t="s">
        <v>401</v>
      </c>
      <c r="AD345" s="185" t="s">
        <v>331</v>
      </c>
      <c r="AE345" s="185" t="s">
        <v>403</v>
      </c>
      <c r="AF345" s="185" t="s">
        <v>415</v>
      </c>
      <c r="AG345" s="185">
        <v>8.66</v>
      </c>
      <c r="AH345" s="185">
        <v>4.3E-3</v>
      </c>
      <c r="AI345" s="185">
        <v>8.66</v>
      </c>
      <c r="AJ345" s="185">
        <v>0</v>
      </c>
      <c r="AK345" s="185">
        <v>17.329999999999998</v>
      </c>
      <c r="AL345" s="185">
        <v>2.44</v>
      </c>
    </row>
    <row r="346" spans="1:38">
      <c r="A346" s="202"/>
      <c r="B346" s="195" t="str">
        <f t="shared" si="162"/>
        <v>Transit Corridors NZTA Roads Waikato Region</v>
      </c>
      <c r="C346" s="196">
        <f t="shared" si="163"/>
        <v>6.05</v>
      </c>
      <c r="D346" s="196">
        <f t="shared" si="164"/>
        <v>22.61</v>
      </c>
      <c r="E346" s="197">
        <f t="shared" si="159"/>
        <v>10238.876938752404</v>
      </c>
      <c r="F346" s="201"/>
      <c r="AA346" s="185" t="s">
        <v>412</v>
      </c>
      <c r="AB346" s="185" t="s">
        <v>431</v>
      </c>
      <c r="AC346" s="185" t="s">
        <v>401</v>
      </c>
      <c r="AD346" s="185" t="s">
        <v>331</v>
      </c>
      <c r="AE346" s="185" t="s">
        <v>407</v>
      </c>
      <c r="AF346" s="185" t="s">
        <v>408</v>
      </c>
      <c r="AG346" s="185">
        <v>13.47</v>
      </c>
      <c r="AH346" s="185">
        <v>6.6E-3</v>
      </c>
      <c r="AI346" s="185">
        <v>13.47</v>
      </c>
      <c r="AJ346" s="185">
        <v>0</v>
      </c>
      <c r="AK346" s="185">
        <v>26.93</v>
      </c>
      <c r="AL346" s="185">
        <v>24.18</v>
      </c>
    </row>
    <row r="347" spans="1:38">
      <c r="A347" s="202"/>
      <c r="B347" s="195" t="str">
        <f t="shared" si="162"/>
        <v>Urban Connectors NZTA Roads Waikato Region</v>
      </c>
      <c r="C347" s="196">
        <f t="shared" si="163"/>
        <v>191.98</v>
      </c>
      <c r="D347" s="196">
        <f t="shared" si="164"/>
        <v>314.8</v>
      </c>
      <c r="E347" s="197">
        <f t="shared" si="159"/>
        <v>4492.4770987845477</v>
      </c>
      <c r="F347" s="201"/>
      <c r="AA347" s="185" t="s">
        <v>412</v>
      </c>
      <c r="AB347" s="185" t="s">
        <v>431</v>
      </c>
      <c r="AC347" s="185" t="s">
        <v>401</v>
      </c>
      <c r="AD347" s="185" t="s">
        <v>331</v>
      </c>
      <c r="AE347" s="185" t="s">
        <v>407</v>
      </c>
      <c r="AF347" s="185" t="s">
        <v>417</v>
      </c>
      <c r="AG347" s="185">
        <v>0.34</v>
      </c>
      <c r="AH347" s="185">
        <v>2.0000000000000001E-4</v>
      </c>
      <c r="AI347" s="185">
        <v>0.34</v>
      </c>
      <c r="AJ347" s="185">
        <v>0</v>
      </c>
      <c r="AK347" s="185">
        <v>0.53</v>
      </c>
      <c r="AL347" s="185">
        <v>0.17</v>
      </c>
    </row>
    <row r="348" spans="1:38">
      <c r="A348" s="202"/>
      <c r="B348" s="195" t="str">
        <f t="shared" si="162"/>
        <v>NA NZTA Roads Wellington Region</v>
      </c>
      <c r="C348" s="196">
        <f t="shared" si="163"/>
        <v>159.1</v>
      </c>
      <c r="D348" s="196">
        <f t="shared" si="164"/>
        <v>493.67</v>
      </c>
      <c r="E348" s="197">
        <f t="shared" si="159"/>
        <v>8501.0719544010408</v>
      </c>
      <c r="F348" s="201"/>
      <c r="AA348" s="185" t="s">
        <v>412</v>
      </c>
      <c r="AB348" s="185" t="s">
        <v>431</v>
      </c>
      <c r="AC348" s="185" t="s">
        <v>401</v>
      </c>
      <c r="AD348" s="185" t="s">
        <v>331</v>
      </c>
      <c r="AE348" s="185" t="s">
        <v>407</v>
      </c>
      <c r="AF348" s="185" t="s">
        <v>418</v>
      </c>
      <c r="AG348" s="185">
        <v>168.46</v>
      </c>
      <c r="AH348" s="185">
        <v>8.2799999999999999E-2</v>
      </c>
      <c r="AI348" s="185">
        <v>165.38</v>
      </c>
      <c r="AJ348" s="185">
        <v>3.08</v>
      </c>
      <c r="AK348" s="185">
        <v>332.81</v>
      </c>
      <c r="AL348" s="185">
        <v>29.3</v>
      </c>
    </row>
    <row r="349" spans="1:38">
      <c r="A349" s="202"/>
      <c r="B349" s="195" t="str">
        <f t="shared" si="162"/>
        <v>Interregional Connectors NZTA Roads Wellington Region</v>
      </c>
      <c r="C349" s="196">
        <f t="shared" si="163"/>
        <v>255.15</v>
      </c>
      <c r="D349" s="196">
        <f t="shared" si="164"/>
        <v>310.32</v>
      </c>
      <c r="E349" s="197">
        <f t="shared" si="159"/>
        <v>3332.1253412577616</v>
      </c>
      <c r="F349" s="201"/>
      <c r="AA349" s="185" t="s">
        <v>412</v>
      </c>
      <c r="AB349" s="185" t="s">
        <v>431</v>
      </c>
      <c r="AC349" s="185" t="s">
        <v>401</v>
      </c>
      <c r="AD349" s="185" t="s">
        <v>331</v>
      </c>
      <c r="AE349" s="185" t="s">
        <v>407</v>
      </c>
      <c r="AF349" s="185" t="s">
        <v>409</v>
      </c>
      <c r="AG349" s="185">
        <v>1.37</v>
      </c>
      <c r="AH349" s="185">
        <v>6.9999999999999999E-4</v>
      </c>
      <c r="AI349" s="185">
        <v>1.37</v>
      </c>
      <c r="AJ349" s="185">
        <v>0</v>
      </c>
      <c r="AK349" s="185">
        <v>2.75</v>
      </c>
      <c r="AL349" s="185">
        <v>4.43</v>
      </c>
    </row>
    <row r="350" spans="1:38">
      <c r="A350" s="202"/>
      <c r="B350" s="195" t="str">
        <f t="shared" si="162"/>
        <v>Interregional Connectors NZTA Roads Wellington Region</v>
      </c>
      <c r="C350" s="196">
        <f t="shared" ref="C350:C355" si="165">AZ168</f>
        <v>14.54</v>
      </c>
      <c r="D350" s="196">
        <f t="shared" ref="D350:D355" si="166">BA168</f>
        <v>25.41</v>
      </c>
      <c r="E350" s="197">
        <f t="shared" si="159"/>
        <v>4787.9256090897106</v>
      </c>
      <c r="F350" s="201"/>
      <c r="AA350" s="185"/>
      <c r="AB350" s="185"/>
      <c r="AC350" s="185"/>
      <c r="AD350" s="185"/>
      <c r="AE350" s="185"/>
      <c r="AF350" s="185" t="s">
        <v>410</v>
      </c>
      <c r="AG350" s="185"/>
      <c r="AH350" s="185"/>
      <c r="AI350" s="185"/>
      <c r="AJ350" s="185"/>
      <c r="AK350" s="185"/>
      <c r="AL350" s="185"/>
    </row>
    <row r="351" spans="1:38">
      <c r="A351" s="202"/>
      <c r="B351" s="195" t="str">
        <f t="shared" si="162"/>
        <v>Rural Connectors NZTA Roads Wellington Region</v>
      </c>
      <c r="C351" s="196">
        <f t="shared" si="165"/>
        <v>31.44</v>
      </c>
      <c r="D351" s="196">
        <f t="shared" si="166"/>
        <v>12.84</v>
      </c>
      <c r="E351" s="197">
        <f t="shared" si="159"/>
        <v>1118.8957440133847</v>
      </c>
      <c r="F351" s="201"/>
      <c r="AA351" s="185" t="s">
        <v>412</v>
      </c>
      <c r="AB351" s="185" t="s">
        <v>431</v>
      </c>
      <c r="AC351" s="185" t="s">
        <v>401</v>
      </c>
      <c r="AD351" s="185" t="s">
        <v>331</v>
      </c>
      <c r="AE351" s="185" t="s">
        <v>407</v>
      </c>
      <c r="AF351" s="185" t="s">
        <v>411</v>
      </c>
      <c r="AG351" s="185">
        <v>27.43</v>
      </c>
      <c r="AH351" s="185">
        <v>1.35E-2</v>
      </c>
      <c r="AI351" s="185">
        <v>27.43</v>
      </c>
      <c r="AJ351" s="185">
        <v>0</v>
      </c>
      <c r="AK351" s="185">
        <v>54.86</v>
      </c>
      <c r="AL351" s="185">
        <v>43.77</v>
      </c>
    </row>
    <row r="352" spans="1:38">
      <c r="A352" s="202"/>
      <c r="B352" s="195" t="str">
        <f t="shared" si="162"/>
        <v>NA NZTA Roads Wellington Region</v>
      </c>
      <c r="C352" s="196">
        <f t="shared" si="165"/>
        <v>0</v>
      </c>
      <c r="D352" s="196">
        <f t="shared" si="166"/>
        <v>0</v>
      </c>
      <c r="E352" s="197">
        <f t="shared" si="159"/>
        <v>0</v>
      </c>
      <c r="F352" s="201"/>
      <c r="AA352" s="239" t="s">
        <v>412</v>
      </c>
      <c r="AB352" s="239" t="s">
        <v>435</v>
      </c>
      <c r="AC352" s="239" t="s">
        <v>401</v>
      </c>
      <c r="AD352" s="239" t="s">
        <v>331</v>
      </c>
      <c r="AE352" s="239"/>
      <c r="AF352" s="239" t="s">
        <v>402</v>
      </c>
      <c r="AG352" s="239">
        <f>AG316+AG328+AG340</f>
        <v>125.22</v>
      </c>
      <c r="AH352" s="239"/>
      <c r="AI352" s="239">
        <f t="shared" ref="AI352:AL352" si="167">AI316+AI328+AI340</f>
        <v>63.89</v>
      </c>
      <c r="AJ352" s="239">
        <f t="shared" si="167"/>
        <v>61.33</v>
      </c>
      <c r="AK352" s="239">
        <f t="shared" si="167"/>
        <v>215.96</v>
      </c>
      <c r="AL352" s="239">
        <f t="shared" si="167"/>
        <v>20</v>
      </c>
    </row>
    <row r="353" spans="1:38">
      <c r="A353" s="202"/>
      <c r="B353" s="195" t="str">
        <f t="shared" si="162"/>
        <v>Interregional Connectors NZTA Roads Wellington Region</v>
      </c>
      <c r="C353" s="196">
        <f t="shared" si="165"/>
        <v>0.38</v>
      </c>
      <c r="D353" s="196">
        <f t="shared" si="166"/>
        <v>0.51</v>
      </c>
      <c r="E353" s="197">
        <f t="shared" si="159"/>
        <v>3677.0007209805331</v>
      </c>
      <c r="F353" s="201"/>
      <c r="AA353" s="185" t="s">
        <v>412</v>
      </c>
      <c r="AB353" s="185" t="s">
        <v>435</v>
      </c>
      <c r="AC353" s="185" t="s">
        <v>401</v>
      </c>
      <c r="AD353" s="185" t="s">
        <v>331</v>
      </c>
      <c r="AE353" s="185" t="s">
        <v>403</v>
      </c>
      <c r="AF353" s="185" t="s">
        <v>404</v>
      </c>
      <c r="AG353" s="185">
        <f t="shared" ref="AG353:AL353" si="168">AG317+AG329+AG341</f>
        <v>220.43</v>
      </c>
      <c r="AH353" s="185"/>
      <c r="AI353" s="185">
        <f t="shared" si="168"/>
        <v>220.43</v>
      </c>
      <c r="AJ353" s="185">
        <f t="shared" si="168"/>
        <v>0</v>
      </c>
      <c r="AK353" s="185">
        <f t="shared" si="168"/>
        <v>458.31</v>
      </c>
      <c r="AL353" s="185">
        <f t="shared" si="168"/>
        <v>421.34</v>
      </c>
    </row>
    <row r="354" spans="1:38">
      <c r="A354" s="202"/>
      <c r="B354" s="195" t="str">
        <f t="shared" si="162"/>
        <v>Urban Connectors NZTA Roads Wellington Region</v>
      </c>
      <c r="C354" s="196">
        <f t="shared" si="165"/>
        <v>4.79</v>
      </c>
      <c r="D354" s="196">
        <f t="shared" si="166"/>
        <v>11.02</v>
      </c>
      <c r="E354" s="197">
        <f t="shared" si="159"/>
        <v>6303.0857665799176</v>
      </c>
      <c r="F354" s="201"/>
      <c r="AA354" s="185" t="s">
        <v>412</v>
      </c>
      <c r="AB354" s="185" t="s">
        <v>435</v>
      </c>
      <c r="AC354" s="185" t="s">
        <v>401</v>
      </c>
      <c r="AD354" s="185" t="s">
        <v>331</v>
      </c>
      <c r="AE354" s="185" t="s">
        <v>403</v>
      </c>
      <c r="AF354" s="185" t="s">
        <v>405</v>
      </c>
      <c r="AG354" s="185">
        <f t="shared" ref="AG354:AL354" si="169">AG318+AG330+AG342</f>
        <v>61.84</v>
      </c>
      <c r="AH354" s="185"/>
      <c r="AI354" s="185">
        <f t="shared" si="169"/>
        <v>60.31</v>
      </c>
      <c r="AJ354" s="185">
        <f t="shared" si="169"/>
        <v>1.53</v>
      </c>
      <c r="AK354" s="185">
        <f t="shared" si="169"/>
        <v>120.95</v>
      </c>
      <c r="AL354" s="185">
        <f t="shared" si="169"/>
        <v>43.84</v>
      </c>
    </row>
    <row r="355" spans="1:38">
      <c r="A355" s="202"/>
      <c r="B355" s="195" t="str">
        <f t="shared" si="162"/>
        <v>NA NZTA Roads Wellington Region</v>
      </c>
      <c r="C355" s="196">
        <f t="shared" si="165"/>
        <v>0</v>
      </c>
      <c r="D355" s="196">
        <f t="shared" si="166"/>
        <v>0</v>
      </c>
      <c r="E355" s="197">
        <f t="shared" si="159"/>
        <v>0</v>
      </c>
      <c r="F355" s="201"/>
      <c r="AA355" s="185" t="s">
        <v>412</v>
      </c>
      <c r="AB355" s="185" t="s">
        <v>435</v>
      </c>
      <c r="AC355" s="185" t="s">
        <v>401</v>
      </c>
      <c r="AD355" s="185" t="s">
        <v>331</v>
      </c>
      <c r="AE355" s="185" t="s">
        <v>403</v>
      </c>
      <c r="AF355" s="185" t="s">
        <v>406</v>
      </c>
      <c r="AG355" s="185">
        <f t="shared" ref="AG355:AL355" si="170">AG319+AG331+AG343</f>
        <v>964.21</v>
      </c>
      <c r="AH355" s="185"/>
      <c r="AI355" s="185">
        <f t="shared" si="170"/>
        <v>940.40000000000009</v>
      </c>
      <c r="AJ355" s="185">
        <f t="shared" si="170"/>
        <v>23.81</v>
      </c>
      <c r="AK355" s="185">
        <f t="shared" si="170"/>
        <v>1926.0900000000001</v>
      </c>
      <c r="AL355" s="185">
        <f t="shared" si="170"/>
        <v>380.6</v>
      </c>
    </row>
    <row r="356" spans="1:38">
      <c r="A356" s="202"/>
      <c r="B356" s="195" t="str">
        <f t="shared" si="162"/>
        <v>NA NZTA Roads Wellington Region</v>
      </c>
      <c r="C356" s="196">
        <f t="shared" ref="C356:C370" si="171">AZ174</f>
        <v>0</v>
      </c>
      <c r="D356" s="196">
        <f t="shared" ref="D356:D370" si="172">BA174</f>
        <v>0</v>
      </c>
      <c r="E356" s="197">
        <f t="shared" si="159"/>
        <v>0</v>
      </c>
      <c r="F356" s="201"/>
      <c r="AA356" s="185" t="s">
        <v>412</v>
      </c>
      <c r="AB356" s="185" t="s">
        <v>435</v>
      </c>
      <c r="AC356" s="185" t="s">
        <v>401</v>
      </c>
      <c r="AD356" s="185" t="s">
        <v>331</v>
      </c>
      <c r="AE356" s="185" t="s">
        <v>403</v>
      </c>
      <c r="AF356" s="185" t="s">
        <v>414</v>
      </c>
      <c r="AG356" s="185">
        <f t="shared" ref="AG356:AL356" si="173">AG320+AG332+AG344</f>
        <v>2106.85</v>
      </c>
      <c r="AH356" s="185"/>
      <c r="AI356" s="185">
        <f t="shared" si="173"/>
        <v>825.5</v>
      </c>
      <c r="AJ356" s="185">
        <f t="shared" si="173"/>
        <v>1281.3499999999999</v>
      </c>
      <c r="AK356" s="185">
        <f t="shared" si="173"/>
        <v>3663.6000000000004</v>
      </c>
      <c r="AL356" s="185">
        <f t="shared" si="173"/>
        <v>74.069999999999993</v>
      </c>
    </row>
    <row r="357" spans="1:38">
      <c r="A357" s="202"/>
      <c r="B357" s="195" t="str">
        <f t="shared" si="162"/>
        <v>NA NZTA Roads Wellington Region</v>
      </c>
      <c r="C357" s="196">
        <f t="shared" si="171"/>
        <v>0</v>
      </c>
      <c r="D357" s="196">
        <f t="shared" si="172"/>
        <v>0</v>
      </c>
      <c r="E357" s="197">
        <f t="shared" si="159"/>
        <v>0</v>
      </c>
      <c r="F357" s="201"/>
      <c r="AA357" s="185" t="s">
        <v>412</v>
      </c>
      <c r="AB357" s="185" t="s">
        <v>435</v>
      </c>
      <c r="AC357" s="185" t="s">
        <v>401</v>
      </c>
      <c r="AD357" s="185" t="s">
        <v>331</v>
      </c>
      <c r="AE357" s="185" t="s">
        <v>403</v>
      </c>
      <c r="AF357" s="185" t="s">
        <v>415</v>
      </c>
      <c r="AG357" s="185">
        <f t="shared" ref="AG357:AL357" si="174">AG321+AG333+AG345</f>
        <v>8.9</v>
      </c>
      <c r="AH357" s="185"/>
      <c r="AI357" s="185">
        <f t="shared" si="174"/>
        <v>8.7799999999999994</v>
      </c>
      <c r="AJ357" s="185">
        <f t="shared" si="174"/>
        <v>0.12</v>
      </c>
      <c r="AK357" s="185">
        <f t="shared" si="174"/>
        <v>17.819999999999997</v>
      </c>
      <c r="AL357" s="185">
        <f t="shared" si="174"/>
        <v>2.4699999999999998</v>
      </c>
    </row>
    <row r="358" spans="1:38">
      <c r="A358" s="202"/>
      <c r="B358" s="195" t="str">
        <f t="shared" si="162"/>
        <v>Urban Connectors NZTA Roads Wellington Region</v>
      </c>
      <c r="C358" s="196">
        <f t="shared" si="171"/>
        <v>2.82</v>
      </c>
      <c r="D358" s="196">
        <f t="shared" si="172"/>
        <v>4.9400000000000004</v>
      </c>
      <c r="E358" s="197">
        <f t="shared" si="159"/>
        <v>4799.3782182065488</v>
      </c>
      <c r="F358" s="201"/>
      <c r="AA358" s="185" t="s">
        <v>412</v>
      </c>
      <c r="AB358" s="185" t="s">
        <v>435</v>
      </c>
      <c r="AC358" s="185" t="s">
        <v>401</v>
      </c>
      <c r="AD358" s="185" t="s">
        <v>331</v>
      </c>
      <c r="AE358" s="185" t="s">
        <v>407</v>
      </c>
      <c r="AF358" s="185" t="s">
        <v>408</v>
      </c>
      <c r="AG358" s="185">
        <f t="shared" ref="AG358:AL358" si="175">AG322+AG334+AG346</f>
        <v>57.67</v>
      </c>
      <c r="AH358" s="185"/>
      <c r="AI358" s="185">
        <f t="shared" si="175"/>
        <v>57.67</v>
      </c>
      <c r="AJ358" s="185">
        <f t="shared" si="175"/>
        <v>0</v>
      </c>
      <c r="AK358" s="185">
        <f t="shared" si="175"/>
        <v>111.18</v>
      </c>
      <c r="AL358" s="185">
        <f t="shared" si="175"/>
        <v>118.47</v>
      </c>
    </row>
    <row r="359" spans="1:38">
      <c r="A359" s="202"/>
      <c r="B359" s="195" t="str">
        <f t="shared" si="162"/>
        <v>Transit Corridors NZTA Roads Wellington Region</v>
      </c>
      <c r="C359" s="196">
        <f t="shared" si="171"/>
        <v>225.79</v>
      </c>
      <c r="D359" s="196">
        <f t="shared" si="172"/>
        <v>911.36</v>
      </c>
      <c r="E359" s="197">
        <f t="shared" si="159"/>
        <v>11058.402552499081</v>
      </c>
      <c r="F359" s="201"/>
      <c r="AA359" s="185" t="s">
        <v>412</v>
      </c>
      <c r="AB359" s="185" t="s">
        <v>435</v>
      </c>
      <c r="AC359" s="185" t="s">
        <v>401</v>
      </c>
      <c r="AD359" s="185" t="s">
        <v>331</v>
      </c>
      <c r="AE359" s="185" t="s">
        <v>407</v>
      </c>
      <c r="AF359" s="185" t="s">
        <v>417</v>
      </c>
      <c r="AG359" s="185">
        <f t="shared" ref="AG359:AL359" si="176">AG323+AG335+AG347</f>
        <v>0.45</v>
      </c>
      <c r="AH359" s="185"/>
      <c r="AI359" s="185">
        <f t="shared" si="176"/>
        <v>0.45</v>
      </c>
      <c r="AJ359" s="185">
        <f t="shared" si="176"/>
        <v>0</v>
      </c>
      <c r="AK359" s="185">
        <f t="shared" si="176"/>
        <v>0.74</v>
      </c>
      <c r="AL359" s="185">
        <f t="shared" si="176"/>
        <v>0.27</v>
      </c>
    </row>
    <row r="360" spans="1:38">
      <c r="A360" s="202"/>
      <c r="B360" s="195" t="str">
        <f t="shared" si="162"/>
        <v>Urban Connectors NZTA Roads Wellington Region</v>
      </c>
      <c r="C360" s="196">
        <f t="shared" si="171"/>
        <v>57.49</v>
      </c>
      <c r="D360" s="196">
        <f t="shared" si="172"/>
        <v>155.47</v>
      </c>
      <c r="E360" s="197">
        <f t="shared" si="159"/>
        <v>7409.0312311611078</v>
      </c>
      <c r="F360" s="201"/>
      <c r="AA360" s="185" t="s">
        <v>412</v>
      </c>
      <c r="AB360" s="185" t="s">
        <v>435</v>
      </c>
      <c r="AC360" s="185" t="s">
        <v>401</v>
      </c>
      <c r="AD360" s="185" t="s">
        <v>331</v>
      </c>
      <c r="AE360" s="185" t="s">
        <v>407</v>
      </c>
      <c r="AF360" s="185" t="s">
        <v>418</v>
      </c>
      <c r="AG360" s="185">
        <f t="shared" ref="AG360:AL360" si="177">AG324+AG336+AG348</f>
        <v>474.40999999999997</v>
      </c>
      <c r="AH360" s="185"/>
      <c r="AI360" s="185">
        <f t="shared" si="177"/>
        <v>470.64</v>
      </c>
      <c r="AJ360" s="185">
        <f t="shared" si="177"/>
        <v>3.77</v>
      </c>
      <c r="AK360" s="185">
        <f t="shared" si="177"/>
        <v>917.58999999999992</v>
      </c>
      <c r="AL360" s="185">
        <f t="shared" si="177"/>
        <v>89.58</v>
      </c>
    </row>
    <row r="361" spans="1:38">
      <c r="A361" s="202"/>
      <c r="B361" s="195" t="str">
        <f t="shared" si="162"/>
        <v>NA NZTA Roads West Coast Region</v>
      </c>
      <c r="C361" s="196">
        <f t="shared" si="171"/>
        <v>0.44</v>
      </c>
      <c r="D361" s="196">
        <f t="shared" si="172"/>
        <v>0.2</v>
      </c>
      <c r="E361" s="197">
        <f t="shared" si="159"/>
        <v>1245.3300124533002</v>
      </c>
      <c r="F361" s="201"/>
      <c r="AA361" s="185" t="s">
        <v>412</v>
      </c>
      <c r="AB361" s="185" t="s">
        <v>435</v>
      </c>
      <c r="AC361" s="185" t="s">
        <v>401</v>
      </c>
      <c r="AD361" s="185" t="s">
        <v>331</v>
      </c>
      <c r="AE361" s="185" t="s">
        <v>407</v>
      </c>
      <c r="AF361" s="185" t="s">
        <v>409</v>
      </c>
      <c r="AG361" s="185">
        <f t="shared" ref="AG361:AL361" si="178">AG325+AG337+AG349</f>
        <v>2.93</v>
      </c>
      <c r="AH361" s="185"/>
      <c r="AI361" s="185">
        <f t="shared" si="178"/>
        <v>2.93</v>
      </c>
      <c r="AJ361" s="185">
        <f t="shared" si="178"/>
        <v>0</v>
      </c>
      <c r="AK361" s="185">
        <f t="shared" si="178"/>
        <v>5.87</v>
      </c>
      <c r="AL361" s="185">
        <f t="shared" si="178"/>
        <v>7.9399999999999995</v>
      </c>
    </row>
    <row r="362" spans="1:38">
      <c r="A362" s="202"/>
      <c r="B362" s="195" t="str">
        <f t="shared" si="162"/>
        <v>Interregional Connectors NZTA Roads West Coast Region</v>
      </c>
      <c r="C362" s="196">
        <f t="shared" si="171"/>
        <v>143.88999999999999</v>
      </c>
      <c r="D362" s="196">
        <f t="shared" si="172"/>
        <v>36.65</v>
      </c>
      <c r="E362" s="197">
        <f t="shared" ref="E362:E371" si="179">IFERROR($E$12*(D362/C362)/$E$13,0)</f>
        <v>697.83139136916805</v>
      </c>
      <c r="F362" s="201"/>
      <c r="AA362" s="185" t="s">
        <v>412</v>
      </c>
      <c r="AB362" s="185" t="s">
        <v>435</v>
      </c>
      <c r="AC362" s="185" t="s">
        <v>401</v>
      </c>
      <c r="AD362" s="185" t="s">
        <v>331</v>
      </c>
      <c r="AE362" s="185" t="s">
        <v>407</v>
      </c>
      <c r="AF362" s="185" t="s">
        <v>410</v>
      </c>
      <c r="AG362" s="185">
        <f t="shared" ref="AG362:AL362" si="180">AG326+AG338+AG350</f>
        <v>12.84</v>
      </c>
      <c r="AH362" s="185"/>
      <c r="AI362" s="185">
        <f t="shared" si="180"/>
        <v>12.84</v>
      </c>
      <c r="AJ362" s="185">
        <f t="shared" si="180"/>
        <v>0</v>
      </c>
      <c r="AK362" s="185">
        <f t="shared" si="180"/>
        <v>20.37</v>
      </c>
      <c r="AL362" s="185">
        <f t="shared" si="180"/>
        <v>61.76</v>
      </c>
    </row>
    <row r="363" spans="1:38">
      <c r="A363" s="202"/>
      <c r="B363" s="195" t="str">
        <f t="shared" si="162"/>
        <v>Interregional Connectors NZTA Roads West Coast Region</v>
      </c>
      <c r="C363" s="196">
        <f t="shared" si="171"/>
        <v>33.67</v>
      </c>
      <c r="D363" s="196">
        <f t="shared" si="172"/>
        <v>11.64</v>
      </c>
      <c r="E363" s="197">
        <f t="shared" si="179"/>
        <v>947.14615262560471</v>
      </c>
      <c r="F363" s="201"/>
      <c r="AA363" s="185" t="s">
        <v>412</v>
      </c>
      <c r="AB363" s="185" t="s">
        <v>435</v>
      </c>
      <c r="AC363" s="185" t="s">
        <v>401</v>
      </c>
      <c r="AD363" s="185" t="s">
        <v>331</v>
      </c>
      <c r="AE363" s="185" t="s">
        <v>407</v>
      </c>
      <c r="AF363" s="185" t="s">
        <v>411</v>
      </c>
      <c r="AG363" s="185">
        <f t="shared" ref="AG363:AL363" si="181">AG327+AG339+AG351</f>
        <v>130.66999999999999</v>
      </c>
      <c r="AH363" s="185"/>
      <c r="AI363" s="185">
        <f t="shared" si="181"/>
        <v>130.66999999999999</v>
      </c>
      <c r="AJ363" s="185">
        <f t="shared" si="181"/>
        <v>0</v>
      </c>
      <c r="AK363" s="185">
        <f t="shared" si="181"/>
        <v>261.74</v>
      </c>
      <c r="AL363" s="185">
        <f t="shared" si="181"/>
        <v>314.09999999999997</v>
      </c>
    </row>
    <row r="364" spans="1:38">
      <c r="A364" s="202"/>
      <c r="B364" s="195" t="str">
        <f t="shared" si="162"/>
        <v>Rural Connectors NZTA Roads West Coast Region</v>
      </c>
      <c r="C364" s="196">
        <f t="shared" si="171"/>
        <v>1500.43</v>
      </c>
      <c r="D364" s="196">
        <f t="shared" si="172"/>
        <v>335.23</v>
      </c>
      <c r="E364" s="197">
        <f t="shared" si="179"/>
        <v>612.11676397058409</v>
      </c>
      <c r="F364" s="201"/>
    </row>
    <row r="365" spans="1:38">
      <c r="A365" s="202"/>
      <c r="B365" s="195" t="str">
        <f t="shared" si="162"/>
        <v>NA NZTA Roads West Coast Region</v>
      </c>
      <c r="C365" s="196">
        <f t="shared" si="171"/>
        <v>0</v>
      </c>
      <c r="D365" s="196">
        <f t="shared" si="172"/>
        <v>0</v>
      </c>
      <c r="E365" s="197">
        <f t="shared" si="179"/>
        <v>0</v>
      </c>
      <c r="F365" s="201"/>
    </row>
    <row r="366" spans="1:38">
      <c r="A366" s="202"/>
      <c r="B366" s="195" t="str">
        <f t="shared" si="162"/>
        <v>Interregional Connectors NZTA Roads West Coast Region</v>
      </c>
      <c r="C366" s="196">
        <f t="shared" si="171"/>
        <v>1.26</v>
      </c>
      <c r="D366" s="196">
        <f t="shared" si="172"/>
        <v>0.3</v>
      </c>
      <c r="E366" s="197">
        <f t="shared" si="179"/>
        <v>652.31572080887145</v>
      </c>
      <c r="F366" s="201"/>
    </row>
    <row r="367" spans="1:38">
      <c r="A367" s="202"/>
      <c r="B367" s="195" t="str">
        <f t="shared" si="162"/>
        <v>Urban Connectors NZTA Roads West Coast Region</v>
      </c>
      <c r="C367" s="196">
        <f t="shared" si="171"/>
        <v>5.91</v>
      </c>
      <c r="D367" s="196">
        <f t="shared" si="172"/>
        <v>4.43</v>
      </c>
      <c r="E367" s="197">
        <f t="shared" si="179"/>
        <v>2053.6355839881326</v>
      </c>
      <c r="F367" s="201"/>
    </row>
    <row r="368" spans="1:38">
      <c r="A368" s="202"/>
      <c r="B368" s="195" t="str">
        <f t="shared" si="162"/>
        <v>NA NZTA Roads West Coast Region</v>
      </c>
      <c r="C368" s="196">
        <f t="shared" si="171"/>
        <v>0</v>
      </c>
      <c r="D368" s="196">
        <f t="shared" si="172"/>
        <v>0</v>
      </c>
      <c r="E368" s="197">
        <f t="shared" si="179"/>
        <v>0</v>
      </c>
      <c r="F368" s="201"/>
    </row>
    <row r="369" spans="1:6">
      <c r="A369" s="202"/>
      <c r="B369" s="195" t="str">
        <f t="shared" si="162"/>
        <v>NA NZTA Roads West Coast Region</v>
      </c>
      <c r="C369" s="196">
        <f t="shared" si="171"/>
        <v>0</v>
      </c>
      <c r="D369" s="196">
        <f t="shared" si="172"/>
        <v>0</v>
      </c>
      <c r="E369" s="197">
        <f t="shared" si="179"/>
        <v>0</v>
      </c>
      <c r="F369" s="201"/>
    </row>
    <row r="370" spans="1:6">
      <c r="A370" s="202"/>
      <c r="B370" s="195" t="str">
        <f t="shared" si="162"/>
        <v>Urban Connectors NZTA Roads West Coast Region</v>
      </c>
      <c r="C370" s="196">
        <f t="shared" si="171"/>
        <v>0.33</v>
      </c>
      <c r="D370" s="196">
        <f t="shared" si="172"/>
        <v>0.25</v>
      </c>
      <c r="E370" s="197">
        <f t="shared" si="179"/>
        <v>2075.5500207555001</v>
      </c>
      <c r="F370" s="201"/>
    </row>
    <row r="371" spans="1:6">
      <c r="A371" s="202"/>
      <c r="B371" s="195" t="str">
        <f t="shared" si="162"/>
        <v>Urban Connectors NZTA Roads West Coast Region</v>
      </c>
      <c r="C371" s="196">
        <f t="shared" ref="C371" si="182">AZ189</f>
        <v>54.01</v>
      </c>
      <c r="D371" s="196">
        <f t="shared" ref="D371" si="183">BA189</f>
        <v>35.25</v>
      </c>
      <c r="E371" s="197">
        <f t="shared" si="179"/>
        <v>1788.1011380439443</v>
      </c>
      <c r="F371" s="201"/>
    </row>
    <row r="372" spans="1:6">
      <c r="A372" s="202"/>
      <c r="B372" s="202"/>
      <c r="C372" s="202"/>
      <c r="D372" s="202"/>
      <c r="E372" s="202"/>
      <c r="F372" s="201"/>
    </row>
    <row r="373" spans="1:6">
      <c r="A373" s="202"/>
      <c r="F373" s="201"/>
    </row>
    <row r="374" spans="1:6">
      <c r="A374" s="202"/>
      <c r="F374" s="201"/>
    </row>
    <row r="375" spans="1:6">
      <c r="A375" s="202"/>
      <c r="F375" s="201"/>
    </row>
    <row r="376" spans="1:6">
      <c r="A376" s="202"/>
      <c r="F376" s="201"/>
    </row>
    <row r="377" spans="1:6">
      <c r="A377" s="202"/>
      <c r="F377" s="201"/>
    </row>
    <row r="378" spans="1:6">
      <c r="A378" s="202"/>
      <c r="F378" s="201"/>
    </row>
    <row r="379" spans="1:6">
      <c r="A379" s="202"/>
      <c r="F379" s="201"/>
    </row>
    <row r="380" spans="1:6">
      <c r="A380" s="202"/>
      <c r="F380" s="201"/>
    </row>
    <row r="381" spans="1:6">
      <c r="A381" s="202"/>
      <c r="F381" s="201"/>
    </row>
    <row r="382" spans="1:6">
      <c r="A382" s="202"/>
      <c r="F382" s="201"/>
    </row>
    <row r="383" spans="1:6">
      <c r="A383" s="202"/>
      <c r="F383" s="201"/>
    </row>
    <row r="384" spans="1:6">
      <c r="A384" s="202"/>
      <c r="F384" s="201"/>
    </row>
    <row r="385" spans="1:38">
      <c r="A385" s="202"/>
      <c r="F385" s="201"/>
    </row>
    <row r="386" spans="1:38">
      <c r="A386" s="202"/>
      <c r="F386" s="201"/>
    </row>
    <row r="387" spans="1:38">
      <c r="A387" s="202"/>
      <c r="F387" s="201"/>
    </row>
    <row r="388" spans="1:38">
      <c r="A388" s="202"/>
      <c r="F388" s="201"/>
    </row>
    <row r="389" spans="1:38">
      <c r="A389" s="202"/>
      <c r="F389" s="201"/>
    </row>
    <row r="390" spans="1:38">
      <c r="A390" s="202"/>
      <c r="F390" s="201"/>
    </row>
    <row r="391" spans="1:38">
      <c r="A391" s="202"/>
      <c r="F391" s="201"/>
    </row>
    <row r="392" spans="1:38">
      <c r="A392" s="135" t="s">
        <v>297</v>
      </c>
    </row>
    <row r="399" spans="1:38">
      <c r="AL399" s="134">
        <f>1000000*(AL18/AK18)/365</f>
        <v>729.58459365973204</v>
      </c>
    </row>
    <row r="400" spans="1:38">
      <c r="AL400" s="134">
        <f>1000000*(AL200/AK200)/365</f>
        <v>9579.399396281271</v>
      </c>
    </row>
  </sheetData>
  <autoFilter ref="B15:BP390" xr:uid="{039EEE0B-D588-4664-99E7-24731485B3D5}"/>
  <sortState xmlns:xlrd2="http://schemas.microsoft.com/office/spreadsheetml/2017/richdata2" ref="AA16:AM313">
    <sortCondition ref="AA16:AA313"/>
    <sortCondition ref="AM16:AM313"/>
  </sortState>
  <hyperlinks>
    <hyperlink ref="B12" r:id="rId1" xr:uid="{BBF04159-9215-4388-A9C0-225020C9E0E0}"/>
    <hyperlink ref="A1" location="Dashboard!A1" display="Return to dashboard" xr:uid="{977592B3-1DAA-4F09-AA57-155CC689FA00}"/>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0264-DB6A-4AC7-A5A1-E569A8A6D207}">
  <sheetPr codeName="Sheet6">
    <tabColor theme="5" tint="0.79998168889431442"/>
  </sheetPr>
  <dimension ref="A1:K25"/>
  <sheetViews>
    <sheetView workbookViewId="0">
      <selection activeCell="B4" sqref="B4"/>
    </sheetView>
  </sheetViews>
  <sheetFormatPr defaultRowHeight="15"/>
  <cols>
    <col min="1" max="1" width="1.5703125" customWidth="1"/>
    <col min="2" max="2" width="13" customWidth="1"/>
    <col min="3" max="3" width="23.28515625" customWidth="1"/>
    <col min="4" max="4" width="14.140625" customWidth="1"/>
    <col min="5" max="5" width="12.5703125" customWidth="1"/>
    <col min="6" max="6" width="11.5703125" customWidth="1"/>
    <col min="7" max="7" width="13.28515625" customWidth="1"/>
    <col min="8" max="8" width="14.42578125" customWidth="1"/>
    <col min="9" max="9" width="13.7109375" customWidth="1"/>
    <col min="10" max="10" width="20.28515625" customWidth="1"/>
    <col min="11" max="11" width="20" customWidth="1"/>
  </cols>
  <sheetData>
    <row r="1" spans="1:11">
      <c r="A1" s="515" t="s">
        <v>280</v>
      </c>
      <c r="B1" s="515"/>
      <c r="C1" s="515"/>
    </row>
    <row r="2" spans="1:11">
      <c r="A2" s="295" t="s">
        <v>541</v>
      </c>
      <c r="K2" s="306" t="s">
        <v>1119</v>
      </c>
    </row>
    <row r="3" spans="1:11">
      <c r="A3" s="434" t="s">
        <v>976</v>
      </c>
      <c r="K3" s="306" t="s">
        <v>682</v>
      </c>
    </row>
    <row r="5" spans="1:11">
      <c r="C5" s="227"/>
      <c r="D5" s="227"/>
      <c r="F5" s="227"/>
      <c r="G5" s="227"/>
      <c r="H5" s="227"/>
      <c r="I5" s="227"/>
      <c r="J5" s="227"/>
      <c r="K5" s="227"/>
    </row>
    <row r="6" spans="1:11" ht="45">
      <c r="B6" s="228" t="s">
        <v>454</v>
      </c>
      <c r="C6" s="229" t="s">
        <v>455</v>
      </c>
      <c r="D6" s="228" t="s">
        <v>456</v>
      </c>
      <c r="E6" s="228" t="s">
        <v>449</v>
      </c>
      <c r="F6" s="228" t="s">
        <v>450</v>
      </c>
      <c r="G6" s="229" t="s">
        <v>451</v>
      </c>
      <c r="H6" s="228" t="s">
        <v>452</v>
      </c>
      <c r="I6" s="228" t="s">
        <v>453</v>
      </c>
      <c r="J6" s="229" t="s">
        <v>683</v>
      </c>
      <c r="K6" s="230" t="s">
        <v>457</v>
      </c>
    </row>
    <row r="7" spans="1:11" ht="57.6" customHeight="1">
      <c r="B7" s="517"/>
      <c r="C7" s="523"/>
      <c r="D7" s="523"/>
      <c r="E7" s="517" t="s">
        <v>458</v>
      </c>
      <c r="F7" s="232" t="s">
        <v>459</v>
      </c>
      <c r="G7" s="523" t="s">
        <v>534</v>
      </c>
      <c r="H7" s="232" t="s">
        <v>460</v>
      </c>
      <c r="I7" s="232" t="s">
        <v>461</v>
      </c>
      <c r="J7" s="523" t="s">
        <v>462</v>
      </c>
      <c r="K7" s="232"/>
    </row>
    <row r="8" spans="1:11" ht="22.5">
      <c r="B8" s="518"/>
      <c r="C8" s="524"/>
      <c r="D8" s="524"/>
      <c r="E8" s="518"/>
      <c r="F8" s="234" t="s">
        <v>463</v>
      </c>
      <c r="G8" s="524"/>
      <c r="H8" s="234" t="s">
        <v>464</v>
      </c>
      <c r="I8" s="234" t="s">
        <v>465</v>
      </c>
      <c r="J8" s="524"/>
      <c r="K8" s="234"/>
    </row>
    <row r="9" spans="1:11" ht="34.5" customHeight="1">
      <c r="B9" s="519" t="s">
        <v>471</v>
      </c>
      <c r="C9" s="519" t="s">
        <v>472</v>
      </c>
      <c r="D9" s="519" t="s">
        <v>473</v>
      </c>
      <c r="E9" s="519" t="s">
        <v>466</v>
      </c>
      <c r="F9" s="235" t="s">
        <v>467</v>
      </c>
      <c r="G9" s="521" t="s">
        <v>535</v>
      </c>
      <c r="H9" s="235" t="s">
        <v>468</v>
      </c>
      <c r="I9" s="235" t="s">
        <v>469</v>
      </c>
      <c r="J9" s="521" t="s">
        <v>470</v>
      </c>
      <c r="K9" s="235" t="s">
        <v>1120</v>
      </c>
    </row>
    <row r="10" spans="1:11" ht="22.5">
      <c r="B10" s="520"/>
      <c r="C10" s="520"/>
      <c r="D10" s="520"/>
      <c r="E10" s="520"/>
      <c r="F10" s="236" t="s">
        <v>474</v>
      </c>
      <c r="G10" s="522"/>
      <c r="H10" s="236" t="s">
        <v>475</v>
      </c>
      <c r="I10" s="236" t="s">
        <v>476</v>
      </c>
      <c r="J10" s="522"/>
      <c r="K10" s="236"/>
    </row>
    <row r="11" spans="1:11" ht="23.1" customHeight="1">
      <c r="B11" s="517"/>
      <c r="C11" s="517"/>
      <c r="D11" s="517"/>
      <c r="E11" s="517" t="s">
        <v>477</v>
      </c>
      <c r="F11" s="232" t="s">
        <v>478</v>
      </c>
      <c r="G11" s="523"/>
      <c r="H11" s="517"/>
      <c r="I11" s="232" t="s">
        <v>479</v>
      </c>
      <c r="J11" s="523" t="s">
        <v>480</v>
      </c>
      <c r="K11" s="232"/>
    </row>
    <row r="12" spans="1:11">
      <c r="B12" s="518"/>
      <c r="C12" s="518"/>
      <c r="D12" s="518"/>
      <c r="E12" s="518"/>
      <c r="F12" s="234" t="s">
        <v>481</v>
      </c>
      <c r="G12" s="524"/>
      <c r="H12" s="518"/>
      <c r="I12" s="234" t="s">
        <v>482</v>
      </c>
      <c r="J12" s="524"/>
      <c r="K12" s="234"/>
    </row>
    <row r="13" spans="1:11" ht="51.95" customHeight="1">
      <c r="B13" s="519" t="s">
        <v>488</v>
      </c>
      <c r="C13" s="519" t="s">
        <v>489</v>
      </c>
      <c r="D13" s="519" t="s">
        <v>490</v>
      </c>
      <c r="E13" s="519" t="s">
        <v>483</v>
      </c>
      <c r="F13" s="235" t="s">
        <v>484</v>
      </c>
      <c r="G13" s="521" t="s">
        <v>536</v>
      </c>
      <c r="H13" s="235" t="s">
        <v>485</v>
      </c>
      <c r="I13" s="235" t="s">
        <v>486</v>
      </c>
      <c r="J13" s="521" t="s">
        <v>487</v>
      </c>
      <c r="K13" s="235" t="s">
        <v>1121</v>
      </c>
    </row>
    <row r="14" spans="1:11" ht="22.5">
      <c r="B14" s="520"/>
      <c r="C14" s="520"/>
      <c r="D14" s="520"/>
      <c r="E14" s="520"/>
      <c r="F14" s="236" t="s">
        <v>491</v>
      </c>
      <c r="G14" s="522"/>
      <c r="H14" s="236" t="s">
        <v>492</v>
      </c>
      <c r="I14" s="236" t="s">
        <v>493</v>
      </c>
      <c r="J14" s="522"/>
      <c r="K14" s="236"/>
    </row>
    <row r="15" spans="1:11" ht="34.5" customHeight="1">
      <c r="B15" s="517" t="s">
        <v>495</v>
      </c>
      <c r="C15" s="517" t="s">
        <v>496</v>
      </c>
      <c r="D15" s="517" t="s">
        <v>497</v>
      </c>
      <c r="E15" s="517"/>
      <c r="F15" s="517"/>
      <c r="G15" s="523" t="s">
        <v>537</v>
      </c>
      <c r="H15" s="232" t="s">
        <v>494</v>
      </c>
      <c r="I15" s="517"/>
      <c r="J15" s="523"/>
      <c r="K15" s="231" t="s">
        <v>1122</v>
      </c>
    </row>
    <row r="16" spans="1:11" ht="26.45" customHeight="1">
      <c r="B16" s="518"/>
      <c r="C16" s="518"/>
      <c r="D16" s="518"/>
      <c r="E16" s="518"/>
      <c r="F16" s="518"/>
      <c r="G16" s="524"/>
      <c r="H16" s="234" t="s">
        <v>498</v>
      </c>
      <c r="I16" s="518"/>
      <c r="J16" s="524"/>
      <c r="K16" s="233" t="s">
        <v>1123</v>
      </c>
    </row>
    <row r="17" spans="2:11" ht="34.5" customHeight="1">
      <c r="B17" s="519"/>
      <c r="C17" s="519"/>
      <c r="D17" s="519"/>
      <c r="E17" s="519" t="s">
        <v>499</v>
      </c>
      <c r="F17" s="235" t="s">
        <v>500</v>
      </c>
      <c r="G17" s="521" t="s">
        <v>538</v>
      </c>
      <c r="H17" s="235" t="s">
        <v>501</v>
      </c>
      <c r="I17" s="235" t="s">
        <v>502</v>
      </c>
      <c r="J17" s="521" t="s">
        <v>503</v>
      </c>
      <c r="K17" s="235"/>
    </row>
    <row r="18" spans="2:11">
      <c r="B18" s="520"/>
      <c r="C18" s="520"/>
      <c r="D18" s="520"/>
      <c r="E18" s="520"/>
      <c r="F18" s="236" t="s">
        <v>504</v>
      </c>
      <c r="G18" s="522"/>
      <c r="H18" s="236" t="s">
        <v>505</v>
      </c>
      <c r="I18" s="236" t="s">
        <v>506</v>
      </c>
      <c r="J18" s="522"/>
      <c r="K18" s="236"/>
    </row>
    <row r="19" spans="2:11" ht="34.5" customHeight="1">
      <c r="B19" s="517" t="s">
        <v>512</v>
      </c>
      <c r="C19" s="517" t="s">
        <v>513</v>
      </c>
      <c r="D19" s="517" t="s">
        <v>514</v>
      </c>
      <c r="E19" s="517" t="s">
        <v>507</v>
      </c>
      <c r="F19" s="232" t="s">
        <v>508</v>
      </c>
      <c r="G19" s="523" t="s">
        <v>539</v>
      </c>
      <c r="H19" s="517" t="s">
        <v>509</v>
      </c>
      <c r="I19" s="232" t="s">
        <v>510</v>
      </c>
      <c r="J19" s="523" t="s">
        <v>511</v>
      </c>
      <c r="K19" s="232"/>
    </row>
    <row r="20" spans="2:11" ht="45">
      <c r="B20" s="518"/>
      <c r="C20" s="518"/>
      <c r="D20" s="518"/>
      <c r="E20" s="518"/>
      <c r="F20" s="234" t="s">
        <v>504</v>
      </c>
      <c r="G20" s="524"/>
      <c r="H20" s="518"/>
      <c r="I20" s="234" t="s">
        <v>506</v>
      </c>
      <c r="J20" s="524"/>
      <c r="K20" s="232" t="s">
        <v>1124</v>
      </c>
    </row>
    <row r="21" spans="2:11" ht="33.950000000000003" customHeight="1">
      <c r="B21" s="519" t="s">
        <v>521</v>
      </c>
      <c r="C21" s="519"/>
      <c r="D21" s="519"/>
      <c r="E21" s="519" t="s">
        <v>516</v>
      </c>
      <c r="F21" s="235" t="s">
        <v>517</v>
      </c>
      <c r="G21" s="521" t="s">
        <v>540</v>
      </c>
      <c r="H21" s="235" t="s">
        <v>518</v>
      </c>
      <c r="I21" s="235" t="s">
        <v>519</v>
      </c>
      <c r="J21" s="521" t="s">
        <v>520</v>
      </c>
      <c r="K21" s="235" t="s">
        <v>680</v>
      </c>
    </row>
    <row r="22" spans="2:11">
      <c r="B22" s="520"/>
      <c r="C22" s="520"/>
      <c r="D22" s="520"/>
      <c r="E22" s="520"/>
      <c r="F22" s="236" t="s">
        <v>522</v>
      </c>
      <c r="G22" s="522"/>
      <c r="H22" s="236" t="s">
        <v>523</v>
      </c>
      <c r="I22" s="236" t="s">
        <v>524</v>
      </c>
      <c r="J22" s="522"/>
      <c r="K22" s="236" t="s">
        <v>681</v>
      </c>
    </row>
    <row r="23" spans="2:11" ht="23.1" customHeight="1">
      <c r="B23" s="517" t="s">
        <v>529</v>
      </c>
      <c r="C23" s="517" t="s">
        <v>530</v>
      </c>
      <c r="D23" s="517" t="s">
        <v>531</v>
      </c>
      <c r="E23" s="517" t="s">
        <v>525</v>
      </c>
      <c r="F23" s="232" t="s">
        <v>526</v>
      </c>
      <c r="G23" s="517"/>
      <c r="H23" s="517"/>
      <c r="I23" s="232" t="s">
        <v>527</v>
      </c>
      <c r="J23" s="517" t="s">
        <v>528</v>
      </c>
      <c r="K23" s="232"/>
    </row>
    <row r="24" spans="2:11">
      <c r="B24" s="518"/>
      <c r="C24" s="518"/>
      <c r="D24" s="518"/>
      <c r="E24" s="518"/>
      <c r="F24" s="234" t="s">
        <v>532</v>
      </c>
      <c r="G24" s="518"/>
      <c r="H24" s="518"/>
      <c r="I24" s="234" t="s">
        <v>533</v>
      </c>
      <c r="J24" s="518"/>
      <c r="K24" s="234"/>
    </row>
    <row r="25" spans="2:11">
      <c r="B25" s="227"/>
      <c r="C25" s="227"/>
      <c r="D25" s="227"/>
      <c r="E25" s="227"/>
      <c r="F25" s="227"/>
      <c r="G25" s="227"/>
      <c r="H25" s="227"/>
      <c r="I25" s="227"/>
      <c r="J25" s="227"/>
      <c r="K25" s="227"/>
    </row>
  </sheetData>
  <mergeCells count="60">
    <mergeCell ref="A1:C1"/>
    <mergeCell ref="E7:E8"/>
    <mergeCell ref="G7:G8"/>
    <mergeCell ref="J7:J8"/>
    <mergeCell ref="B7:B8"/>
    <mergeCell ref="C7:C8"/>
    <mergeCell ref="D7:D8"/>
    <mergeCell ref="E9:E10"/>
    <mergeCell ref="G9:G10"/>
    <mergeCell ref="J9:J10"/>
    <mergeCell ref="B9:B10"/>
    <mergeCell ref="C9:C10"/>
    <mergeCell ref="D9:D10"/>
    <mergeCell ref="D11:D12"/>
    <mergeCell ref="E13:E14"/>
    <mergeCell ref="G13:G14"/>
    <mergeCell ref="J13:J14"/>
    <mergeCell ref="B13:B14"/>
    <mergeCell ref="C13:C14"/>
    <mergeCell ref="D13:D14"/>
    <mergeCell ref="E11:E12"/>
    <mergeCell ref="G11:G12"/>
    <mergeCell ref="H11:H12"/>
    <mergeCell ref="J11:J12"/>
    <mergeCell ref="B11:B12"/>
    <mergeCell ref="C11:C12"/>
    <mergeCell ref="G15:G16"/>
    <mergeCell ref="I15:I16"/>
    <mergeCell ref="J15:J16"/>
    <mergeCell ref="B17:B18"/>
    <mergeCell ref="C17:C18"/>
    <mergeCell ref="D17:D18"/>
    <mergeCell ref="E15:E16"/>
    <mergeCell ref="F15:F16"/>
    <mergeCell ref="B15:B16"/>
    <mergeCell ref="C15:C16"/>
    <mergeCell ref="D15:D16"/>
    <mergeCell ref="E17:E18"/>
    <mergeCell ref="H19:H20"/>
    <mergeCell ref="J19:J20"/>
    <mergeCell ref="B19:B20"/>
    <mergeCell ref="C19:C20"/>
    <mergeCell ref="G17:G18"/>
    <mergeCell ref="J17:J18"/>
    <mergeCell ref="H23:H24"/>
    <mergeCell ref="J23:J24"/>
    <mergeCell ref="B23:B24"/>
    <mergeCell ref="C23:C24"/>
    <mergeCell ref="D19:D20"/>
    <mergeCell ref="E21:E22"/>
    <mergeCell ref="G21:G22"/>
    <mergeCell ref="D23:D24"/>
    <mergeCell ref="E23:E24"/>
    <mergeCell ref="G23:G24"/>
    <mergeCell ref="J21:J22"/>
    <mergeCell ref="B21:B22"/>
    <mergeCell ref="C21:C22"/>
    <mergeCell ref="D21:D22"/>
    <mergeCell ref="E19:E20"/>
    <mergeCell ref="G19:G20"/>
  </mergeCells>
  <hyperlinks>
    <hyperlink ref="A1" location="Dashboard!A1" display="Return to dashboard" xr:uid="{873BF8DA-EB8D-4436-A5D8-828DEBA2B2F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D0CDC-1252-4C06-9CB0-4BA5782E6749}">
  <sheetPr codeName="Sheet7">
    <tabColor theme="9" tint="0.79998168889431442"/>
  </sheetPr>
  <dimension ref="A1"/>
  <sheetViews>
    <sheetView workbookViewId="0"/>
  </sheetViews>
  <sheetFormatPr defaultRowHeight="15"/>
  <cols>
    <col min="1" max="1" width="17.5703125" customWidth="1"/>
  </cols>
  <sheetData>
    <row r="1" spans="1:1">
      <c r="A1" s="84" t="s">
        <v>280</v>
      </c>
    </row>
  </sheetData>
  <hyperlinks>
    <hyperlink ref="A1" location="Dashboard!A1" display="Return to dashboard" xr:uid="{09D64F05-8D04-4C89-84EB-181C3151A94C}"/>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vt:i4>
      </vt:variant>
    </vt:vector>
  </HeadingPairs>
  <TitlesOfParts>
    <vt:vector size="39" baseType="lpstr">
      <vt:lpstr>Cover page</vt:lpstr>
      <vt:lpstr>Title</vt:lpstr>
      <vt:lpstr>Dashboard</vt:lpstr>
      <vt:lpstr>WorkedExample</vt:lpstr>
      <vt:lpstr>PresetInputs</vt:lpstr>
      <vt:lpstr>pMenus</vt:lpstr>
      <vt:lpstr>pLanekmVKT</vt:lpstr>
      <vt:lpstr>pONF</vt:lpstr>
      <vt:lpstr>Calculations</vt:lpstr>
      <vt:lpstr>cLanekmElasticity</vt:lpstr>
      <vt:lpstr>cGC</vt:lpstr>
      <vt:lpstr>cConvergenceC1</vt:lpstr>
      <vt:lpstr>cConvergenceC2</vt:lpstr>
      <vt:lpstr>cVolDelay</vt:lpstr>
      <vt:lpstr>Assumptions</vt:lpstr>
      <vt:lpstr>aLanekmElas</vt:lpstr>
      <vt:lpstr>aMBCMtables</vt:lpstr>
      <vt:lpstr>aCASTCI</vt:lpstr>
      <vt:lpstr>Notes</vt:lpstr>
      <vt:lpstr>nGlossary</vt:lpstr>
      <vt:lpstr>nMethods</vt:lpstr>
      <vt:lpstr>nMethod1</vt:lpstr>
      <vt:lpstr>nMethod2</vt:lpstr>
      <vt:lpstr>nMethod3</vt:lpstr>
      <vt:lpstr>nRegion</vt:lpstr>
      <vt:lpstr>nAdmin</vt:lpstr>
      <vt:lpstr>nONF</vt:lpstr>
      <vt:lpstr>nGTC</vt:lpstr>
      <vt:lpstr>nLanes</vt:lpstr>
      <vt:lpstr>nWithincity</vt:lpstr>
      <vt:lpstr>nDistance</vt:lpstr>
      <vt:lpstr>nTolls</vt:lpstr>
      <vt:lpstr>nPT</vt:lpstr>
      <vt:lpstr>nLanduse</vt:lpstr>
      <vt:lpstr>nShort</vt:lpstr>
      <vt:lpstr>nOverride</vt:lpstr>
      <vt:lpstr>nDiverted</vt:lpstr>
      <vt:lpstr>Dashboard!Print_Area</vt:lpstr>
      <vt:lpstr>WorkedExample!Print_Area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2024-04-16T02:33:33Z</dcterms:created>
  <dcterms:modified xsi:type="dcterms:W3CDTF">2024-04-16T02:33:42Z</dcterms:modified>
</cp:coreProperties>
</file>