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3185" windowHeight="3990"/>
  </bookViews>
  <sheets>
    <sheet name="Cover page" sheetId="7" r:id="rId1"/>
    <sheet name="Stops" sheetId="6" r:id="rId2"/>
    <sheet name="Priority" sheetId="4" r:id="rId3"/>
    <sheet name="Notes" sheetId="2" r:id="rId4"/>
  </sheets>
  <definedNames>
    <definedName name="_xlnm.Print_Area" localSheetId="3">Notes!$A$11:$N$77</definedName>
    <definedName name="_xlnm.Print_Area" localSheetId="2">Priority!$A$1:$F$161</definedName>
    <definedName name="_xlnm.Print_Area" localSheetId="1">Stops!#REF!</definedName>
  </definedNames>
  <calcPr calcId="145621"/>
</workbook>
</file>

<file path=xl/calcChain.xml><?xml version="1.0" encoding="utf-8"?>
<calcChain xmlns="http://schemas.openxmlformats.org/spreadsheetml/2006/main">
  <c r="M88" i="4" l="1"/>
  <c r="M86" i="4"/>
  <c r="M84" i="4"/>
  <c r="L84" i="4"/>
  <c r="M73" i="4"/>
  <c r="M76" i="4" s="1"/>
  <c r="M77" i="4" s="1"/>
  <c r="L73" i="4"/>
  <c r="L76" i="4" s="1"/>
  <c r="L77" i="4" s="1"/>
  <c r="M105" i="4" s="1"/>
  <c r="M64" i="4"/>
  <c r="L64" i="4"/>
  <c r="L57" i="4"/>
  <c r="M56" i="4"/>
  <c r="M55" i="4"/>
  <c r="M54" i="4"/>
  <c r="M53" i="4"/>
  <c r="M57" i="4" s="1"/>
  <c r="M45" i="4"/>
  <c r="L45" i="4"/>
  <c r="L46" i="4" s="1"/>
  <c r="M43" i="4"/>
  <c r="L43" i="4"/>
  <c r="M42" i="4"/>
  <c r="L42" i="4"/>
  <c r="L81" i="4" s="1"/>
  <c r="M30" i="4"/>
  <c r="L30" i="4"/>
  <c r="M25" i="4"/>
  <c r="M20" i="4"/>
  <c r="M26" i="4" s="1"/>
  <c r="L20" i="4"/>
  <c r="L26" i="4" s="1"/>
  <c r="M11" i="4"/>
  <c r="M59" i="4" s="1"/>
  <c r="L11" i="4"/>
  <c r="L59" i="4" s="1"/>
  <c r="M10" i="4"/>
  <c r="L10" i="4"/>
  <c r="L86" i="4" s="1"/>
  <c r="L6" i="4"/>
  <c r="M5" i="4"/>
  <c r="M6" i="4" s="1"/>
  <c r="M4" i="4"/>
  <c r="M108" i="6"/>
  <c r="M105" i="6"/>
  <c r="M102" i="6"/>
  <c r="L102" i="6"/>
  <c r="L105" i="6" s="1"/>
  <c r="M101" i="6"/>
  <c r="L101" i="6"/>
  <c r="M100" i="6"/>
  <c r="M106" i="6" s="1"/>
  <c r="L100" i="6"/>
  <c r="L106" i="6" s="1"/>
  <c r="L88" i="6"/>
  <c r="L89" i="6" s="1"/>
  <c r="M125" i="6" s="1"/>
  <c r="L85" i="6"/>
  <c r="M74" i="6"/>
  <c r="L74" i="6"/>
  <c r="M44" i="6"/>
  <c r="M43" i="6"/>
  <c r="M42" i="6"/>
  <c r="M41" i="6"/>
  <c r="M40" i="6"/>
  <c r="M39" i="6"/>
  <c r="M30" i="6"/>
  <c r="L30" i="6"/>
  <c r="M25" i="6"/>
  <c r="L25" i="6"/>
  <c r="M19" i="6"/>
  <c r="M20" i="6" s="1"/>
  <c r="L19" i="6"/>
  <c r="L20" i="6" s="1"/>
  <c r="M16" i="6"/>
  <c r="M93" i="6" s="1"/>
  <c r="L16" i="6"/>
  <c r="L93" i="6" s="1"/>
  <c r="M15" i="6"/>
  <c r="M59" i="6" s="1"/>
  <c r="L15" i="6"/>
  <c r="L59" i="6" s="1"/>
  <c r="M12" i="6"/>
  <c r="L12" i="6"/>
  <c r="I108" i="6"/>
  <c r="I105" i="6"/>
  <c r="I102" i="6"/>
  <c r="H102" i="6"/>
  <c r="H105" i="6" s="1"/>
  <c r="I101" i="6"/>
  <c r="H101" i="6"/>
  <c r="I100" i="6"/>
  <c r="I106" i="6" s="1"/>
  <c r="H100" i="6"/>
  <c r="H106" i="6" s="1"/>
  <c r="H88" i="6"/>
  <c r="H89" i="6" s="1"/>
  <c r="I125" i="6" s="1"/>
  <c r="H85" i="6"/>
  <c r="I74" i="6"/>
  <c r="H74" i="6"/>
  <c r="I44" i="6"/>
  <c r="I43" i="6"/>
  <c r="I42" i="6"/>
  <c r="I41" i="6"/>
  <c r="I40" i="6"/>
  <c r="I39" i="6"/>
  <c r="I30" i="6"/>
  <c r="H30" i="6"/>
  <c r="I25" i="6"/>
  <c r="H25" i="6"/>
  <c r="I19" i="6"/>
  <c r="I20" i="6" s="1"/>
  <c r="H19" i="6"/>
  <c r="H20" i="6" s="1"/>
  <c r="I16" i="6"/>
  <c r="I93" i="6" s="1"/>
  <c r="H16" i="6"/>
  <c r="H93" i="6" s="1"/>
  <c r="I15" i="6"/>
  <c r="I59" i="6" s="1"/>
  <c r="H15" i="6"/>
  <c r="H59" i="6" s="1"/>
  <c r="I12" i="6"/>
  <c r="H12" i="6"/>
  <c r="E4" i="4"/>
  <c r="C15" i="2"/>
  <c r="L46" i="6" l="1"/>
  <c r="M46" i="6" s="1"/>
  <c r="L36" i="4"/>
  <c r="M36" i="4"/>
  <c r="L82" i="4"/>
  <c r="L58" i="4"/>
  <c r="L85" i="4"/>
  <c r="L60" i="4"/>
  <c r="L61" i="4" s="1"/>
  <c r="L62" i="4" s="1"/>
  <c r="L65" i="4" s="1"/>
  <c r="L66" i="4" s="1"/>
  <c r="L67" i="4" s="1"/>
  <c r="L68" i="4" s="1"/>
  <c r="M46" i="4"/>
  <c r="M60" i="4"/>
  <c r="M81" i="4"/>
  <c r="L96" i="6"/>
  <c r="L95" i="6"/>
  <c r="L97" i="6" s="1"/>
  <c r="M96" i="6"/>
  <c r="M95" i="6"/>
  <c r="M97" i="6" s="1"/>
  <c r="L45" i="6"/>
  <c r="M103" i="6"/>
  <c r="H46" i="6"/>
  <c r="I46" i="6" s="1"/>
  <c r="L103" i="6"/>
  <c r="H96" i="6"/>
  <c r="H95" i="6"/>
  <c r="H97" i="6" s="1"/>
  <c r="I96" i="6"/>
  <c r="I95" i="6"/>
  <c r="I97" i="6" s="1"/>
  <c r="H45" i="6"/>
  <c r="I103" i="6"/>
  <c r="H103" i="6"/>
  <c r="D12" i="6"/>
  <c r="D10" i="4"/>
  <c r="D30" i="4" s="1"/>
  <c r="C90" i="2"/>
  <c r="D90" i="2"/>
  <c r="E90" i="2"/>
  <c r="F90" i="2"/>
  <c r="H90" i="2"/>
  <c r="G90" i="2"/>
  <c r="I88" i="4"/>
  <c r="I84" i="4"/>
  <c r="H84" i="4"/>
  <c r="I73" i="4"/>
  <c r="I76" i="4" s="1"/>
  <c r="I77" i="4" s="1"/>
  <c r="H73" i="4"/>
  <c r="H76" i="4" s="1"/>
  <c r="H77" i="4" s="1"/>
  <c r="I64" i="4"/>
  <c r="H64" i="4"/>
  <c r="H57" i="4"/>
  <c r="I56" i="4"/>
  <c r="I55" i="4"/>
  <c r="I54" i="4"/>
  <c r="I53" i="4"/>
  <c r="I43" i="4"/>
  <c r="I45" i="4" s="1"/>
  <c r="H43" i="4"/>
  <c r="H45" i="4" s="1"/>
  <c r="I42" i="4"/>
  <c r="H42" i="4"/>
  <c r="H81" i="4" s="1"/>
  <c r="H82" i="4" s="1"/>
  <c r="I25" i="4"/>
  <c r="I20" i="4"/>
  <c r="H20" i="4"/>
  <c r="H26" i="4" s="1"/>
  <c r="I11" i="4"/>
  <c r="I59" i="4" s="1"/>
  <c r="H11" i="4"/>
  <c r="H59" i="4" s="1"/>
  <c r="H10" i="4"/>
  <c r="H86" i="4" s="1"/>
  <c r="H6" i="4"/>
  <c r="I5" i="4"/>
  <c r="I4" i="4"/>
  <c r="E84" i="4"/>
  <c r="D84" i="4"/>
  <c r="D57" i="4"/>
  <c r="E100" i="6"/>
  <c r="E102" i="6"/>
  <c r="E105" i="6" s="1"/>
  <c r="E101" i="6"/>
  <c r="E108" i="6"/>
  <c r="D101" i="6"/>
  <c r="D102" i="6"/>
  <c r="M82" i="4" l="1"/>
  <c r="M58" i="4"/>
  <c r="M61" i="4" s="1"/>
  <c r="M62" i="4" s="1"/>
  <c r="M65" i="4" s="1"/>
  <c r="M66" i="4" s="1"/>
  <c r="M67" i="4" s="1"/>
  <c r="M68" i="4" s="1"/>
  <c r="M104" i="4" s="1"/>
  <c r="M85" i="4"/>
  <c r="L90" i="4"/>
  <c r="L98" i="6"/>
  <c r="M45" i="6"/>
  <c r="L47" i="6"/>
  <c r="M47" i="6" s="1"/>
  <c r="I45" i="6"/>
  <c r="H47" i="6"/>
  <c r="I47" i="6" s="1"/>
  <c r="H98" i="6"/>
  <c r="I26" i="4"/>
  <c r="I6" i="4"/>
  <c r="H30" i="4"/>
  <c r="I57" i="4"/>
  <c r="I10" i="4"/>
  <c r="H46" i="4"/>
  <c r="H85" i="4" s="1"/>
  <c r="I60" i="4"/>
  <c r="I105" i="4"/>
  <c r="H60" i="4"/>
  <c r="I81" i="4"/>
  <c r="E103" i="6"/>
  <c r="D103" i="6"/>
  <c r="D105" i="6"/>
  <c r="M90" i="4" l="1"/>
  <c r="M48" i="6"/>
  <c r="L48" i="6"/>
  <c r="I48" i="6"/>
  <c r="H48" i="6"/>
  <c r="I46" i="4"/>
  <c r="I58" i="4"/>
  <c r="I85" i="4"/>
  <c r="I90" i="4" s="1"/>
  <c r="H58" i="4"/>
  <c r="H61" i="4"/>
  <c r="H62" i="4" s="1"/>
  <c r="H65" i="4" s="1"/>
  <c r="H66" i="4" s="1"/>
  <c r="H36" i="4"/>
  <c r="I61" i="4"/>
  <c r="I62" i="4" s="1"/>
  <c r="I65" i="4" s="1"/>
  <c r="I66" i="4" s="1"/>
  <c r="I86" i="4"/>
  <c r="I30" i="4"/>
  <c r="H90" i="4"/>
  <c r="I82" i="4"/>
  <c r="M50" i="6" l="1"/>
  <c r="M51" i="6" s="1"/>
  <c r="L50" i="6"/>
  <c r="L51" i="6" s="1"/>
  <c r="I50" i="6"/>
  <c r="I51" i="6" s="1"/>
  <c r="H50" i="6"/>
  <c r="H51" i="6" s="1"/>
  <c r="I36" i="4"/>
  <c r="H121" i="6" l="1"/>
  <c r="L121" i="6"/>
  <c r="E5" i="4"/>
  <c r="E73" i="4"/>
  <c r="E76" i="4" s="1"/>
  <c r="D73" i="4"/>
  <c r="D76" i="4" s="1"/>
  <c r="D42" i="4"/>
  <c r="D81" i="4" s="1"/>
  <c r="D82" i="4" s="1"/>
  <c r="E42" i="4"/>
  <c r="D43" i="4"/>
  <c r="D45" i="4" s="1"/>
  <c r="E43" i="4"/>
  <c r="E45" i="4" s="1"/>
  <c r="E64" i="4"/>
  <c r="E55" i="4"/>
  <c r="E54" i="4"/>
  <c r="E53" i="4"/>
  <c r="E56" i="4"/>
  <c r="E25" i="4"/>
  <c r="E20" i="4"/>
  <c r="D20" i="4"/>
  <c r="E57" i="4" l="1"/>
  <c r="E77" i="4"/>
  <c r="D77" i="4"/>
  <c r="E26" i="4"/>
  <c r="D26" i="4"/>
  <c r="E105" i="4" l="1"/>
  <c r="E88" i="4" l="1"/>
  <c r="D100" i="6"/>
  <c r="E44" i="6"/>
  <c r="E43" i="6"/>
  <c r="E42" i="6"/>
  <c r="E41" i="6"/>
  <c r="E40" i="6"/>
  <c r="E39" i="6"/>
  <c r="C31" i="2"/>
  <c r="C29" i="2"/>
  <c r="C30" i="2"/>
  <c r="M104" i="6" l="1"/>
  <c r="M87" i="4"/>
  <c r="M89" i="4" s="1"/>
  <c r="M91" i="4" s="1"/>
  <c r="L83" i="4"/>
  <c r="L87" i="4"/>
  <c r="L89" i="4" s="1"/>
  <c r="L91" i="4" s="1"/>
  <c r="L92" i="4" s="1"/>
  <c r="I104" i="6"/>
  <c r="M83" i="4"/>
  <c r="I99" i="6"/>
  <c r="M99" i="6"/>
  <c r="L104" i="6"/>
  <c r="L99" i="6"/>
  <c r="H99" i="6"/>
  <c r="H104" i="6"/>
  <c r="H87" i="4"/>
  <c r="H89" i="4" s="1"/>
  <c r="H91" i="4" s="1"/>
  <c r="H83" i="4"/>
  <c r="I83" i="4"/>
  <c r="I87" i="4"/>
  <c r="I89" i="4" s="1"/>
  <c r="I91" i="4" s="1"/>
  <c r="I92" i="4" s="1"/>
  <c r="E104" i="6"/>
  <c r="E106" i="6" s="1"/>
  <c r="D104" i="6"/>
  <c r="D106" i="6" s="1"/>
  <c r="D46" i="6"/>
  <c r="E46" i="6" s="1"/>
  <c r="D45" i="6"/>
  <c r="M92" i="4" l="1"/>
  <c r="M106" i="4" s="1"/>
  <c r="M109" i="4" s="1"/>
  <c r="H92" i="4"/>
  <c r="I106" i="4" s="1"/>
  <c r="I109" i="4" s="1"/>
  <c r="E45" i="6"/>
  <c r="D47" i="6"/>
  <c r="E47" i="6" s="1"/>
  <c r="D48" i="6" l="1"/>
  <c r="E48" i="6"/>
  <c r="D50" i="6" l="1"/>
  <c r="D51" i="6" s="1"/>
  <c r="E50" i="6"/>
  <c r="E51" i="6" s="1"/>
  <c r="D85" i="6"/>
  <c r="D88" i="6" s="1"/>
  <c r="E74" i="6"/>
  <c r="D74" i="6"/>
  <c r="E30" i="6"/>
  <c r="D30" i="6"/>
  <c r="E25" i="6"/>
  <c r="D25" i="6"/>
  <c r="E16" i="6"/>
  <c r="E93" i="6" s="1"/>
  <c r="E95" i="6" s="1"/>
  <c r="D16" i="6"/>
  <c r="D93" i="6" s="1"/>
  <c r="D95" i="6" s="1"/>
  <c r="E15" i="6"/>
  <c r="E59" i="6" s="1"/>
  <c r="D15" i="6"/>
  <c r="D59" i="6" s="1"/>
  <c r="E12" i="6"/>
  <c r="D89" i="6" l="1"/>
  <c r="E125" i="6" s="1"/>
  <c r="D19" i="6"/>
  <c r="D20" i="6" s="1"/>
  <c r="D97" i="6"/>
  <c r="D96" i="6"/>
  <c r="E96" i="6"/>
  <c r="E97" i="6"/>
  <c r="E19" i="6"/>
  <c r="E20" i="6" s="1"/>
  <c r="D98" i="6" l="1"/>
  <c r="C19" i="2" l="1"/>
  <c r="M31" i="6" l="1"/>
  <c r="I31" i="6"/>
  <c r="I26" i="6"/>
  <c r="I27" i="6" s="1"/>
  <c r="M26" i="6"/>
  <c r="M27" i="6" s="1"/>
  <c r="I21" i="6"/>
  <c r="M21" i="6"/>
  <c r="M49" i="6"/>
  <c r="I49" i="6"/>
  <c r="E49" i="6"/>
  <c r="E31" i="6"/>
  <c r="E26" i="6"/>
  <c r="E27" i="6" s="1"/>
  <c r="E21" i="6"/>
  <c r="E11" i="4"/>
  <c r="D11" i="4"/>
  <c r="D59" i="4" s="1"/>
  <c r="I60" i="6" l="1"/>
  <c r="I62" i="6" s="1"/>
  <c r="M60" i="6"/>
  <c r="M62" i="6" s="1"/>
  <c r="M22" i="6"/>
  <c r="I32" i="6"/>
  <c r="H118" i="6"/>
  <c r="I22" i="6"/>
  <c r="M32" i="6"/>
  <c r="L118" i="6"/>
  <c r="E32" i="6"/>
  <c r="D118" i="6" s="1"/>
  <c r="E60" i="6"/>
  <c r="E62" i="6" s="1"/>
  <c r="E59" i="4"/>
  <c r="E60" i="4" s="1"/>
  <c r="E22" i="6"/>
  <c r="D64" i="4"/>
  <c r="M63" i="6" l="1"/>
  <c r="M35" i="6"/>
  <c r="I35" i="6"/>
  <c r="I63" i="6"/>
  <c r="E63" i="6"/>
  <c r="E35" i="6"/>
  <c r="D121" i="6"/>
  <c r="E10" i="4"/>
  <c r="E30" i="4" s="1"/>
  <c r="D6" i="4"/>
  <c r="I36" i="6" l="1"/>
  <c r="I37" i="6" s="1"/>
  <c r="I53" i="6"/>
  <c r="I109" i="6"/>
  <c r="I107" i="6"/>
  <c r="I110" i="6" s="1"/>
  <c r="I111" i="6" s="1"/>
  <c r="I112" i="6" s="1"/>
  <c r="M36" i="6"/>
  <c r="M37" i="6" s="1"/>
  <c r="M53" i="6"/>
  <c r="M107" i="6"/>
  <c r="M109" i="6"/>
  <c r="E36" i="6"/>
  <c r="E37" i="6" s="1"/>
  <c r="E38" i="6" s="1"/>
  <c r="E56" i="6" s="1"/>
  <c r="E53" i="6"/>
  <c r="D46" i="4"/>
  <c r="E107" i="6"/>
  <c r="D36" i="4"/>
  <c r="E36" i="4"/>
  <c r="E86" i="4"/>
  <c r="D86" i="4"/>
  <c r="D87" i="4" s="1"/>
  <c r="M110" i="6" l="1"/>
  <c r="M111" i="6" s="1"/>
  <c r="M112" i="6" s="1"/>
  <c r="M38" i="6"/>
  <c r="M56" i="6" s="1"/>
  <c r="M55" i="6"/>
  <c r="M54" i="6" s="1"/>
  <c r="M64" i="6" s="1"/>
  <c r="M65" i="6" s="1"/>
  <c r="M66" i="6" s="1"/>
  <c r="I38" i="6"/>
  <c r="I56" i="6" s="1"/>
  <c r="I55" i="6"/>
  <c r="I54" i="6" s="1"/>
  <c r="I64" i="6" s="1"/>
  <c r="I65" i="6" s="1"/>
  <c r="I66" i="6" s="1"/>
  <c r="E55" i="6"/>
  <c r="E54" i="6" s="1"/>
  <c r="E109" i="6"/>
  <c r="E110" i="6" s="1"/>
  <c r="E111" i="6" s="1"/>
  <c r="D58" i="4"/>
  <c r="D83" i="4"/>
  <c r="E64" i="6" l="1"/>
  <c r="E65" i="6" s="1"/>
  <c r="E66" i="6" s="1"/>
  <c r="D85" i="4"/>
  <c r="D90" i="4" l="1"/>
  <c r="D89" i="4"/>
  <c r="E81" i="4"/>
  <c r="E82" i="4" l="1"/>
  <c r="E83" i="4" s="1"/>
  <c r="E6" i="4"/>
  <c r="E46" i="4" l="1"/>
  <c r="E87" i="4"/>
  <c r="C18" i="2"/>
  <c r="L31" i="6" l="1"/>
  <c r="L32" i="6" s="1"/>
  <c r="H31" i="6"/>
  <c r="H32" i="6" s="1"/>
  <c r="M31" i="4"/>
  <c r="M32" i="4" s="1"/>
  <c r="M33" i="4" s="1"/>
  <c r="M21" i="4"/>
  <c r="H26" i="6"/>
  <c r="H27" i="6" s="1"/>
  <c r="H117" i="6" s="1"/>
  <c r="L31" i="4"/>
  <c r="L32" i="4" s="1"/>
  <c r="L33" i="4" s="1"/>
  <c r="L100" i="4" s="1"/>
  <c r="M27" i="4"/>
  <c r="M28" i="4" s="1"/>
  <c r="L26" i="6"/>
  <c r="L27" i="6" s="1"/>
  <c r="L117" i="6" s="1"/>
  <c r="L21" i="4"/>
  <c r="L21" i="6"/>
  <c r="H21" i="6"/>
  <c r="L27" i="4"/>
  <c r="L28" i="4" s="1"/>
  <c r="L99" i="4" s="1"/>
  <c r="L49" i="6"/>
  <c r="H49" i="6"/>
  <c r="D31" i="4"/>
  <c r="D32" i="4" s="1"/>
  <c r="D33" i="4" s="1"/>
  <c r="H31" i="4"/>
  <c r="H32" i="4" s="1"/>
  <c r="H33" i="4" s="1"/>
  <c r="I31" i="4"/>
  <c r="I32" i="4" s="1"/>
  <c r="I33" i="4" s="1"/>
  <c r="E31" i="4"/>
  <c r="E32" i="4" s="1"/>
  <c r="E33" i="4" s="1"/>
  <c r="I21" i="4"/>
  <c r="H21" i="4"/>
  <c r="H27" i="4"/>
  <c r="H28" i="4" s="1"/>
  <c r="I27" i="4"/>
  <c r="I28" i="4" s="1"/>
  <c r="D49" i="6"/>
  <c r="D60" i="6" s="1"/>
  <c r="D21" i="4"/>
  <c r="D22" i="4" s="1"/>
  <c r="D27" i="4"/>
  <c r="D28" i="4" s="1"/>
  <c r="E27" i="4"/>
  <c r="E28" i="4" s="1"/>
  <c r="E21" i="4"/>
  <c r="E22" i="4" s="1"/>
  <c r="D26" i="6"/>
  <c r="D27" i="6" s="1"/>
  <c r="D117" i="6" s="1"/>
  <c r="D31" i="6"/>
  <c r="D32" i="6" s="1"/>
  <c r="D21" i="6"/>
  <c r="E85" i="4"/>
  <c r="E90" i="4" s="1"/>
  <c r="E58" i="4"/>
  <c r="E61" i="4" s="1"/>
  <c r="E62" i="4" s="1"/>
  <c r="E65" i="4" s="1"/>
  <c r="D45" i="2"/>
  <c r="D48" i="2" s="1"/>
  <c r="H22" i="6" l="1"/>
  <c r="M22" i="4"/>
  <c r="M39" i="4" s="1"/>
  <c r="M38" i="4"/>
  <c r="M37" i="4" s="1"/>
  <c r="M47" i="4" s="1"/>
  <c r="M48" i="4" s="1"/>
  <c r="M49" i="4" s="1"/>
  <c r="H60" i="6"/>
  <c r="H62" i="6" s="1"/>
  <c r="L22" i="6"/>
  <c r="L60" i="6"/>
  <c r="L62" i="6" s="1"/>
  <c r="L22" i="4"/>
  <c r="L38" i="4"/>
  <c r="L37" i="4" s="1"/>
  <c r="L47" i="4" s="1"/>
  <c r="L48" i="4" s="1"/>
  <c r="L49" i="4" s="1"/>
  <c r="M103" i="4" s="1"/>
  <c r="D62" i="6"/>
  <c r="D96" i="4"/>
  <c r="H100" i="4"/>
  <c r="H99" i="4"/>
  <c r="I67" i="4"/>
  <c r="I68" i="4" s="1"/>
  <c r="H67" i="4"/>
  <c r="H68" i="4" s="1"/>
  <c r="H22" i="4"/>
  <c r="H38" i="4"/>
  <c r="H37" i="4" s="1"/>
  <c r="H47" i="4" s="1"/>
  <c r="H48" i="4" s="1"/>
  <c r="H49" i="4" s="1"/>
  <c r="I22" i="4"/>
  <c r="I39" i="4" s="1"/>
  <c r="I38" i="4"/>
  <c r="I37" i="4" s="1"/>
  <c r="I47" i="4" s="1"/>
  <c r="I48" i="4" s="1"/>
  <c r="I49" i="4" s="1"/>
  <c r="D99" i="4"/>
  <c r="D38" i="4"/>
  <c r="D37" i="4" s="1"/>
  <c r="E38" i="4"/>
  <c r="E37" i="4" s="1"/>
  <c r="D22" i="6"/>
  <c r="D116" i="6" s="1"/>
  <c r="L39" i="4" l="1"/>
  <c r="L96" i="4"/>
  <c r="M102" i="4" s="1"/>
  <c r="M108" i="4" s="1"/>
  <c r="L116" i="6"/>
  <c r="L35" i="6"/>
  <c r="L63" i="6"/>
  <c r="H63" i="6"/>
  <c r="H35" i="6"/>
  <c r="H116" i="6"/>
  <c r="D63" i="6"/>
  <c r="I103" i="4"/>
  <c r="I104" i="4"/>
  <c r="H39" i="4"/>
  <c r="H96" i="4"/>
  <c r="I102" i="4" s="1"/>
  <c r="E47" i="4"/>
  <c r="E48" i="4" s="1"/>
  <c r="D47" i="4"/>
  <c r="D48" i="4" s="1"/>
  <c r="D49" i="4" s="1"/>
  <c r="D39" i="4"/>
  <c r="D100" i="4"/>
  <c r="E102" i="4" s="1"/>
  <c r="E66" i="4"/>
  <c r="E67" i="4" s="1"/>
  <c r="E68" i="4" s="1"/>
  <c r="H36" i="6" l="1"/>
  <c r="H37" i="6" s="1"/>
  <c r="H53" i="6"/>
  <c r="H109" i="6"/>
  <c r="H107" i="6"/>
  <c r="H110" i="6" s="1"/>
  <c r="H111" i="6" s="1"/>
  <c r="H112" i="6" s="1"/>
  <c r="I126" i="6" s="1"/>
  <c r="I129" i="6" s="1"/>
  <c r="H75" i="6"/>
  <c r="H78" i="6" s="1"/>
  <c r="H79" i="6" s="1"/>
  <c r="H80" i="6" s="1"/>
  <c r="I124" i="6" s="1"/>
  <c r="L75" i="6"/>
  <c r="L78" i="6" s="1"/>
  <c r="L79" i="6" s="1"/>
  <c r="L80" i="6" s="1"/>
  <c r="M124" i="6" s="1"/>
  <c r="L109" i="6"/>
  <c r="L107" i="6"/>
  <c r="L110" i="6" s="1"/>
  <c r="L111" i="6" s="1"/>
  <c r="L112" i="6" s="1"/>
  <c r="M126" i="6" s="1"/>
  <c r="M129" i="6" s="1"/>
  <c r="M110" i="4"/>
  <c r="M111" i="4"/>
  <c r="L36" i="6"/>
  <c r="L37" i="6" s="1"/>
  <c r="L53" i="6"/>
  <c r="I108" i="4"/>
  <c r="I111" i="4" s="1"/>
  <c r="E49" i="4"/>
  <c r="E103" i="4" s="1"/>
  <c r="E39" i="4"/>
  <c r="L38" i="6" l="1"/>
  <c r="L55" i="6"/>
  <c r="L54" i="6" s="1"/>
  <c r="L64" i="6" s="1"/>
  <c r="L65" i="6" s="1"/>
  <c r="L66" i="6" s="1"/>
  <c r="M123" i="6" s="1"/>
  <c r="H38" i="6"/>
  <c r="H55" i="6"/>
  <c r="H54" i="6" s="1"/>
  <c r="H64" i="6" s="1"/>
  <c r="H65" i="6" s="1"/>
  <c r="H66" i="6" s="1"/>
  <c r="I123" i="6" s="1"/>
  <c r="I110" i="4"/>
  <c r="E99" i="6"/>
  <c r="E112" i="6" s="1"/>
  <c r="D99" i="6"/>
  <c r="D91" i="4"/>
  <c r="E89" i="4"/>
  <c r="E91" i="4" s="1"/>
  <c r="H119" i="6" l="1"/>
  <c r="I122" i="6" s="1"/>
  <c r="I128" i="6" s="1"/>
  <c r="H56" i="6"/>
  <c r="L119" i="6"/>
  <c r="M122" i="6" s="1"/>
  <c r="M128" i="6" s="1"/>
  <c r="L56" i="6"/>
  <c r="E92" i="4"/>
  <c r="D92" i="4"/>
  <c r="M130" i="6" l="1"/>
  <c r="M131" i="6"/>
  <c r="I131" i="6"/>
  <c r="I130" i="6"/>
  <c r="E106" i="4"/>
  <c r="D67" i="2"/>
  <c r="D68" i="2" l="1"/>
  <c r="D69" i="2" s="1"/>
  <c r="E109" i="4" l="1"/>
  <c r="D60" i="4" l="1"/>
  <c r="D61" i="4" s="1"/>
  <c r="D62" i="4" l="1"/>
  <c r="D65" i="4" l="1"/>
  <c r="D66" i="4" s="1"/>
  <c r="D67" i="4" l="1"/>
  <c r="D68" i="4" s="1"/>
  <c r="E104" i="4" l="1"/>
  <c r="E108" i="4" s="1"/>
  <c r="E110" i="4" l="1"/>
  <c r="E111" i="4"/>
  <c r="D35" i="6" l="1"/>
  <c r="D36" i="6" l="1"/>
  <c r="D37" i="6" s="1"/>
  <c r="D55" i="6" s="1"/>
  <c r="D53" i="6"/>
  <c r="D107" i="6"/>
  <c r="D109" i="6"/>
  <c r="D75" i="6"/>
  <c r="D78" i="6" s="1"/>
  <c r="D79" i="6" s="1"/>
  <c r="D80" i="6" s="1"/>
  <c r="E124" i="6" s="1"/>
  <c r="D38" i="6" l="1"/>
  <c r="D119" i="6" s="1"/>
  <c r="D54" i="6"/>
  <c r="D110" i="6"/>
  <c r="D111" i="6" s="1"/>
  <c r="D112" i="6" s="1"/>
  <c r="E126" i="6" s="1"/>
  <c r="E129" i="6" s="1"/>
  <c r="D64" i="6" l="1"/>
  <c r="D56" i="6"/>
  <c r="E122" i="6"/>
  <c r="D65" i="6" l="1"/>
  <c r="D66" i="6" s="1"/>
  <c r="E123" i="6" s="1"/>
  <c r="E128" i="6" s="1"/>
  <c r="E130" i="6" s="1"/>
  <c r="E131" i="6" l="1"/>
</calcChain>
</file>

<file path=xl/sharedStrings.xml><?xml version="1.0" encoding="utf-8"?>
<sst xmlns="http://schemas.openxmlformats.org/spreadsheetml/2006/main" count="870" uniqueCount="416">
  <si>
    <t>#</t>
  </si>
  <si>
    <t>Construction costs</t>
  </si>
  <si>
    <t>Planning/overheads/contingencies etc</t>
  </si>
  <si>
    <t>Total capital costs</t>
  </si>
  <si>
    <t>$000pa</t>
  </si>
  <si>
    <t>%</t>
  </si>
  <si>
    <t>mins</t>
  </si>
  <si>
    <t>Estimated elasticity (% speed v % volume)</t>
  </si>
  <si>
    <t>km</t>
  </si>
  <si>
    <t>min</t>
  </si>
  <si>
    <t>hr</t>
  </si>
  <si>
    <t>$</t>
  </si>
  <si>
    <t>Unit marginal op cost/passenger</t>
  </si>
  <si>
    <t>Increase in PT costs</t>
  </si>
  <si>
    <t>Increase in PT fares revenue</t>
  </si>
  <si>
    <t>Notes</t>
  </si>
  <si>
    <t>PT user benefits/passenger (economies of scale)</t>
  </si>
  <si>
    <t>Land value (opportunity cost)</t>
  </si>
  <si>
    <t>Increase in net PT operator costs</t>
  </si>
  <si>
    <t>Source: BAH (2004). Surface transport costs and charges study--Costing of urban public transport operations. WP Nov 2004</t>
  </si>
  <si>
    <t>where:</t>
  </si>
  <si>
    <t>b = variable wait time v headway factor ( typically around 0.3)</t>
  </si>
  <si>
    <t>h = initial headway</t>
  </si>
  <si>
    <t>VTTS = 'standard' value of ( in vehicle) time</t>
  </si>
  <si>
    <t>W = weighting on standard value for waiting time ( typically 2.0 in behavioural terms)</t>
  </si>
  <si>
    <t>E = ratio % change in service frequency: % change in patronage (' gearing ratio')</t>
  </si>
  <si>
    <t>b</t>
  </si>
  <si>
    <t>h</t>
  </si>
  <si>
    <t>VTTS</t>
  </si>
  <si>
    <t>W</t>
  </si>
  <si>
    <t>May need to adjust to match new EEM evaluation values (1.0)?</t>
  </si>
  <si>
    <t>E</t>
  </si>
  <si>
    <t>Assumed throughout</t>
  </si>
  <si>
    <t xml:space="preserve">User (frequency) benefits = (b*h) * (VTTS*W) * E, </t>
  </si>
  <si>
    <t>13.0c/min in $2002 (EEM T A4.1b) * 1.40 (indexation to $ 2013 (EEM  T A12.2)</t>
  </si>
  <si>
    <t>Benefits</t>
  </si>
  <si>
    <t>$/incr pax</t>
  </si>
  <si>
    <t>Source:</t>
  </si>
  <si>
    <t>WP3, App E (updated)</t>
  </si>
  <si>
    <t>Mode switcher benefits associated with provision of additional P&amp;R spaces are given by the following formula:</t>
  </si>
  <si>
    <t>K = current P&amp;R site capacity</t>
  </si>
  <si>
    <t>N = current number of on -street parkers</t>
  </si>
  <si>
    <t>d = diversion rate ( proportion) for on-street parkers</t>
  </si>
  <si>
    <t>k' = additional P&amp;R spaces to be provided</t>
  </si>
  <si>
    <t>t = maximum walking time to station for on-street parkers</t>
  </si>
  <si>
    <t>Example/assumed values for application:</t>
  </si>
  <si>
    <t>K</t>
  </si>
  <si>
    <t>k'</t>
  </si>
  <si>
    <t>N</t>
  </si>
  <si>
    <t>d</t>
  </si>
  <si>
    <t>t</t>
  </si>
  <si>
    <t>V = unit value of walking (?) time savings</t>
  </si>
  <si>
    <t>V</t>
  </si>
  <si>
    <t>Total benefit =  V * (k'* d * t/N) * [K + N - k'*d+ 0.5*k']</t>
  </si>
  <si>
    <t>Applied 1.4 factor for walking time (??)</t>
  </si>
  <si>
    <t>$/peak period</t>
  </si>
  <si>
    <t>Total benefits</t>
  </si>
  <si>
    <t>Reduction in car driver trips</t>
  </si>
  <si>
    <t>Saving in travel time</t>
  </si>
  <si>
    <t>Reduction in peak buses</t>
  </si>
  <si>
    <t>% passengers who transfer</t>
  </si>
  <si>
    <t>% passengers travel through</t>
  </si>
  <si>
    <t>% passengers boarding/alighting</t>
  </si>
  <si>
    <t>hrs</t>
  </si>
  <si>
    <t xml:space="preserve">Factor for walk </t>
  </si>
  <si>
    <t>Length of peak period</t>
  </si>
  <si>
    <t>Peak bus requirement</t>
  </si>
  <si>
    <t>Capital cost</t>
  </si>
  <si>
    <t>Passengers carried</t>
  </si>
  <si>
    <t>Cost per service hour</t>
  </si>
  <si>
    <t>Cost per service km</t>
  </si>
  <si>
    <t>Cost per vehicle (pa)</t>
  </si>
  <si>
    <t>Total</t>
  </si>
  <si>
    <t>Net increase in pt passengers</t>
  </si>
  <si>
    <t>$/hr</t>
  </si>
  <si>
    <t xml:space="preserve"> f</t>
  </si>
  <si>
    <t>Car, motorcycle driver</t>
  </si>
  <si>
    <t>Car, motorcycle passenger</t>
  </si>
  <si>
    <t>Seated bus and train passenger</t>
  </si>
  <si>
    <t>Standing bus and train passenger</t>
  </si>
  <si>
    <t>Table A4.1(a) Behavioural values of time for vehicle occupants in $/h (all road categories; all time periods July 2002)</t>
  </si>
  <si>
    <t>Reliability</t>
  </si>
  <si>
    <t>VOC</t>
  </si>
  <si>
    <t>Crash</t>
  </si>
  <si>
    <t>Environment</t>
  </si>
  <si>
    <t xml:space="preserve">Annualisation factors </t>
  </si>
  <si>
    <t>Single peak</t>
  </si>
  <si>
    <t>Both peaks</t>
  </si>
  <si>
    <t>Same (travel more often)</t>
  </si>
  <si>
    <t>Peak</t>
  </si>
  <si>
    <t>Off-peak</t>
  </si>
  <si>
    <t>Average load  per trip</t>
  </si>
  <si>
    <t>Default = 20% on construction costs</t>
  </si>
  <si>
    <t>Wait min</t>
  </si>
  <si>
    <t>IV min</t>
  </si>
  <si>
    <t xml:space="preserve">Length of the period </t>
  </si>
  <si>
    <t>Number of destinations served</t>
  </si>
  <si>
    <t>Based on RR248, medium-run estimate</t>
  </si>
  <si>
    <t>Route length</t>
  </si>
  <si>
    <t>Average headway (all routes)</t>
  </si>
  <si>
    <t>Number of city destinations /origins</t>
  </si>
  <si>
    <t>Current traffic in peak period (peak direction)</t>
  </si>
  <si>
    <t>Current variable component of wait time</t>
  </si>
  <si>
    <t>Free -flow time (car)</t>
  </si>
  <si>
    <t>Before TT by car (average over peak)</t>
  </si>
  <si>
    <t>Before TT by bus (average over peak)</t>
  </si>
  <si>
    <t>Before passengers per peak period (1 direction)</t>
  </si>
  <si>
    <t>After TT by bus with transit lane (ave)</t>
  </si>
  <si>
    <t>After TT by car travel with transit lane (ave)</t>
  </si>
  <si>
    <t xml:space="preserve">Annual PT op cost savings </t>
  </si>
  <si>
    <t>TT elasticity wrt volume</t>
  </si>
  <si>
    <t>Estimated % reduction in capacity for other vehicles</t>
  </si>
  <si>
    <t xml:space="preserve">Effect of reduced capacity </t>
  </si>
  <si>
    <t>Effect of driver switching</t>
  </si>
  <si>
    <t>Calculated cost to other users per peak</t>
  </si>
  <si>
    <t>Increased corridor time due to capacity reduction</t>
  </si>
  <si>
    <t>Reduction in time due to switching</t>
  </si>
  <si>
    <t>Net increase in calculated travel time</t>
  </si>
  <si>
    <t>Observed increase in corridor travel time</t>
  </si>
  <si>
    <t>Equivalent network increase in travel time</t>
  </si>
  <si>
    <t>Is "observed" actual or forecast?</t>
  </si>
  <si>
    <t>1= actual, 0 = forecast</t>
  </si>
  <si>
    <t># bus trips in corridor in peak  (peak direction)</t>
  </si>
  <si>
    <t xml:space="preserve">Offpeak figures to cover full weekday less peaks. Peaks to be generally 4 hours. </t>
  </si>
  <si>
    <t>Weekday off-peak</t>
  </si>
  <si>
    <t>Walk min</t>
  </si>
  <si>
    <t>Years</t>
  </si>
  <si>
    <t>Assumed residual value at end of life is just the land</t>
  </si>
  <si>
    <t>A1. PT user benefits (existing users)</t>
  </si>
  <si>
    <t>In-vehicle time</t>
  </si>
  <si>
    <t>Frequency</t>
  </si>
  <si>
    <t>Vehicle quality</t>
  </si>
  <si>
    <t>A2. PT user benefits (new users)</t>
  </si>
  <si>
    <t>A4. Capital costs (public sector)</t>
  </si>
  <si>
    <t>A5. Recurrent (net) costs (public sector)</t>
  </si>
  <si>
    <t>Annualised benefit</t>
  </si>
  <si>
    <t>Annualised cost</t>
  </si>
  <si>
    <t>BCR(G)</t>
  </si>
  <si>
    <t>Access time</t>
  </si>
  <si>
    <t>Wait time/transfer</t>
  </si>
  <si>
    <t>IV mins</t>
  </si>
  <si>
    <t>Total access time benefits</t>
  </si>
  <si>
    <t>Total wait time/transfer benefits</t>
  </si>
  <si>
    <t>Total infrastrucure quality benefits</t>
  </si>
  <si>
    <t>Increase frequency in line with patronage?</t>
  </si>
  <si>
    <t>Y/N</t>
  </si>
  <si>
    <t>Not required for bus interchanges</t>
  </si>
  <si>
    <t>Total in-vehicle time benefits</t>
  </si>
  <si>
    <t>Total generalised journey time</t>
  </si>
  <si>
    <t>$ per day</t>
  </si>
  <si>
    <t>Percent reduction in generalised time</t>
  </si>
  <si>
    <t>Travel travel elasticity (generalised time)</t>
  </si>
  <si>
    <t>Total expected new passengers</t>
  </si>
  <si>
    <t>Calculated increase in passengers</t>
  </si>
  <si>
    <t>Average services per hour (through stop/interchange)</t>
  </si>
  <si>
    <t>Total number of services during period</t>
  </si>
  <si>
    <t>Total freqeuency benefits (Mohring effect)</t>
  </si>
  <si>
    <t>Demand impact</t>
  </si>
  <si>
    <t>$ per passenger</t>
  </si>
  <si>
    <t>Not covered by this research project</t>
  </si>
  <si>
    <t>Average user benefit (existing users) per existing user</t>
  </si>
  <si>
    <t>Average user time savings (existing users) per existing user</t>
  </si>
  <si>
    <t>User benefit per new passenger</t>
  </si>
  <si>
    <t>Total user benefits (existing users)</t>
  </si>
  <si>
    <t>Total user benefits (new users)</t>
  </si>
  <si>
    <t>Prior mode</t>
  </si>
  <si>
    <t>Car passenger (all the way)</t>
  </si>
  <si>
    <t>Car driver (all the way)</t>
  </si>
  <si>
    <t>Other transit (all the way)</t>
  </si>
  <si>
    <t>Other (walk, cycle, taxi etc)</t>
  </si>
  <si>
    <t>Change in car trips</t>
  </si>
  <si>
    <t>n/a</t>
  </si>
  <si>
    <t>Car travel time as proportion PT travel time</t>
  </si>
  <si>
    <t>Reduction in peak car driver trips</t>
  </si>
  <si>
    <t>Total reduction in car travel time</t>
  </si>
  <si>
    <t>A3. Road user benefits (decongsestion)</t>
  </si>
  <si>
    <t>Total road user benefits (decongestion)</t>
  </si>
  <si>
    <t>A0. Key factor data</t>
  </si>
  <si>
    <t>PT services</t>
  </si>
  <si>
    <t>Patronge</t>
  </si>
  <si>
    <t>Route/journey time</t>
  </si>
  <si>
    <t>Life of asset</t>
  </si>
  <si>
    <t>$ pa</t>
  </si>
  <si>
    <t>Discount rate</t>
  </si>
  <si>
    <t>Increase in running time per service</t>
  </si>
  <si>
    <t>Increase in kms per service</t>
  </si>
  <si>
    <t>Increase in bus hours per period</t>
  </si>
  <si>
    <t>Increase in bus km per period</t>
  </si>
  <si>
    <t>Increase in peak vehicles</t>
  </si>
  <si>
    <t>Default using bus values</t>
  </si>
  <si>
    <t>Unit fare revenue per passenger</t>
  </si>
  <si>
    <t>Total recurrent costs</t>
  </si>
  <si>
    <t>Average travel time savings for through passengers</t>
  </si>
  <si>
    <t>Average travel time savings per passenger</t>
  </si>
  <si>
    <t>Avg walk time savings within facility for transfer passengers</t>
  </si>
  <si>
    <t>Annual facility O&amp;M costs (approx)</t>
  </si>
  <si>
    <t>Facility O&amp;M</t>
  </si>
  <si>
    <t>Default = 20 years</t>
  </si>
  <si>
    <t>Total passengers per day/period through facility</t>
  </si>
  <si>
    <t>Average vehicle loading at facility</t>
  </si>
  <si>
    <t>Dependent on service changes</t>
  </si>
  <si>
    <t>A. Economic/financial impacts</t>
  </si>
  <si>
    <t xml:space="preserve">Infrastructure quality </t>
  </si>
  <si>
    <t>A3. Road user benefits</t>
  </si>
  <si>
    <t>A6. Total Benefits/costs</t>
  </si>
  <si>
    <t>$pa</t>
  </si>
  <si>
    <t>Average bus running time (across all routes, terminus to terminus)</t>
  </si>
  <si>
    <t>Avg transfer tme savings for transfer passengers</t>
  </si>
  <si>
    <t>Bus service op costs</t>
  </si>
  <si>
    <t xml:space="preserve">NB-Excludes GST. </t>
  </si>
  <si>
    <t>Total increase in costs per annum (ex pax)</t>
  </si>
  <si>
    <t>Producer benefit (new pax)</t>
  </si>
  <si>
    <t>Increase in PT costs/period</t>
  </si>
  <si>
    <t>Increase in PT fares revenue/period</t>
  </si>
  <si>
    <t>Net PT operator cost increase/period</t>
  </si>
  <si>
    <t>Total capital costs--annualised</t>
  </si>
  <si>
    <t>Net PT operator cost increase pa (new pax)</t>
  </si>
  <si>
    <t>All figures in $000pa</t>
  </si>
  <si>
    <t xml:space="preserve">Net annualised value </t>
  </si>
  <si>
    <t>Average saving in travel time (average all routes)</t>
  </si>
  <si>
    <t>Bus stop attributes</t>
  </si>
  <si>
    <t>1.Cleanliness &amp; graffiti</t>
  </si>
  <si>
    <t>2. Weather protection/shelter</t>
  </si>
  <si>
    <t>3. Seating</t>
  </si>
  <si>
    <t>4. Schedule info on bus times</t>
  </si>
  <si>
    <t>5.Real time info</t>
  </si>
  <si>
    <t>6. Lighting</t>
  </si>
  <si>
    <t>Table: PT Pricing Strategies (ART/15)-- average vehicle and stop/station attribute valuations</t>
  </si>
  <si>
    <t>All figures only notional at this stage.</t>
  </si>
  <si>
    <t>V poor</t>
  </si>
  <si>
    <t>Poor</t>
  </si>
  <si>
    <t>Good</t>
  </si>
  <si>
    <t>V good</t>
  </si>
  <si>
    <t>Total on all routes using facility</t>
  </si>
  <si>
    <t>Total in both directions (through and terminating)</t>
  </si>
  <si>
    <t>Default values</t>
  </si>
  <si>
    <t>Avg wait time savings for boarding passengers</t>
  </si>
  <si>
    <t>Avg walk time savings to/from facility for boarding/alighting passengers</t>
  </si>
  <si>
    <t>Average access time savings per passenger</t>
  </si>
  <si>
    <t>Average wait time/transfer savings per passenger</t>
  </si>
  <si>
    <t>Valuation scale</t>
  </si>
  <si>
    <t>Stop quality attributes</t>
  </si>
  <si>
    <t>Stop quality benefit for boarding passengers</t>
  </si>
  <si>
    <t>Stop quality benefit for alighting passengers</t>
  </si>
  <si>
    <t>Stop quality benefit for transfer passengers</t>
  </si>
  <si>
    <t>Due to limited time at facility assume half of attribute 1 and 6 values only</t>
  </si>
  <si>
    <t>Average stop quality benfit per passenger</t>
  </si>
  <si>
    <t>Average stop quality quality benfit per passenger</t>
  </si>
  <si>
    <t>Average passenger journey time</t>
  </si>
  <si>
    <t>Conversion factor - actual journey time to generalised journey time</t>
  </si>
  <si>
    <t>Average passenger generalised journey time</t>
  </si>
  <si>
    <t>Uses default factor to convert passenger journey time to generalised journey time (which includes walk legs etc)</t>
  </si>
  <si>
    <t>Based on typical generalised cost elastacities after removing fares component</t>
  </si>
  <si>
    <t>Default mode shares based on Australian national guidelines</t>
  </si>
  <si>
    <t xml:space="preserve">$pa </t>
  </si>
  <si>
    <t>$ per period</t>
  </si>
  <si>
    <t>Wait/transfer time</t>
  </si>
  <si>
    <t>Calculated from average change in walk distance and speed</t>
  </si>
  <si>
    <t>Base</t>
  </si>
  <si>
    <t>Scheme</t>
  </si>
  <si>
    <t>Display</t>
  </si>
  <si>
    <t>Base column</t>
  </si>
  <si>
    <t>Option column</t>
  </si>
  <si>
    <t>Select change from list first column, values looking in right column</t>
  </si>
  <si>
    <t>Avg</t>
  </si>
  <si>
    <t>None</t>
  </si>
  <si>
    <t>Avg to Avg</t>
  </si>
  <si>
    <t>Poor to V good</t>
  </si>
  <si>
    <r>
      <t>Count the number of discrete places that are served by buses leaving the interchange. Used to calculate frequency benefit</t>
    </r>
    <r>
      <rPr>
        <sz val="11"/>
        <color rgb="FFFF0000"/>
        <rFont val="Calibri"/>
        <family val="2"/>
        <scheme val="minor"/>
      </rPr>
      <t>, not required if no frequency benefit</t>
    </r>
  </si>
  <si>
    <t>Average impact facility has on travel time, for existing facilities default 0. For new stops/ interchanges default 20 second increase with bus stopping 50% of the time.</t>
  </si>
  <si>
    <t>Base values of time for uncongested traffic ($/h)</t>
  </si>
  <si>
    <t>Work travel purpose</t>
  </si>
  <si>
    <t>Commuting to/from work</t>
  </si>
  <si>
    <t>Other non-work travel purpose</t>
  </si>
  <si>
    <t>Vehicle occupant</t>
  </si>
  <si>
    <t>Maximum increment for congestion (CRV, $/h)</t>
  </si>
  <si>
    <t>Table A4.3 Composite values of travel time in $/h (all occupants and vehicle types combined – July 2002)</t>
  </si>
  <si>
    <t>Base value of time ($/h)</t>
  </si>
  <si>
    <t>Maximum increments for congestion (CRV $/h)</t>
  </si>
  <si>
    <t>Urban arterial</t>
  </si>
  <si>
    <t>Morning commuter peak</t>
  </si>
  <si>
    <t>Road category and time period</t>
  </si>
  <si>
    <t>Commuter</t>
  </si>
  <si>
    <t>Inter-peak</t>
  </si>
  <si>
    <t>Value of travel time savings ($ per hr)</t>
  </si>
  <si>
    <t>Quality factors</t>
  </si>
  <si>
    <t>This factor is based on (i) peaks cover 4 hours prer weekday; (ii) off-peak factor expands from all other weekday hours to full year (excl peaks)</t>
  </si>
  <si>
    <t>Average vehicle speed</t>
  </si>
  <si>
    <t>km/hr</t>
  </si>
  <si>
    <t>Calculated from change in running time and average vehicle speed</t>
  </si>
  <si>
    <t>Default = 6% as per EEM</t>
  </si>
  <si>
    <t>A Operating costs – time</t>
  </si>
  <si>
    <t>$/bus hour</t>
  </si>
  <si>
    <t>B Operating costs – distance: fuel</t>
  </si>
  <si>
    <t>$/bus km</t>
  </si>
  <si>
    <t>Based on typical diesel consumption of 37 litres/ 100km and price of $1.15/litre.</t>
  </si>
  <si>
    <t>C Operating costs – distance: other</t>
  </si>
  <si>
    <t>Includes 0.152 for RUC (Type 2 vehicles, 2/11 tonnes GVW rating); 0.300 for bus R&amp;M, tyres and tubes.</t>
  </si>
  <si>
    <t>D Operating costs – vehicles</t>
  </si>
  <si>
    <t>$/bus pa</t>
  </si>
  <si>
    <t>E Operating costs – overheads</t>
  </si>
  <si>
    <t>% mark-up on items A–D</t>
  </si>
  <si>
    <t>F Profit margin</t>
  </si>
  <si>
    <t>% mark-up on items A–E</t>
  </si>
  <si>
    <t>Typical of profit margins on competitive urban bus contracts in Australia.</t>
  </si>
  <si>
    <t>G Capital charges – vehicles</t>
  </si>
  <si>
    <t>Based on typical new diesel bus price of $375,000, life 18 years, depreciation rate 12.0% pa (DV), interest rate 7.5% pa (real).</t>
  </si>
  <si>
    <t>Table A15.3 Unit cost rates, 2009/10 prices (standard diesel bus)</t>
  </si>
  <si>
    <t>Cost category</t>
  </si>
  <si>
    <t>Units</t>
  </si>
  <si>
    <t>Cost rate</t>
  </si>
  <si>
    <t>Notes, comments</t>
  </si>
  <si>
    <t>Cost and benefit update factors</t>
  </si>
  <si>
    <t>Base date</t>
  </si>
  <si>
    <t>Factor to adjust to July 2013</t>
  </si>
  <si>
    <t>Travel time cost savings</t>
  </si>
  <si>
    <t>Source</t>
  </si>
  <si>
    <t>EEM 2013 update factors Table A12.2</t>
  </si>
  <si>
    <t>Cost update factors</t>
  </si>
  <si>
    <t>EEM 2013 update factors Table A12.1</t>
  </si>
  <si>
    <t>Variable</t>
  </si>
  <si>
    <t>NZTA Economic Evaluation Manual, July 2013</t>
  </si>
  <si>
    <t>Walk and wait factors</t>
  </si>
  <si>
    <t>Generalised cost coversion factor</t>
  </si>
  <si>
    <t>Operating costs (bus, from EEM)</t>
  </si>
  <si>
    <t>Poor to Good</t>
  </si>
  <si>
    <t>V poor to V good</t>
  </si>
  <si>
    <t>None to None</t>
  </si>
  <si>
    <t>None to V poor</t>
  </si>
  <si>
    <t>None to Poor</t>
  </si>
  <si>
    <t>None to Avg</t>
  </si>
  <si>
    <t>None to Good</t>
  </si>
  <si>
    <t>None to V good</t>
  </si>
  <si>
    <t>V poor to V poor</t>
  </si>
  <si>
    <t>V poor to Poor</t>
  </si>
  <si>
    <t>V poor to Avg</t>
  </si>
  <si>
    <t>V poor to Good</t>
  </si>
  <si>
    <t>Poor to Poor</t>
  </si>
  <si>
    <t>Poor to Avg</t>
  </si>
  <si>
    <t>Avg to Good</t>
  </si>
  <si>
    <t>Avg to V good</t>
  </si>
  <si>
    <t>Good to Good</t>
  </si>
  <si>
    <t>Good to V good</t>
  </si>
  <si>
    <t>V good to V good</t>
  </si>
  <si>
    <t>Frequency to increase in line with patronage</t>
  </si>
  <si>
    <t>Refer setting above</t>
  </si>
  <si>
    <t>Calculated from number bus bus trips and average load</t>
  </si>
  <si>
    <t>Corridor travel time by car</t>
  </si>
  <si>
    <t>Corridor travel time by bus</t>
  </si>
  <si>
    <t>Corridor capacity</t>
  </si>
  <si>
    <t>Period during which priority is effective (eg 7-9am and/or 4-6pm)</t>
  </si>
  <si>
    <t>Total number of bus routes using the corridor, used to calculate average wait time</t>
  </si>
  <si>
    <t>Average travel time saving per passenger</t>
  </si>
  <si>
    <t>Total trips during specified length of peak period (default 2 hours)</t>
  </si>
  <si>
    <t>Reliability benefit per passenger as factor of travel time saving</t>
  </si>
  <si>
    <t>1=Yes, 0=No</t>
  </si>
  <si>
    <t>Over peak period as defined above (e.g. 2 hours default)</t>
  </si>
  <si>
    <t xml:space="preserve">Not relevant to bus priority </t>
  </si>
  <si>
    <t>Total reliability benefits</t>
  </si>
  <si>
    <t xml:space="preserve">Reliability benefit per passenger </t>
  </si>
  <si>
    <t>Percent reduction in travel time</t>
  </si>
  <si>
    <t>NB: Rule of a half applied to new suers (may be too severe)</t>
  </si>
  <si>
    <t>Refer notes re costs</t>
  </si>
  <si>
    <t>Total time saving (bus operations) per peak</t>
  </si>
  <si>
    <t>Enter any costs for road widening etc (not for use of existing road space). Costs to be split across both directions (make sure not to double count)</t>
  </si>
  <si>
    <t>For enforcement etc (maybe ignore). Costs to be split across both directions (make sure not to double count)</t>
  </si>
  <si>
    <r>
      <rPr>
        <b/>
        <sz val="11"/>
        <rFont val="Calibri"/>
        <family val="2"/>
        <scheme val="minor"/>
      </rPr>
      <t>NB lanes in each direction to be evaluated separately.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Orange cells are required</t>
    </r>
    <r>
      <rPr>
        <b/>
        <sz val="11"/>
        <rFont val="Calibri"/>
        <family val="2"/>
        <scheme val="minor"/>
      </rPr>
      <t xml:space="preserve">, </t>
    </r>
    <r>
      <rPr>
        <b/>
        <sz val="11"/>
        <color theme="3" tint="0.39997558519241921"/>
        <rFont val="Calibri"/>
        <family val="2"/>
        <scheme val="minor"/>
      </rPr>
      <t>Blue cells have defaults</t>
    </r>
  </si>
  <si>
    <t>Peak lane (one-way)</t>
  </si>
  <si>
    <r>
      <rPr>
        <b/>
        <sz val="11"/>
        <rFont val="Calibri"/>
        <family val="2"/>
        <scheme val="minor"/>
      </rPr>
      <t xml:space="preserve">NB </t>
    </r>
    <r>
      <rPr>
        <b/>
        <sz val="11"/>
        <color theme="9" tint="-0.249977111117893"/>
        <rFont val="Calibri"/>
        <family val="2"/>
        <scheme val="minor"/>
      </rPr>
      <t>Orange cells are required</t>
    </r>
    <r>
      <rPr>
        <b/>
        <sz val="11"/>
        <rFont val="Calibri"/>
        <family val="2"/>
        <scheme val="minor"/>
      </rPr>
      <t xml:space="preserve">, </t>
    </r>
    <r>
      <rPr>
        <b/>
        <sz val="11"/>
        <color theme="3" tint="0.39997558519241921"/>
        <rFont val="Calibri"/>
        <family val="2"/>
        <scheme val="minor"/>
      </rPr>
      <t>Blue cells have defaults</t>
    </r>
  </si>
  <si>
    <t>Check that total is 100%</t>
  </si>
  <si>
    <t>Without allowing for re-assignement etc</t>
  </si>
  <si>
    <t>Scenario X - TEST</t>
  </si>
  <si>
    <t xml:space="preserve">EEM (2010) pedestrian behavioural value was factor 1.4 on base value </t>
  </si>
  <si>
    <t>EEM (2013) A18 Frequency benefit per transport service user factor</t>
  </si>
  <si>
    <t>Factor for wait</t>
  </si>
  <si>
    <t>Consultant estimate</t>
  </si>
  <si>
    <t>Note offpeak will not require increase in frequency due to free capacity therefore default to N</t>
  </si>
  <si>
    <t>Average route length</t>
  </si>
  <si>
    <t>Headway</t>
  </si>
  <si>
    <t>Cost /peak period</t>
  </si>
  <si>
    <t>Example of application of mode switcher benefits (calculations included in proforma sheets)</t>
  </si>
  <si>
    <t>Example of application of PT user economies of scale (calculations included in proforma sheets)</t>
  </si>
  <si>
    <t>Factor of 0.25 factor to cover reliability benefits, refer WGN City Bus Priority Plan--Evaluation (IWA 2008)</t>
  </si>
  <si>
    <t>Source: WGN City Bus Priority Plan--Evaluation (IWA 2008). Also NGTSM vol 4.1, table 1.6.6. Table G3.</t>
  </si>
  <si>
    <t>NB: Assume that at peak (when scheme operating) passengers will not travel more often therefore same mode is 0%</t>
  </si>
  <si>
    <t>This is the increase in time that, when multiolied by the corridor traffic, gives the total network efect. Expect  |corridor| &lt;|network| &lt; 2* |corridor|</t>
  </si>
  <si>
    <t>Due to slower bus speed due to buses stopping on route etc</t>
  </si>
  <si>
    <t>All figures given in equivalent in cents relative to ‘none’ rating, average all market segments</t>
  </si>
  <si>
    <t>Total (cents)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</si>
  <si>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</si>
  <si>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</si>
  <si>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</si>
  <si>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</si>
  <si>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</si>
  <si>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</si>
  <si>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</si>
  <si>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</si>
  <si>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Note 9</t>
  </si>
  <si>
    <t>Note 10</t>
  </si>
  <si>
    <t>Vehicle operating cost savings</t>
  </si>
  <si>
    <t>Net ‘decongestion’ benefits (Car + Pax)</t>
  </si>
  <si>
    <t>Base value</t>
  </si>
  <si>
    <t>Congestion increment</t>
  </si>
  <si>
    <t>Reliability increment</t>
  </si>
  <si>
    <t>Factors to calculate Car + Pax travel time savings (refer research report Table F.1)</t>
  </si>
  <si>
    <t>Scenario Y - TEST</t>
  </si>
  <si>
    <t>Benefits and delivery risks for bus infrastructure schemes</t>
  </si>
  <si>
    <t>Ian Wallis, Ian Wallis Associates</t>
  </si>
  <si>
    <t>Adam Lawrence, Ian Wallis Associates</t>
  </si>
  <si>
    <t>Stuart Donovan, MRCagney Pty Ltd</t>
  </si>
  <si>
    <t>Lennart Nout, MRCagney Pty Ltd</t>
  </si>
  <si>
    <t>Kit McLean, Coalesce Consulting</t>
  </si>
  <si>
    <t>Contracted research organisation – MRCagney Ltd</t>
  </si>
  <si>
    <t>December 2014</t>
  </si>
  <si>
    <t>Public transport infrastructure pro-forma spreadsheet (see appendix F in the main report)</t>
  </si>
  <si>
    <t>NZ Transport Agency research report 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</si>
</sst>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_ ;[Red]\-#,##0\ 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000000"/>
      <name val="Lucida Sans"/>
      <family val="2"/>
    </font>
    <font>
      <sz val="12"/>
      <color rgb="FF000000"/>
      <name val="Lucida Sans"/>
      <family val="2"/>
    </font>
    <font>
      <b/>
      <sz val="12"/>
      <color rgb="FF000000"/>
      <name val="Lucida Sans"/>
      <family val="2"/>
    </font>
    <font>
      <sz val="18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Border="1"/>
    <xf numFmtId="0" fontId="2" fillId="0" borderId="2" xfId="0" applyFont="1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8" fillId="0" borderId="4" xfId="0" applyFont="1" applyBorder="1"/>
    <xf numFmtId="0" fontId="0" fillId="0" borderId="3" xfId="0" applyBorder="1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0" fontId="8" fillId="0" borderId="11" xfId="0" applyFont="1" applyBorder="1"/>
    <xf numFmtId="0" fontId="0" fillId="0" borderId="12" xfId="0" applyBorder="1" applyAlignment="1">
      <alignment wrapText="1"/>
    </xf>
    <xf numFmtId="0" fontId="5" fillId="0" borderId="13" xfId="0" applyFont="1" applyFill="1" applyBorder="1" applyAlignment="1">
      <alignment horizontal="center"/>
    </xf>
    <xf numFmtId="0" fontId="0" fillId="0" borderId="1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Fill="1" applyBorder="1" applyAlignment="1">
      <alignment wrapText="1"/>
    </xf>
    <xf numFmtId="0" fontId="5" fillId="0" borderId="11" xfId="0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11" xfId="0" applyBorder="1"/>
    <xf numFmtId="0" fontId="0" fillId="0" borderId="4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6" xfId="0" applyFill="1" applyBorder="1"/>
    <xf numFmtId="0" fontId="0" fillId="0" borderId="4" xfId="0" applyFont="1" applyBorder="1"/>
    <xf numFmtId="0" fontId="0" fillId="0" borderId="11" xfId="0" applyFont="1" applyBorder="1"/>
    <xf numFmtId="0" fontId="3" fillId="0" borderId="4" xfId="0" applyFont="1" applyBorder="1" applyAlignment="1">
      <alignment vertical="top"/>
    </xf>
    <xf numFmtId="0" fontId="2" fillId="3" borderId="11" xfId="0" applyFont="1" applyFill="1" applyBorder="1"/>
    <xf numFmtId="0" fontId="2" fillId="3" borderId="12" xfId="0" applyFont="1" applyFill="1" applyBorder="1" applyAlignment="1">
      <alignment wrapText="1"/>
    </xf>
    <xf numFmtId="0" fontId="0" fillId="3" borderId="4" xfId="0" applyFont="1" applyFill="1" applyBorder="1" applyAlignment="1"/>
    <xf numFmtId="0" fontId="0" fillId="3" borderId="3" xfId="0" applyFont="1" applyFill="1" applyBorder="1" applyAlignment="1">
      <alignment wrapText="1"/>
    </xf>
    <xf numFmtId="0" fontId="0" fillId="3" borderId="5" xfId="0" applyFont="1" applyFill="1" applyBorder="1" applyAlignment="1"/>
    <xf numFmtId="0" fontId="0" fillId="3" borderId="0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4" xfId="0" applyFont="1" applyFill="1" applyBorder="1"/>
    <xf numFmtId="0" fontId="0" fillId="3" borderId="3" xfId="0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2" fillId="3" borderId="4" xfId="0" applyFont="1" applyFill="1" applyBorder="1" applyAlignment="1"/>
    <xf numFmtId="0" fontId="2" fillId="3" borderId="8" xfId="0" applyFont="1" applyFill="1" applyBorder="1" applyAlignment="1">
      <alignment horizontal="right" wrapText="1"/>
    </xf>
    <xf numFmtId="0" fontId="2" fillId="3" borderId="5" xfId="0" applyFont="1" applyFill="1" applyBorder="1"/>
    <xf numFmtId="0" fontId="0" fillId="0" borderId="4" xfId="0" applyFill="1" applyBorder="1"/>
    <xf numFmtId="0" fontId="0" fillId="5" borderId="4" xfId="0" applyFill="1" applyBorder="1"/>
    <xf numFmtId="0" fontId="0" fillId="5" borderId="3" xfId="0" applyFill="1" applyBorder="1" applyAlignment="1">
      <alignment wrapText="1"/>
    </xf>
    <xf numFmtId="0" fontId="2" fillId="5" borderId="8" xfId="0" applyFont="1" applyFill="1" applyBorder="1" applyAlignment="1">
      <alignment horizontal="centerContinuous" wrapText="1"/>
    </xf>
    <xf numFmtId="0" fontId="8" fillId="5" borderId="6" xfId="0" applyFont="1" applyFill="1" applyBorder="1"/>
    <xf numFmtId="0" fontId="0" fillId="5" borderId="7" xfId="0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 applyAlignment="1">
      <alignment horizontal="left" wrapText="1" indent="1"/>
    </xf>
    <xf numFmtId="0" fontId="0" fillId="3" borderId="6" xfId="0" applyFill="1" applyBorder="1" applyAlignment="1">
      <alignment horizontal="left" wrapText="1" indent="1"/>
    </xf>
    <xf numFmtId="0" fontId="0" fillId="3" borderId="5" xfId="0" applyFill="1" applyBorder="1"/>
    <xf numFmtId="0" fontId="0" fillId="3" borderId="6" xfId="0" applyFill="1" applyBorder="1"/>
    <xf numFmtId="0" fontId="2" fillId="3" borderId="5" xfId="0" applyFont="1" applyFill="1" applyBorder="1" applyAlignment="1">
      <alignment horizontal="left" wrapText="1" indent="1"/>
    </xf>
    <xf numFmtId="0" fontId="2" fillId="3" borderId="6" xfId="0" applyFont="1" applyFill="1" applyBorder="1" applyAlignment="1">
      <alignment horizontal="left" wrapText="1" indent="1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vertical="top" wrapText="1"/>
    </xf>
    <xf numFmtId="0" fontId="7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>
      <alignment vertical="center"/>
    </xf>
    <xf numFmtId="0" fontId="10" fillId="5" borderId="11" xfId="0" applyFont="1" applyFill="1" applyBorder="1"/>
    <xf numFmtId="0" fontId="10" fillId="0" borderId="5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/>
    </xf>
    <xf numFmtId="0" fontId="12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7" xfId="0" applyFont="1" applyBorder="1" applyAlignment="1">
      <alignment horizontal="centerContinuous"/>
    </xf>
    <xf numFmtId="0" fontId="12" fillId="0" borderId="10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9" fillId="0" borderId="3" xfId="0" applyFont="1" applyBorder="1"/>
    <xf numFmtId="0" fontId="9" fillId="0" borderId="8" xfId="0" applyFont="1" applyBorder="1"/>
    <xf numFmtId="0" fontId="9" fillId="0" borderId="6" xfId="0" applyFont="1" applyBorder="1"/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3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9" fontId="9" fillId="0" borderId="0" xfId="0" applyNumberFormat="1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3" fontId="9" fillId="0" borderId="7" xfId="0" applyNumberFormat="1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4" xfId="0" applyFont="1" applyBorder="1"/>
    <xf numFmtId="0" fontId="9" fillId="0" borderId="11" xfId="0" applyFont="1" applyBorder="1"/>
    <xf numFmtId="0" fontId="9" fillId="0" borderId="3" xfId="0" applyFont="1" applyBorder="1" applyAlignment="1">
      <alignment horizontal="center"/>
    </xf>
    <xf numFmtId="17" fontId="9" fillId="0" borderId="6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wrapText="1"/>
    </xf>
    <xf numFmtId="0" fontId="9" fillId="0" borderId="4" xfId="0" applyFont="1" applyFill="1" applyBorder="1"/>
    <xf numFmtId="2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8" xfId="0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0" xfId="0" applyAlignment="1"/>
    <xf numFmtId="0" fontId="0" fillId="4" borderId="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9" fontId="0" fillId="2" borderId="5" xfId="1" applyFont="1" applyFill="1" applyBorder="1" applyAlignment="1">
      <alignment horizontal="center" wrapText="1"/>
    </xf>
    <xf numFmtId="9" fontId="0" fillId="2" borderId="9" xfId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2" fontId="0" fillId="2" borderId="10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2" fontId="0" fillId="0" borderId="5" xfId="0" applyNumberFormat="1" applyFill="1" applyBorder="1" applyAlignment="1">
      <alignment horizontal="center" wrapText="1"/>
    </xf>
    <xf numFmtId="2" fontId="0" fillId="0" borderId="9" xfId="0" applyNumberForma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3" fontId="0" fillId="3" borderId="6" xfId="0" applyNumberFormat="1" applyFill="1" applyBorder="1" applyAlignment="1">
      <alignment horizontal="center" wrapText="1"/>
    </xf>
    <xf numFmtId="3" fontId="0" fillId="3" borderId="10" xfId="0" applyNumberForma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8" xfId="0" applyNumberFormat="1" applyFill="1" applyBorder="1" applyAlignment="1">
      <alignment horizontal="center" wrapText="1"/>
    </xf>
    <xf numFmtId="2" fontId="0" fillId="4" borderId="5" xfId="0" applyNumberFormat="1" applyFill="1" applyBorder="1" applyAlignment="1">
      <alignment horizontal="center" wrapText="1"/>
    </xf>
    <xf numFmtId="2" fontId="0" fillId="4" borderId="9" xfId="0" applyNumberForma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3" fontId="0" fillId="4" borderId="5" xfId="0" applyNumberFormat="1" applyFill="1" applyBorder="1" applyAlignment="1">
      <alignment horizontal="center" wrapText="1"/>
    </xf>
    <xf numFmtId="3" fontId="0" fillId="0" borderId="9" xfId="0" applyNumberForma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 wrapText="1"/>
    </xf>
    <xf numFmtId="164" fontId="0" fillId="0" borderId="9" xfId="0" applyNumberForma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2" fontId="0" fillId="3" borderId="4" xfId="0" applyNumberFormat="1" applyFont="1" applyFill="1" applyBorder="1" applyAlignment="1">
      <alignment horizontal="center" wrapText="1"/>
    </xf>
    <xf numFmtId="2" fontId="0" fillId="3" borderId="8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2" fontId="0" fillId="3" borderId="5" xfId="0" applyNumberFormat="1" applyFont="1" applyFill="1" applyBorder="1" applyAlignment="1">
      <alignment horizontal="center" wrapText="1"/>
    </xf>
    <xf numFmtId="2" fontId="0" fillId="3" borderId="9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wrapText="1"/>
    </xf>
    <xf numFmtId="3" fontId="2" fillId="3" borderId="10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center" wrapText="1"/>
    </xf>
    <xf numFmtId="164" fontId="0" fillId="0" borderId="8" xfId="0" applyNumberFormat="1" applyFill="1" applyBorder="1" applyAlignment="1">
      <alignment horizontal="center" wrapText="1"/>
    </xf>
    <xf numFmtId="165" fontId="0" fillId="0" borderId="5" xfId="1" applyNumberFormat="1" applyFont="1" applyFill="1" applyBorder="1" applyAlignment="1">
      <alignment horizontal="center" wrapText="1"/>
    </xf>
    <xf numFmtId="165" fontId="0" fillId="0" borderId="9" xfId="1" applyNumberFormat="1" applyFont="1" applyFill="1" applyBorder="1" applyAlignment="1">
      <alignment horizontal="center" wrapText="1"/>
    </xf>
    <xf numFmtId="164" fontId="0" fillId="2" borderId="5" xfId="0" applyNumberFormat="1" applyFill="1" applyBorder="1" applyAlignment="1">
      <alignment horizontal="center" wrapText="1"/>
    </xf>
    <xf numFmtId="164" fontId="0" fillId="2" borderId="9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 wrapText="1"/>
    </xf>
    <xf numFmtId="2" fontId="0" fillId="0" borderId="10" xfId="0" applyNumberForma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2" fontId="2" fillId="3" borderId="8" xfId="0" applyNumberFormat="1" applyFont="1" applyFill="1" applyBorder="1" applyAlignment="1">
      <alignment horizontal="center" wrapText="1"/>
    </xf>
    <xf numFmtId="9" fontId="0" fillId="2" borderId="4" xfId="1" applyFont="1" applyFill="1" applyBorder="1" applyAlignment="1">
      <alignment horizontal="center" wrapText="1"/>
    </xf>
    <xf numFmtId="9" fontId="0" fillId="2" borderId="8" xfId="1" applyFont="1" applyFill="1" applyBorder="1" applyAlignment="1">
      <alignment horizontal="center" wrapText="1"/>
    </xf>
    <xf numFmtId="9" fontId="0" fillId="0" borderId="6" xfId="1" applyFont="1" applyFill="1" applyBorder="1" applyAlignment="1">
      <alignment horizontal="center" wrapText="1"/>
    </xf>
    <xf numFmtId="9" fontId="0" fillId="0" borderId="10" xfId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0" fontId="0" fillId="0" borderId="9" xfId="1" applyNumberFormat="1" applyFont="1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3" fontId="0" fillId="4" borderId="4" xfId="0" applyNumberFormat="1" applyFill="1" applyBorder="1" applyAlignment="1">
      <alignment horizontal="center" wrapText="1"/>
    </xf>
    <xf numFmtId="3" fontId="0" fillId="2" borderId="5" xfId="0" applyNumberFormat="1" applyFill="1" applyBorder="1" applyAlignment="1">
      <alignment horizontal="center" wrapText="1"/>
    </xf>
    <xf numFmtId="9" fontId="0" fillId="2" borderId="5" xfId="1" applyNumberFormat="1" applyFont="1" applyFill="1" applyBorder="1" applyAlignment="1">
      <alignment horizontal="center" wrapText="1"/>
    </xf>
    <xf numFmtId="3" fontId="0" fillId="2" borderId="6" xfId="0" applyNumberForma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2" fontId="0" fillId="0" borderId="8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2" fontId="0" fillId="2" borderId="9" xfId="0" applyNumberFormat="1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3" fontId="0" fillId="0" borderId="6" xfId="0" applyNumberFormat="1" applyFill="1" applyBorder="1" applyAlignment="1">
      <alignment horizontal="center" wrapText="1"/>
    </xf>
    <xf numFmtId="3" fontId="0" fillId="0" borderId="10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12" xfId="0" quotePrefix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67" fontId="0" fillId="3" borderId="5" xfId="0" applyNumberForma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167" fontId="0" fillId="3" borderId="5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67" fontId="0" fillId="3" borderId="9" xfId="0" applyNumberFormat="1" applyFill="1" applyBorder="1" applyAlignment="1">
      <alignment horizontal="center" wrapText="1"/>
    </xf>
    <xf numFmtId="167" fontId="0" fillId="3" borderId="10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3" fontId="2" fillId="3" borderId="9" xfId="0" applyNumberFormat="1" applyFont="1" applyFill="1" applyBorder="1" applyAlignment="1">
      <alignment horizontal="center" wrapText="1"/>
    </xf>
    <xf numFmtId="166" fontId="2" fillId="3" borderId="9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6" xfId="0" applyFill="1" applyBorder="1" applyAlignment="1">
      <alignment horizontal="center" wrapText="1"/>
    </xf>
    <xf numFmtId="0" fontId="0" fillId="0" borderId="11" xfId="0" applyFill="1" applyBorder="1"/>
    <xf numFmtId="0" fontId="3" fillId="0" borderId="12" xfId="0" applyFont="1" applyFill="1" applyBorder="1" applyAlignment="1">
      <alignment wrapText="1"/>
    </xf>
    <xf numFmtId="164" fontId="0" fillId="4" borderId="4" xfId="0" applyNumberFormat="1" applyFill="1" applyBorder="1" applyAlignment="1">
      <alignment horizontal="center" wrapText="1"/>
    </xf>
    <xf numFmtId="164" fontId="0" fillId="4" borderId="8" xfId="0" applyNumberFormat="1" applyFill="1" applyBorder="1" applyAlignment="1">
      <alignment horizontal="center" wrapText="1"/>
    </xf>
    <xf numFmtId="0" fontId="2" fillId="3" borderId="11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/>
    <xf numFmtId="0" fontId="0" fillId="3" borderId="6" xfId="0" applyFill="1" applyBorder="1" applyAlignment="1"/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5" borderId="0" xfId="0" applyFill="1" applyBorder="1" applyAlignment="1">
      <alignment wrapText="1"/>
    </xf>
    <xf numFmtId="0" fontId="0" fillId="0" borderId="3" xfId="0" applyFont="1" applyBorder="1" applyAlignment="1">
      <alignment wrapText="1"/>
    </xf>
    <xf numFmtId="2" fontId="0" fillId="2" borderId="4" xfId="0" applyNumberFormat="1" applyFill="1" applyBorder="1" applyAlignment="1">
      <alignment horizontal="center" wrapText="1"/>
    </xf>
    <xf numFmtId="2" fontId="0" fillId="2" borderId="8" xfId="0" applyNumberFormat="1" applyFill="1" applyBorder="1" applyAlignment="1">
      <alignment horizontal="center" wrapText="1"/>
    </xf>
    <xf numFmtId="0" fontId="0" fillId="0" borderId="16" xfId="0" applyBorder="1" applyAlignment="1">
      <alignment vertical="top" wrapText="1"/>
    </xf>
    <xf numFmtId="3" fontId="0" fillId="0" borderId="5" xfId="0" applyNumberForma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14" xfId="0" applyBorder="1" applyAlignment="1">
      <alignment vertical="top" wrapText="1"/>
    </xf>
    <xf numFmtId="4" fontId="0" fillId="0" borderId="5" xfId="0" applyNumberFormat="1" applyFill="1" applyBorder="1" applyAlignment="1">
      <alignment horizontal="center" wrapText="1"/>
    </xf>
    <xf numFmtId="4" fontId="0" fillId="0" borderId="9" xfId="0" applyNumberForma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 wrapText="1"/>
    </xf>
    <xf numFmtId="0" fontId="8" fillId="5" borderId="5" xfId="0" applyFont="1" applyFill="1" applyBorder="1"/>
    <xf numFmtId="0" fontId="0" fillId="5" borderId="0" xfId="0" applyFill="1" applyBorder="1" applyAlignment="1">
      <alignment horizontal="center" wrapText="1"/>
    </xf>
    <xf numFmtId="1" fontId="2" fillId="3" borderId="4" xfId="0" applyNumberFormat="1" applyFont="1" applyFill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3" fontId="0" fillId="4" borderId="11" xfId="0" applyNumberFormat="1" applyFill="1" applyBorder="1" applyAlignment="1">
      <alignment horizontal="center" wrapText="1"/>
    </xf>
    <xf numFmtId="1" fontId="0" fillId="0" borderId="4" xfId="0" applyNumberFormat="1" applyFill="1" applyBorder="1" applyAlignment="1">
      <alignment horizontal="center" wrapText="1"/>
    </xf>
    <xf numFmtId="1" fontId="0" fillId="0" borderId="8" xfId="0" applyNumberForma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3" fontId="2" fillId="3" borderId="8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166" fontId="2" fillId="3" borderId="10" xfId="0" applyNumberFormat="1" applyFon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 wrapText="1"/>
    </xf>
    <xf numFmtId="3" fontId="0" fillId="4" borderId="9" xfId="0" applyNumberFormat="1" applyFill="1" applyBorder="1" applyAlignment="1">
      <alignment horizontal="center" wrapText="1"/>
    </xf>
    <xf numFmtId="3" fontId="0" fillId="2" borderId="9" xfId="0" applyNumberFormat="1" applyFill="1" applyBorder="1" applyAlignment="1">
      <alignment horizontal="center" wrapText="1"/>
    </xf>
    <xf numFmtId="9" fontId="0" fillId="2" borderId="9" xfId="1" applyNumberFormat="1" applyFont="1" applyFill="1" applyBorder="1" applyAlignment="1">
      <alignment horizontal="center" wrapText="1"/>
    </xf>
    <xf numFmtId="3" fontId="0" fillId="2" borderId="10" xfId="0" applyNumberFormat="1" applyFill="1" applyBorder="1" applyAlignment="1">
      <alignment horizontal="center" wrapText="1"/>
    </xf>
    <xf numFmtId="3" fontId="0" fillId="4" borderId="13" xfId="0" applyNumberFormat="1" applyFill="1" applyBorder="1" applyAlignment="1">
      <alignment horizontal="center" wrapText="1"/>
    </xf>
    <xf numFmtId="0" fontId="0" fillId="0" borderId="0" xfId="0" quotePrefix="1" applyFont="1" applyBorder="1" applyAlignment="1">
      <alignment horizontal="center" wrapText="1"/>
    </xf>
    <xf numFmtId="3" fontId="0" fillId="2" borderId="5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64" fontId="0" fillId="0" borderId="5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3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3" fontId="0" fillId="2" borderId="9" xfId="0" applyNumberFormat="1" applyFont="1" applyFill="1" applyBorder="1" applyAlignment="1">
      <alignment horizontal="center" wrapText="1"/>
    </xf>
    <xf numFmtId="1" fontId="0" fillId="0" borderId="4" xfId="0" applyNumberFormat="1" applyFont="1" applyFill="1" applyBorder="1" applyAlignment="1">
      <alignment horizontal="center" wrapText="1"/>
    </xf>
    <xf numFmtId="1" fontId="0" fillId="0" borderId="8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right" wrapText="1"/>
    </xf>
    <xf numFmtId="0" fontId="0" fillId="3" borderId="8" xfId="0" applyFill="1" applyBorder="1" applyAlignment="1">
      <alignment horizontal="right" wrapText="1"/>
    </xf>
    <xf numFmtId="167" fontId="0" fillId="3" borderId="5" xfId="0" applyNumberFormat="1" applyFill="1" applyBorder="1" applyAlignment="1">
      <alignment horizontal="right" wrapText="1"/>
    </xf>
    <xf numFmtId="0" fontId="0" fillId="3" borderId="9" xfId="0" applyFill="1" applyBorder="1" applyAlignment="1">
      <alignment horizontal="right" wrapText="1"/>
    </xf>
    <xf numFmtId="0" fontId="0" fillId="3" borderId="6" xfId="0" applyFill="1" applyBorder="1" applyAlignment="1">
      <alignment horizontal="right" wrapText="1"/>
    </xf>
    <xf numFmtId="3" fontId="0" fillId="3" borderId="10" xfId="0" applyNumberFormat="1" applyFill="1" applyBorder="1" applyAlignment="1">
      <alignment horizontal="right" wrapText="1"/>
    </xf>
    <xf numFmtId="0" fontId="0" fillId="3" borderId="5" xfId="0" applyFill="1" applyBorder="1" applyAlignment="1">
      <alignment horizontal="right" wrapText="1"/>
    </xf>
    <xf numFmtId="167" fontId="0" fillId="3" borderId="9" xfId="0" applyNumberFormat="1" applyFill="1" applyBorder="1" applyAlignment="1">
      <alignment horizontal="right" wrapText="1"/>
    </xf>
    <xf numFmtId="167" fontId="0" fillId="3" borderId="10" xfId="0" applyNumberForma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wrapText="1"/>
    </xf>
    <xf numFmtId="3" fontId="2" fillId="3" borderId="9" xfId="0" applyNumberFormat="1" applyFont="1" applyFill="1" applyBorder="1" applyAlignment="1">
      <alignment horizontal="right" wrapText="1"/>
    </xf>
    <xf numFmtId="166" fontId="2" fillId="3" borderId="9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Continuous" vertical="center" wrapText="1"/>
    </xf>
    <xf numFmtId="2" fontId="2" fillId="3" borderId="10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vertical="top" wrapText="1"/>
    </xf>
    <xf numFmtId="0" fontId="0" fillId="5" borderId="16" xfId="0" applyFill="1" applyBorder="1" applyAlignment="1">
      <alignment horizontal="centerContinuous" vertical="top" wrapText="1"/>
    </xf>
    <xf numFmtId="0" fontId="0" fillId="0" borderId="15" xfId="0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14" xfId="0" applyFill="1" applyBorder="1" applyAlignment="1">
      <alignment vertical="top"/>
    </xf>
    <xf numFmtId="0" fontId="0" fillId="0" borderId="14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0" fontId="2" fillId="5" borderId="1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wrapText="1"/>
    </xf>
    <xf numFmtId="0" fontId="0" fillId="0" borderId="17" xfId="0" applyFill="1" applyBorder="1" applyAlignment="1">
      <alignment vertical="top" wrapText="1"/>
    </xf>
    <xf numFmtId="164" fontId="9" fillId="0" borderId="8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0" fontId="9" fillId="0" borderId="11" xfId="0" applyFont="1" applyBorder="1" applyAlignment="1">
      <alignment wrapText="1"/>
    </xf>
    <xf numFmtId="2" fontId="9" fillId="0" borderId="13" xfId="0" applyNumberFormat="1" applyFont="1" applyFill="1" applyBorder="1" applyAlignment="1">
      <alignment horizontal="center"/>
    </xf>
    <xf numFmtId="0" fontId="0" fillId="0" borderId="14" xfId="0" quotePrefix="1" applyFill="1" applyBorder="1" applyAlignment="1">
      <alignment vertical="top" wrapText="1"/>
    </xf>
    <xf numFmtId="1" fontId="9" fillId="0" borderId="5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 applyBorder="1"/>
    <xf numFmtId="0" fontId="11" fillId="0" borderId="0" xfId="0" applyFont="1" applyFill="1" applyBorder="1"/>
    <xf numFmtId="2" fontId="15" fillId="0" borderId="0" xfId="0" quotePrefix="1" applyNumberFormat="1" applyFont="1" applyFill="1" applyBorder="1"/>
    <xf numFmtId="0" fontId="14" fillId="0" borderId="0" xfId="0" applyFont="1" applyFill="1"/>
    <xf numFmtId="164" fontId="9" fillId="0" borderId="0" xfId="0" applyNumberFormat="1" applyFont="1" applyFill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10" fillId="0" borderId="0" xfId="0" applyFont="1" applyFill="1"/>
    <xf numFmtId="2" fontId="10" fillId="0" borderId="0" xfId="0" applyNumberFormat="1" applyFont="1" applyFill="1"/>
    <xf numFmtId="1" fontId="14" fillId="0" borderId="0" xfId="0" applyNumberFormat="1" applyFont="1" applyFill="1"/>
    <xf numFmtId="1" fontId="10" fillId="0" borderId="0" xfId="0" applyNumberFormat="1" applyFont="1" applyFill="1"/>
    <xf numFmtId="0" fontId="10" fillId="0" borderId="0" xfId="0" quotePrefix="1" applyFont="1" applyFill="1"/>
    <xf numFmtId="0" fontId="0" fillId="0" borderId="3" xfId="0" quotePrefix="1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8" xfId="0" applyNumberFormat="1" applyFont="1" applyFill="1" applyBorder="1" applyAlignment="1">
      <alignment horizontal="center" wrapText="1"/>
    </xf>
    <xf numFmtId="9" fontId="0" fillId="2" borderId="6" xfId="1" applyFont="1" applyFill="1" applyBorder="1" applyAlignment="1">
      <alignment horizontal="center" wrapText="1"/>
    </xf>
    <xf numFmtId="9" fontId="0" fillId="2" borderId="10" xfId="1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0" fontId="10" fillId="0" borderId="0" xfId="0" quotePrefix="1" applyFont="1"/>
    <xf numFmtId="0" fontId="10" fillId="6" borderId="4" xfId="0" applyFont="1" applyFill="1" applyBorder="1" applyAlignment="1">
      <alignment horizontal="centerContinuous" vertical="center" wrapText="1"/>
    </xf>
    <xf numFmtId="0" fontId="9" fillId="6" borderId="3" xfId="0" applyFont="1" applyFill="1" applyBorder="1" applyAlignment="1">
      <alignment horizontal="centerContinuous" wrapText="1"/>
    </xf>
    <xf numFmtId="0" fontId="9" fillId="6" borderId="8" xfId="0" applyFont="1" applyFill="1" applyBorder="1" applyAlignment="1">
      <alignment horizontal="centerContinuous" wrapText="1"/>
    </xf>
    <xf numFmtId="0" fontId="10" fillId="6" borderId="11" xfId="0" applyFont="1" applyFill="1" applyBorder="1"/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Continuous" vertical="center" wrapText="1"/>
    </xf>
    <xf numFmtId="0" fontId="9" fillId="6" borderId="12" xfId="0" applyFont="1" applyFill="1" applyBorder="1" applyAlignment="1">
      <alignment horizontal="centerContinuous" wrapText="1"/>
    </xf>
    <xf numFmtId="0" fontId="9" fillId="6" borderId="13" xfId="0" applyFont="1" applyFill="1" applyBorder="1" applyAlignment="1">
      <alignment horizontal="centerContinuous" wrapText="1"/>
    </xf>
    <xf numFmtId="0" fontId="9" fillId="6" borderId="12" xfId="0" applyFont="1" applyFill="1" applyBorder="1"/>
    <xf numFmtId="0" fontId="9" fillId="6" borderId="13" xfId="0" applyFont="1" applyFill="1" applyBorder="1"/>
    <xf numFmtId="0" fontId="10" fillId="6" borderId="12" xfId="0" applyFont="1" applyFill="1" applyBorder="1"/>
    <xf numFmtId="0" fontId="10" fillId="6" borderId="13" xfId="0" applyFont="1" applyFill="1" applyBorder="1"/>
    <xf numFmtId="167" fontId="0" fillId="0" borderId="5" xfId="0" applyNumberFormat="1" applyFill="1" applyBorder="1" applyAlignment="1">
      <alignment horizontal="center" wrapText="1"/>
    </xf>
    <xf numFmtId="167" fontId="0" fillId="0" borderId="0" xfId="0" applyNumberFormat="1" applyFill="1" applyBorder="1" applyAlignment="1">
      <alignment horizontal="center" wrapText="1"/>
    </xf>
    <xf numFmtId="167" fontId="0" fillId="0" borderId="14" xfId="0" applyNumberFormat="1" applyBorder="1" applyAlignment="1">
      <alignment vertical="top" wrapText="1"/>
    </xf>
    <xf numFmtId="167" fontId="0" fillId="0" borderId="0" xfId="0" applyNumberFormat="1"/>
    <xf numFmtId="4" fontId="0" fillId="0" borderId="14" xfId="0" applyNumberFormat="1" applyBorder="1" applyAlignment="1">
      <alignment vertical="top" wrapText="1"/>
    </xf>
    <xf numFmtId="4" fontId="0" fillId="0" borderId="0" xfId="0" applyNumberFormat="1"/>
    <xf numFmtId="1" fontId="2" fillId="3" borderId="5" xfId="0" applyNumberFormat="1" applyFont="1" applyFill="1" applyBorder="1" applyAlignment="1">
      <alignment horizontal="center" wrapText="1"/>
    </xf>
    <xf numFmtId="1" fontId="2" fillId="3" borderId="9" xfId="0" applyNumberFormat="1" applyFont="1" applyFill="1" applyBorder="1" applyAlignment="1">
      <alignment horizontal="center" wrapText="1"/>
    </xf>
    <xf numFmtId="1" fontId="2" fillId="3" borderId="14" xfId="0" applyNumberFormat="1" applyFont="1" applyFill="1" applyBorder="1" applyAlignment="1">
      <alignment vertical="top" wrapText="1"/>
    </xf>
    <xf numFmtId="1" fontId="0" fillId="0" borderId="0" xfId="0" applyNumberFormat="1" applyBorder="1"/>
    <xf numFmtId="0" fontId="7" fillId="3" borderId="11" xfId="0" applyFont="1" applyFill="1" applyBorder="1" applyAlignment="1">
      <alignment horizontal="center" wrapText="1"/>
    </xf>
    <xf numFmtId="2" fontId="9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" fontId="9" fillId="0" borderId="5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/>
    <xf numFmtId="2" fontId="9" fillId="0" borderId="9" xfId="0" applyNumberFormat="1" applyFont="1" applyFill="1" applyBorder="1" applyAlignment="1">
      <alignment horizontal="center"/>
    </xf>
    <xf numFmtId="0" fontId="3" fillId="0" borderId="0" xfId="0" applyFont="1"/>
    <xf numFmtId="0" fontId="20" fillId="0" borderId="0" xfId="0" applyFont="1"/>
    <xf numFmtId="0" fontId="21" fillId="0" borderId="0" xfId="0" applyFont="1"/>
    <xf numFmtId="49" fontId="19" fillId="0" borderId="0" xfId="0" applyNumberFormat="1" applyFont="1" applyAlignment="1">
      <alignment horizontal="left"/>
    </xf>
    <xf numFmtId="0" fontId="2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/>
    <xf numFmtId="0" fontId="7" fillId="3" borderId="1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B30" sqref="B30"/>
    </sheetView>
  </sheetViews>
  <sheetFormatPr defaultRowHeight="15" x14ac:dyDescent="0.25"/>
  <cols>
    <col min="1" max="1" width="82.42578125" customWidth="1"/>
  </cols>
  <sheetData>
    <row r="1" spans="1:9" ht="22.5" customHeight="1" x14ac:dyDescent="0.25">
      <c r="A1" s="416" t="s">
        <v>406</v>
      </c>
      <c r="B1" s="7"/>
      <c r="C1" s="7"/>
      <c r="D1" s="7"/>
      <c r="E1" s="7"/>
      <c r="F1" s="7"/>
      <c r="G1" s="7"/>
      <c r="H1" s="7"/>
      <c r="I1" s="7"/>
    </row>
    <row r="2" spans="1:9" ht="22.5" customHeight="1" x14ac:dyDescent="0.25">
      <c r="A2" s="417"/>
    </row>
    <row r="3" spans="1:9" ht="22.5" x14ac:dyDescent="0.3">
      <c r="A3" s="414" t="s">
        <v>413</v>
      </c>
    </row>
    <row r="5" spans="1:9" x14ac:dyDescent="0.25">
      <c r="A5" s="411"/>
    </row>
    <row r="6" spans="1:9" ht="67.5" x14ac:dyDescent="0.3">
      <c r="A6" s="415" t="s">
        <v>414</v>
      </c>
    </row>
    <row r="7" spans="1:9" x14ac:dyDescent="0.25">
      <c r="A7" s="411"/>
    </row>
    <row r="8" spans="1:9" x14ac:dyDescent="0.25">
      <c r="A8" s="411"/>
    </row>
    <row r="9" spans="1:9" x14ac:dyDescent="0.25">
      <c r="A9" s="411"/>
    </row>
    <row r="10" spans="1:9" x14ac:dyDescent="0.25">
      <c r="A10" s="411"/>
    </row>
    <row r="11" spans="1:9" x14ac:dyDescent="0.25">
      <c r="A11" s="411"/>
    </row>
    <row r="12" spans="1:9" x14ac:dyDescent="0.25">
      <c r="A12" s="411"/>
    </row>
    <row r="13" spans="1:9" x14ac:dyDescent="0.25">
      <c r="A13" s="411"/>
    </row>
    <row r="14" spans="1:9" ht="15.75" x14ac:dyDescent="0.25">
      <c r="A14" s="412" t="s">
        <v>407</v>
      </c>
    </row>
    <row r="15" spans="1:9" ht="15.75" x14ac:dyDescent="0.25">
      <c r="A15" s="412" t="s">
        <v>408</v>
      </c>
    </row>
    <row r="16" spans="1:9" ht="15.75" x14ac:dyDescent="0.25">
      <c r="A16" s="412" t="s">
        <v>409</v>
      </c>
    </row>
    <row r="17" spans="1:1" ht="15.75" x14ac:dyDescent="0.25">
      <c r="A17" s="412" t="s">
        <v>410</v>
      </c>
    </row>
    <row r="18" spans="1:1" ht="15.75" x14ac:dyDescent="0.25">
      <c r="A18" s="412" t="s">
        <v>411</v>
      </c>
    </row>
    <row r="19" spans="1:1" x14ac:dyDescent="0.25">
      <c r="A19" s="411"/>
    </row>
    <row r="20" spans="1:1" x14ac:dyDescent="0.25">
      <c r="A20" s="411"/>
    </row>
    <row r="21" spans="1:1" x14ac:dyDescent="0.25">
      <c r="A21" s="411"/>
    </row>
    <row r="22" spans="1:1" x14ac:dyDescent="0.25">
      <c r="A22" s="411"/>
    </row>
    <row r="23" spans="1:1" x14ac:dyDescent="0.25">
      <c r="A23" s="411"/>
    </row>
    <row r="24" spans="1:1" x14ac:dyDescent="0.25">
      <c r="A24" s="411"/>
    </row>
    <row r="25" spans="1:1" x14ac:dyDescent="0.25">
      <c r="A25" s="411"/>
    </row>
    <row r="26" spans="1:1" x14ac:dyDescent="0.25">
      <c r="A26" s="411"/>
    </row>
    <row r="27" spans="1:1" x14ac:dyDescent="0.25">
      <c r="A27" s="411"/>
    </row>
    <row r="28" spans="1:1" x14ac:dyDescent="0.25">
      <c r="A28" s="411"/>
    </row>
    <row r="29" spans="1:1" x14ac:dyDescent="0.25">
      <c r="A29" s="411"/>
    </row>
    <row r="30" spans="1:1" x14ac:dyDescent="0.25">
      <c r="A30" s="411"/>
    </row>
    <row r="31" spans="1:1" x14ac:dyDescent="0.25">
      <c r="A31" s="411"/>
    </row>
    <row r="32" spans="1:1" x14ac:dyDescent="0.25">
      <c r="A32" s="411"/>
    </row>
    <row r="33" spans="1:1" x14ac:dyDescent="0.25">
      <c r="A33" s="411"/>
    </row>
    <row r="34" spans="1:1" x14ac:dyDescent="0.25">
      <c r="A34" s="411"/>
    </row>
    <row r="35" spans="1:1" x14ac:dyDescent="0.25">
      <c r="A35" s="411"/>
    </row>
    <row r="36" spans="1:1" ht="15.75" x14ac:dyDescent="0.25">
      <c r="A36" s="413" t="s">
        <v>415</v>
      </c>
    </row>
    <row r="37" spans="1:1" ht="15.75" x14ac:dyDescent="0.25">
      <c r="A37" s="412" t="s">
        <v>412</v>
      </c>
    </row>
  </sheetData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55" zoomScaleNormal="55" workbookViewId="0">
      <pane ySplit="2" topLeftCell="A3" activePane="bottomLeft" state="frozen"/>
      <selection pane="bottomLeft"/>
    </sheetView>
  </sheetViews>
  <sheetFormatPr defaultColWidth="8.85546875" defaultRowHeight="15" x14ac:dyDescent="0.25"/>
  <cols>
    <col min="1" max="1" width="26.7109375" style="1" customWidth="1"/>
    <col min="2" max="2" width="34" style="9" customWidth="1"/>
    <col min="3" max="3" width="13.5703125" style="142" customWidth="1"/>
    <col min="4" max="5" width="13.85546875" style="167" customWidth="1"/>
    <col min="6" max="6" width="41.28515625" style="337" customWidth="1"/>
    <col min="7" max="7" width="8.85546875" style="1" customWidth="1"/>
    <col min="8" max="9" width="13.85546875" style="167" customWidth="1"/>
    <col min="10" max="10" width="41.28515625" style="337" customWidth="1"/>
    <col min="11" max="11" width="8.85546875" style="1" customWidth="1"/>
    <col min="12" max="13" width="13.85546875" style="167" customWidth="1"/>
    <col min="14" max="14" width="41.28515625" style="337" customWidth="1"/>
    <col min="15" max="16384" width="8.85546875" style="1"/>
  </cols>
  <sheetData>
    <row r="1" spans="1:14" ht="25.9" customHeight="1" x14ac:dyDescent="0.3">
      <c r="A1" s="48"/>
      <c r="B1" s="49"/>
      <c r="C1" s="136"/>
      <c r="D1" s="317" t="s">
        <v>235</v>
      </c>
      <c r="E1" s="50"/>
      <c r="F1" s="320"/>
      <c r="H1" s="317" t="s">
        <v>371</v>
      </c>
      <c r="I1" s="50"/>
      <c r="J1" s="320"/>
      <c r="L1" s="317" t="s">
        <v>405</v>
      </c>
      <c r="M1" s="50"/>
      <c r="N1" s="320"/>
    </row>
    <row r="2" spans="1:14" ht="14.45" x14ac:dyDescent="0.3">
      <c r="A2" s="51"/>
      <c r="B2" s="52"/>
      <c r="C2" s="137"/>
      <c r="D2" s="53" t="s">
        <v>89</v>
      </c>
      <c r="E2" s="316" t="s">
        <v>90</v>
      </c>
      <c r="F2" s="339" t="s">
        <v>15</v>
      </c>
      <c r="H2" s="53" t="s">
        <v>89</v>
      </c>
      <c r="I2" s="316" t="s">
        <v>90</v>
      </c>
      <c r="J2" s="339" t="s">
        <v>15</v>
      </c>
      <c r="L2" s="53" t="s">
        <v>89</v>
      </c>
      <c r="M2" s="316" t="s">
        <v>90</v>
      </c>
      <c r="N2" s="339" t="s">
        <v>15</v>
      </c>
    </row>
    <row r="3" spans="1:14" ht="28.9" x14ac:dyDescent="0.3">
      <c r="A3" s="15" t="s">
        <v>177</v>
      </c>
      <c r="B3" s="16"/>
      <c r="C3" s="138"/>
      <c r="D3" s="21"/>
      <c r="E3" s="17"/>
      <c r="F3" s="319" t="s">
        <v>368</v>
      </c>
      <c r="H3" s="21"/>
      <c r="I3" s="17"/>
      <c r="J3" s="334"/>
      <c r="L3" s="21"/>
      <c r="M3" s="17"/>
      <c r="N3" s="334"/>
    </row>
    <row r="4" spans="1:14" ht="28.9" x14ac:dyDescent="0.3">
      <c r="A4" s="4" t="s">
        <v>179</v>
      </c>
      <c r="B4" s="20" t="s">
        <v>198</v>
      </c>
      <c r="C4" s="139"/>
      <c r="D4" s="202">
        <v>5000</v>
      </c>
      <c r="E4" s="276">
        <v>5000</v>
      </c>
      <c r="F4" s="255" t="s">
        <v>233</v>
      </c>
      <c r="H4" s="202">
        <v>5000</v>
      </c>
      <c r="I4" s="276">
        <v>5000</v>
      </c>
      <c r="J4" s="255"/>
      <c r="L4" s="202">
        <v>5000</v>
      </c>
      <c r="M4" s="276">
        <v>5000</v>
      </c>
      <c r="N4" s="255"/>
    </row>
    <row r="5" spans="1:14" ht="14.45" x14ac:dyDescent="0.3">
      <c r="A5" s="14"/>
      <c r="B5" s="8" t="s">
        <v>61</v>
      </c>
      <c r="D5" s="143">
        <v>0.7</v>
      </c>
      <c r="E5" s="144">
        <v>0.7</v>
      </c>
      <c r="F5" s="259"/>
      <c r="H5" s="143">
        <v>0.7</v>
      </c>
      <c r="I5" s="144">
        <v>0.7</v>
      </c>
      <c r="J5" s="259"/>
      <c r="L5" s="143">
        <v>0.7</v>
      </c>
      <c r="M5" s="144">
        <v>0.7</v>
      </c>
      <c r="N5" s="259"/>
    </row>
    <row r="6" spans="1:14" ht="14.45" x14ac:dyDescent="0.3">
      <c r="A6" s="14"/>
      <c r="B6" s="8" t="s">
        <v>62</v>
      </c>
      <c r="D6" s="143">
        <v>0.2</v>
      </c>
      <c r="E6" s="144">
        <v>0.2</v>
      </c>
      <c r="F6" s="259"/>
      <c r="H6" s="143">
        <v>0.2</v>
      </c>
      <c r="I6" s="144">
        <v>0.2</v>
      </c>
      <c r="J6" s="259"/>
      <c r="L6" s="143">
        <v>0.2</v>
      </c>
      <c r="M6" s="144">
        <v>0.2</v>
      </c>
      <c r="N6" s="259"/>
    </row>
    <row r="7" spans="1:14" ht="14.45" x14ac:dyDescent="0.3">
      <c r="A7" s="14"/>
      <c r="B7" s="8" t="s">
        <v>60</v>
      </c>
      <c r="C7" s="69"/>
      <c r="D7" s="143">
        <v>0.1</v>
      </c>
      <c r="E7" s="144">
        <v>0.1</v>
      </c>
      <c r="F7" s="335"/>
      <c r="H7" s="143">
        <v>0.1</v>
      </c>
      <c r="I7" s="144">
        <v>0.1</v>
      </c>
      <c r="J7" s="335"/>
      <c r="L7" s="143">
        <v>0.1</v>
      </c>
      <c r="M7" s="144">
        <v>0.1</v>
      </c>
      <c r="N7" s="335"/>
    </row>
    <row r="8" spans="1:14" ht="14.45" x14ac:dyDescent="0.3">
      <c r="A8" s="6"/>
      <c r="B8" s="38" t="s">
        <v>199</v>
      </c>
      <c r="C8" s="145"/>
      <c r="D8" s="146">
        <v>35</v>
      </c>
      <c r="E8" s="147">
        <v>15</v>
      </c>
      <c r="F8" s="64"/>
      <c r="H8" s="146">
        <v>35</v>
      </c>
      <c r="I8" s="147">
        <v>15</v>
      </c>
      <c r="J8" s="64"/>
      <c r="L8" s="146">
        <v>35</v>
      </c>
      <c r="M8" s="147">
        <v>15</v>
      </c>
      <c r="N8" s="64"/>
    </row>
    <row r="9" spans="1:14" s="3" customFormat="1" ht="57.6" x14ac:dyDescent="0.3">
      <c r="A9" s="4" t="s">
        <v>178</v>
      </c>
      <c r="B9" s="20" t="s">
        <v>96</v>
      </c>
      <c r="C9" s="139" t="s">
        <v>0</v>
      </c>
      <c r="D9" s="131">
        <v>1</v>
      </c>
      <c r="E9" s="132">
        <v>1</v>
      </c>
      <c r="F9" s="255" t="s">
        <v>268</v>
      </c>
      <c r="H9" s="131">
        <v>1</v>
      </c>
      <c r="I9" s="132">
        <v>1</v>
      </c>
      <c r="J9" s="255"/>
      <c r="L9" s="131">
        <v>1</v>
      </c>
      <c r="M9" s="132">
        <v>1</v>
      </c>
      <c r="N9" s="255"/>
    </row>
    <row r="10" spans="1:14" ht="28.9" x14ac:dyDescent="0.3">
      <c r="A10" s="5"/>
      <c r="B10" s="10" t="s">
        <v>154</v>
      </c>
      <c r="C10" s="142" t="s">
        <v>0</v>
      </c>
      <c r="D10" s="134">
        <v>10</v>
      </c>
      <c r="E10" s="135">
        <v>4</v>
      </c>
      <c r="F10" s="259" t="s">
        <v>234</v>
      </c>
      <c r="H10" s="134">
        <v>10</v>
      </c>
      <c r="I10" s="135">
        <v>4</v>
      </c>
      <c r="J10" s="259"/>
      <c r="L10" s="134">
        <v>10</v>
      </c>
      <c r="M10" s="135">
        <v>4</v>
      </c>
      <c r="N10" s="259"/>
    </row>
    <row r="11" spans="1:14" ht="28.9" x14ac:dyDescent="0.3">
      <c r="A11" s="5"/>
      <c r="B11" s="10" t="s">
        <v>95</v>
      </c>
      <c r="C11" s="142" t="s">
        <v>10</v>
      </c>
      <c r="D11" s="148">
        <v>4</v>
      </c>
      <c r="E11" s="149">
        <v>10</v>
      </c>
      <c r="F11" s="259" t="s">
        <v>123</v>
      </c>
      <c r="H11" s="148">
        <v>4</v>
      </c>
      <c r="I11" s="149">
        <v>10</v>
      </c>
      <c r="J11" s="259"/>
      <c r="L11" s="148">
        <v>4</v>
      </c>
      <c r="M11" s="149">
        <v>10</v>
      </c>
      <c r="N11" s="259"/>
    </row>
    <row r="12" spans="1:14" ht="28.9" x14ac:dyDescent="0.3">
      <c r="A12" s="6"/>
      <c r="B12" s="10" t="s">
        <v>155</v>
      </c>
      <c r="C12" s="142" t="s">
        <v>0</v>
      </c>
      <c r="D12" s="150">
        <f>D11*D10</f>
        <v>40</v>
      </c>
      <c r="E12" s="151">
        <f>E11*E10</f>
        <v>40</v>
      </c>
      <c r="F12" s="259" t="s">
        <v>234</v>
      </c>
      <c r="H12" s="150">
        <f>H11*H10</f>
        <v>40</v>
      </c>
      <c r="I12" s="151">
        <f>I11*I10</f>
        <v>40</v>
      </c>
      <c r="J12" s="259"/>
      <c r="L12" s="150">
        <f>L11*L10</f>
        <v>40</v>
      </c>
      <c r="M12" s="151">
        <f>M11*M10</f>
        <v>40</v>
      </c>
      <c r="N12" s="259"/>
    </row>
    <row r="13" spans="1:14" ht="28.9" x14ac:dyDescent="0.3">
      <c r="A13" s="4" t="s">
        <v>180</v>
      </c>
      <c r="B13" s="25" t="s">
        <v>206</v>
      </c>
      <c r="C13" s="139" t="s">
        <v>9</v>
      </c>
      <c r="D13" s="140">
        <v>35</v>
      </c>
      <c r="E13" s="141">
        <v>15</v>
      </c>
      <c r="F13" s="255"/>
      <c r="H13" s="140">
        <v>35</v>
      </c>
      <c r="I13" s="141">
        <v>15</v>
      </c>
      <c r="J13" s="255"/>
      <c r="L13" s="140">
        <v>35</v>
      </c>
      <c r="M13" s="141">
        <v>15</v>
      </c>
      <c r="N13" s="255"/>
    </row>
    <row r="14" spans="1:14" x14ac:dyDescent="0.25">
      <c r="A14" s="5"/>
      <c r="B14" s="8" t="s">
        <v>248</v>
      </c>
      <c r="C14" s="142" t="s">
        <v>9</v>
      </c>
      <c r="D14" s="134">
        <v>30</v>
      </c>
      <c r="E14" s="135">
        <v>25</v>
      </c>
      <c r="F14" s="259"/>
      <c r="H14" s="134">
        <v>30</v>
      </c>
      <c r="I14" s="135">
        <v>25</v>
      </c>
      <c r="J14" s="259"/>
      <c r="L14" s="134">
        <v>30</v>
      </c>
      <c r="M14" s="135">
        <v>25</v>
      </c>
      <c r="N14" s="259"/>
    </row>
    <row r="15" spans="1:14" ht="45" x14ac:dyDescent="0.25">
      <c r="A15" s="5"/>
      <c r="B15" s="8" t="s">
        <v>250</v>
      </c>
      <c r="C15" s="142" t="s">
        <v>9</v>
      </c>
      <c r="D15" s="150">
        <f>D14*Notes!$C$26</f>
        <v>45</v>
      </c>
      <c r="E15" s="151">
        <f>E14*Notes!$C$26</f>
        <v>37.5</v>
      </c>
      <c r="F15" s="259" t="s">
        <v>251</v>
      </c>
      <c r="H15" s="150">
        <f>H14*Notes!$C$26</f>
        <v>45</v>
      </c>
      <c r="I15" s="151">
        <f>I14*Notes!$C$26</f>
        <v>37.5</v>
      </c>
      <c r="J15" s="259"/>
      <c r="L15" s="150">
        <f>L14*Notes!$C$26</f>
        <v>45</v>
      </c>
      <c r="M15" s="151">
        <f>M14*Notes!$C$26</f>
        <v>37.5</v>
      </c>
      <c r="N15" s="259"/>
    </row>
    <row r="16" spans="1:14" s="3" customFormat="1" ht="60" x14ac:dyDescent="0.25">
      <c r="A16" s="26"/>
      <c r="B16" s="38" t="s">
        <v>219</v>
      </c>
      <c r="C16" s="145" t="s">
        <v>9</v>
      </c>
      <c r="D16" s="152">
        <f>-20/60*0.5</f>
        <v>-0.16666666666666666</v>
      </c>
      <c r="E16" s="153">
        <f>-20/60*0.5</f>
        <v>-0.16666666666666666</v>
      </c>
      <c r="F16" s="64" t="s">
        <v>269</v>
      </c>
      <c r="H16" s="152">
        <f>-20/60*0.5</f>
        <v>-0.16666666666666666</v>
      </c>
      <c r="I16" s="153">
        <f>-20/60*0.5</f>
        <v>-0.16666666666666666</v>
      </c>
      <c r="J16" s="64"/>
      <c r="L16" s="152">
        <f>-20/60*0.5</f>
        <v>-0.16666666666666666</v>
      </c>
      <c r="M16" s="153">
        <f>-20/60*0.5</f>
        <v>-0.16666666666666666</v>
      </c>
      <c r="N16" s="64"/>
    </row>
    <row r="17" spans="1:14" s="3" customFormat="1" x14ac:dyDescent="0.25">
      <c r="A17"/>
      <c r="B17" s="340"/>
      <c r="C17" s="154"/>
      <c r="D17" s="155"/>
      <c r="E17" s="63"/>
      <c r="F17" s="259"/>
      <c r="H17" s="155"/>
      <c r="I17" s="63"/>
      <c r="J17" s="259"/>
      <c r="L17" s="155"/>
      <c r="M17" s="63"/>
      <c r="N17" s="259"/>
    </row>
    <row r="18" spans="1:14" s="3" customFormat="1" x14ac:dyDescent="0.25">
      <c r="A18" s="15" t="s">
        <v>128</v>
      </c>
      <c r="B18" s="16"/>
      <c r="C18" s="138"/>
      <c r="D18" s="21"/>
      <c r="E18" s="17"/>
      <c r="F18" s="321"/>
      <c r="H18" s="21"/>
      <c r="I18" s="17"/>
      <c r="J18" s="321"/>
      <c r="L18" s="21"/>
      <c r="M18" s="17"/>
      <c r="N18" s="321"/>
    </row>
    <row r="19" spans="1:14" s="3" customFormat="1" ht="30" x14ac:dyDescent="0.25">
      <c r="A19" s="4" t="s">
        <v>129</v>
      </c>
      <c r="B19" s="20" t="s">
        <v>192</v>
      </c>
      <c r="C19" s="139" t="s">
        <v>94</v>
      </c>
      <c r="D19" s="156">
        <f>D16</f>
        <v>-0.16666666666666666</v>
      </c>
      <c r="E19" s="157">
        <f>E16</f>
        <v>-0.16666666666666666</v>
      </c>
      <c r="F19" s="255"/>
      <c r="H19" s="156">
        <f>H16</f>
        <v>-0.16666666666666666</v>
      </c>
      <c r="I19" s="157">
        <f>I16</f>
        <v>-0.16666666666666666</v>
      </c>
      <c r="J19" s="255"/>
      <c r="L19" s="156">
        <f>L16</f>
        <v>-0.16666666666666666</v>
      </c>
      <c r="M19" s="157">
        <f>M16</f>
        <v>-0.16666666666666666</v>
      </c>
      <c r="N19" s="255"/>
    </row>
    <row r="20" spans="1:14" s="3" customFormat="1" ht="30" x14ac:dyDescent="0.25">
      <c r="A20" s="5"/>
      <c r="B20" s="9" t="s">
        <v>193</v>
      </c>
      <c r="C20" s="142" t="s">
        <v>94</v>
      </c>
      <c r="D20" s="156">
        <f>D5*D19</f>
        <v>-0.11666666666666665</v>
      </c>
      <c r="E20" s="157">
        <f>E5*E19</f>
        <v>-0.11666666666666665</v>
      </c>
      <c r="F20" s="259"/>
      <c r="H20" s="156">
        <f>H5*H19</f>
        <v>-0.11666666666666665</v>
      </c>
      <c r="I20" s="157">
        <f>I5*I19</f>
        <v>-0.11666666666666665</v>
      </c>
      <c r="J20" s="259"/>
      <c r="L20" s="156">
        <f>L5*L19</f>
        <v>-0.11666666666666665</v>
      </c>
      <c r="M20" s="157">
        <f>M5*M19</f>
        <v>-0.11666666666666665</v>
      </c>
      <c r="N20" s="259"/>
    </row>
    <row r="21" spans="1:14" s="3" customFormat="1" x14ac:dyDescent="0.25">
      <c r="A21" s="5"/>
      <c r="B21" s="9" t="s">
        <v>147</v>
      </c>
      <c r="C21" s="142" t="s">
        <v>149</v>
      </c>
      <c r="D21" s="156">
        <f>D20/60*Notes!$C$18*D$4</f>
        <v>-106.16666666666664</v>
      </c>
      <c r="E21" s="157">
        <f>E20/60*Notes!$C$19*E$4</f>
        <v>-93.916666666666657</v>
      </c>
      <c r="F21" s="259"/>
      <c r="H21" s="156">
        <f>H20/60*Notes!$C$18*H$4</f>
        <v>-106.16666666666664</v>
      </c>
      <c r="I21" s="157">
        <f>I20/60*Notes!$C$19*I$4</f>
        <v>-93.916666666666657</v>
      </c>
      <c r="J21" s="259"/>
      <c r="L21" s="156">
        <f>L20/60*Notes!$C$18*L$4</f>
        <v>-106.16666666666664</v>
      </c>
      <c r="M21" s="157">
        <f>M20/60*Notes!$C$19*M$4</f>
        <v>-93.916666666666657</v>
      </c>
      <c r="N21" s="259"/>
    </row>
    <row r="22" spans="1:14" s="3" customFormat="1" x14ac:dyDescent="0.25">
      <c r="A22" s="6"/>
      <c r="B22" s="43" t="s">
        <v>56</v>
      </c>
      <c r="C22" s="158" t="s">
        <v>205</v>
      </c>
      <c r="D22" s="159">
        <f>D21*Notes!$C$72</f>
        <v>-26541.666666666661</v>
      </c>
      <c r="E22" s="160">
        <f>E21*Notes!$C$74</f>
        <v>-29114.166666666664</v>
      </c>
      <c r="F22" s="322"/>
      <c r="H22" s="159">
        <f>H21*Notes!$C$72</f>
        <v>-26541.666666666661</v>
      </c>
      <c r="I22" s="160">
        <f>I21*Notes!$C$74</f>
        <v>-29114.166666666664</v>
      </c>
      <c r="J22" s="322"/>
      <c r="L22" s="159">
        <f>L21*Notes!$C$72</f>
        <v>-26541.666666666661</v>
      </c>
      <c r="M22" s="160">
        <f>M21*Notes!$C$74</f>
        <v>-29114.166666666664</v>
      </c>
      <c r="N22" s="322"/>
    </row>
    <row r="23" spans="1:14" s="3" customFormat="1" ht="45" x14ac:dyDescent="0.25">
      <c r="A23" s="24" t="s">
        <v>138</v>
      </c>
      <c r="B23" s="25" t="s">
        <v>237</v>
      </c>
      <c r="C23" s="139" t="s">
        <v>125</v>
      </c>
      <c r="D23" s="161">
        <v>1</v>
      </c>
      <c r="E23" s="162">
        <v>0</v>
      </c>
      <c r="F23" s="255" t="s">
        <v>257</v>
      </c>
      <c r="H23" s="161">
        <v>1</v>
      </c>
      <c r="I23" s="162">
        <v>0</v>
      </c>
      <c r="J23" s="255"/>
      <c r="L23" s="161">
        <v>1</v>
      </c>
      <c r="M23" s="162">
        <v>0</v>
      </c>
      <c r="N23" s="255"/>
    </row>
    <row r="24" spans="1:14" s="3" customFormat="1" ht="30" x14ac:dyDescent="0.25">
      <c r="A24" s="13"/>
      <c r="B24" s="8" t="s">
        <v>194</v>
      </c>
      <c r="C24" s="142" t="s">
        <v>125</v>
      </c>
      <c r="D24" s="163">
        <v>1</v>
      </c>
      <c r="E24" s="164">
        <v>1</v>
      </c>
      <c r="F24" s="259"/>
      <c r="H24" s="163">
        <v>1</v>
      </c>
      <c r="I24" s="164">
        <v>1</v>
      </c>
      <c r="J24" s="259"/>
      <c r="L24" s="163">
        <v>1</v>
      </c>
      <c r="M24" s="164">
        <v>1</v>
      </c>
      <c r="N24" s="259"/>
    </row>
    <row r="25" spans="1:14" s="3" customFormat="1" ht="30" x14ac:dyDescent="0.25">
      <c r="A25" s="5"/>
      <c r="B25" s="9" t="s">
        <v>238</v>
      </c>
      <c r="C25" s="142" t="s">
        <v>125</v>
      </c>
      <c r="D25" s="156">
        <f>(D$6*D$23+D$7*D$24)</f>
        <v>0.30000000000000004</v>
      </c>
      <c r="E25" s="157">
        <f>(E$6*E$23+E$7*E$24)</f>
        <v>0.1</v>
      </c>
      <c r="F25" s="259"/>
      <c r="H25" s="156">
        <f>(H$6*H$23+H$7*H$24)</f>
        <v>0.30000000000000004</v>
      </c>
      <c r="I25" s="157">
        <f>(I$6*I$23+I$7*I$24)</f>
        <v>0.1</v>
      </c>
      <c r="J25" s="259"/>
      <c r="L25" s="156">
        <f>(L$6*L$23+L$7*L$24)</f>
        <v>0.30000000000000004</v>
      </c>
      <c r="M25" s="157">
        <f>(M$6*M$23+M$7*M$24)</f>
        <v>0.1</v>
      </c>
      <c r="N25" s="259"/>
    </row>
    <row r="26" spans="1:14" s="3" customFormat="1" x14ac:dyDescent="0.25">
      <c r="A26" s="5"/>
      <c r="B26" s="9" t="s">
        <v>141</v>
      </c>
      <c r="C26" s="142" t="s">
        <v>149</v>
      </c>
      <c r="D26" s="156">
        <f>D25/60*Notes!$C$22*Notes!$C$18*D$4</f>
        <v>382.20000000000005</v>
      </c>
      <c r="E26" s="157">
        <f>E25/60*Notes!$C$22*Notes!$C$19*E$4</f>
        <v>112.7</v>
      </c>
      <c r="F26" s="259"/>
      <c r="H26" s="156">
        <f>H25/60*Notes!$C$22*Notes!$C$18*H$4</f>
        <v>382.20000000000005</v>
      </c>
      <c r="I26" s="157">
        <f>I25/60*Notes!$C$22*Notes!$C$19*I$4</f>
        <v>112.7</v>
      </c>
      <c r="J26" s="259"/>
      <c r="L26" s="156">
        <f>L25/60*Notes!$C$22*Notes!$C$18*L$4</f>
        <v>382.20000000000005</v>
      </c>
      <c r="M26" s="157">
        <f>M25/60*Notes!$C$22*Notes!$C$19*M$4</f>
        <v>112.7</v>
      </c>
      <c r="N26" s="259"/>
    </row>
    <row r="27" spans="1:14" s="3" customFormat="1" x14ac:dyDescent="0.25">
      <c r="A27" s="6"/>
      <c r="B27" s="43" t="s">
        <v>56</v>
      </c>
      <c r="C27" s="158" t="s">
        <v>205</v>
      </c>
      <c r="D27" s="159">
        <f>D26*Notes!$C$72</f>
        <v>95550.000000000015</v>
      </c>
      <c r="E27" s="160">
        <f>E26*Notes!$C$74</f>
        <v>34937</v>
      </c>
      <c r="F27" s="322"/>
      <c r="H27" s="159">
        <f>H26*Notes!$C$72</f>
        <v>95550.000000000015</v>
      </c>
      <c r="I27" s="160">
        <f>I26*Notes!$C$74</f>
        <v>34937</v>
      </c>
      <c r="J27" s="322"/>
      <c r="L27" s="159">
        <f>L26*Notes!$C$72</f>
        <v>95550.000000000015</v>
      </c>
      <c r="M27" s="160">
        <f>M26*Notes!$C$74</f>
        <v>34937</v>
      </c>
      <c r="N27" s="322"/>
    </row>
    <row r="28" spans="1:14" s="3" customFormat="1" ht="30" x14ac:dyDescent="0.25">
      <c r="A28" s="4" t="s">
        <v>139</v>
      </c>
      <c r="B28" s="25" t="s">
        <v>236</v>
      </c>
      <c r="C28" s="139" t="s">
        <v>93</v>
      </c>
      <c r="D28" s="161">
        <v>0</v>
      </c>
      <c r="E28" s="162">
        <v>0</v>
      </c>
      <c r="F28" s="255" t="s">
        <v>200</v>
      </c>
      <c r="H28" s="161">
        <v>0</v>
      </c>
      <c r="I28" s="162">
        <v>0</v>
      </c>
      <c r="J28" s="255"/>
      <c r="L28" s="161">
        <v>0</v>
      </c>
      <c r="M28" s="162">
        <v>0</v>
      </c>
      <c r="N28" s="255"/>
    </row>
    <row r="29" spans="1:14" s="3" customFormat="1" ht="30" x14ac:dyDescent="0.25">
      <c r="A29" s="14"/>
      <c r="B29" s="8" t="s">
        <v>207</v>
      </c>
      <c r="C29" s="142" t="s">
        <v>93</v>
      </c>
      <c r="D29" s="163">
        <v>1</v>
      </c>
      <c r="E29" s="164">
        <v>1</v>
      </c>
      <c r="F29" s="259" t="s">
        <v>200</v>
      </c>
      <c r="H29" s="163">
        <v>1</v>
      </c>
      <c r="I29" s="164">
        <v>1</v>
      </c>
      <c r="J29" s="259"/>
      <c r="L29" s="163">
        <v>1</v>
      </c>
      <c r="M29" s="164">
        <v>1</v>
      </c>
      <c r="N29" s="259"/>
    </row>
    <row r="30" spans="1:14" s="3" customFormat="1" ht="30" x14ac:dyDescent="0.25">
      <c r="A30" s="14"/>
      <c r="B30" s="9" t="s">
        <v>239</v>
      </c>
      <c r="C30" s="142" t="s">
        <v>93</v>
      </c>
      <c r="D30" s="156">
        <f>(D28*D6*0.5+D29*D7)</f>
        <v>0.1</v>
      </c>
      <c r="E30" s="157">
        <f>(E28*E6*0.5+E29*E7)</f>
        <v>0.1</v>
      </c>
      <c r="F30" s="259"/>
      <c r="H30" s="156">
        <f>(H28*H6*0.5+H29*H7)</f>
        <v>0.1</v>
      </c>
      <c r="I30" s="157">
        <f>(I28*I6*0.5+I29*I7)</f>
        <v>0.1</v>
      </c>
      <c r="J30" s="259"/>
      <c r="L30" s="156">
        <f>(L28*L6*0.5+L29*L7)</f>
        <v>0.1</v>
      </c>
      <c r="M30" s="157">
        <f>(M28*M6*0.5+M29*M7)</f>
        <v>0.1</v>
      </c>
      <c r="N30" s="259"/>
    </row>
    <row r="31" spans="1:14" s="3" customFormat="1" x14ac:dyDescent="0.25">
      <c r="A31" s="14"/>
      <c r="B31" s="9" t="s">
        <v>142</v>
      </c>
      <c r="C31" s="142" t="s">
        <v>149</v>
      </c>
      <c r="D31" s="156">
        <f>D30/60*Notes!$C$23*Notes!$C$18*D$4</f>
        <v>182</v>
      </c>
      <c r="E31" s="157">
        <f>E30/60*Notes!$C$23*Notes!$C$19*E$4</f>
        <v>161</v>
      </c>
      <c r="F31" s="259"/>
      <c r="H31" s="156">
        <f>H30/60*Notes!$C$23*Notes!$C$18*H$4</f>
        <v>182</v>
      </c>
      <c r="I31" s="157">
        <f>I30/60*Notes!$C$23*Notes!$C$19*I$4</f>
        <v>161</v>
      </c>
      <c r="J31" s="259"/>
      <c r="L31" s="156">
        <f>L30/60*Notes!$C$23*Notes!$C$18*L$4</f>
        <v>182</v>
      </c>
      <c r="M31" s="157">
        <f>M30/60*Notes!$C$23*Notes!$C$19*M$4</f>
        <v>161</v>
      </c>
      <c r="N31" s="259"/>
    </row>
    <row r="32" spans="1:14" s="3" customFormat="1" x14ac:dyDescent="0.25">
      <c r="A32" s="6"/>
      <c r="B32" s="43" t="s">
        <v>56</v>
      </c>
      <c r="C32" s="158" t="s">
        <v>205</v>
      </c>
      <c r="D32" s="159">
        <f>D31*Notes!$C$72</f>
        <v>45500</v>
      </c>
      <c r="E32" s="160">
        <f>E31*Notes!$C$74</f>
        <v>49910</v>
      </c>
      <c r="F32" s="322"/>
      <c r="H32" s="159">
        <f>H31*Notes!$C$72</f>
        <v>45500</v>
      </c>
      <c r="I32" s="160">
        <f>I31*Notes!$C$74</f>
        <v>49910</v>
      </c>
      <c r="J32" s="322"/>
      <c r="L32" s="159">
        <f>L31*Notes!$C$72</f>
        <v>45500</v>
      </c>
      <c r="M32" s="160">
        <f>M31*Notes!$C$74</f>
        <v>49910</v>
      </c>
      <c r="N32" s="322"/>
    </row>
    <row r="33" spans="1:14" s="3" customFormat="1" x14ac:dyDescent="0.25">
      <c r="A33" s="23" t="s">
        <v>81</v>
      </c>
      <c r="B33" s="18" t="s">
        <v>146</v>
      </c>
      <c r="C33" s="138"/>
      <c r="D33" s="165"/>
      <c r="E33" s="166"/>
      <c r="F33" s="321"/>
      <c r="H33" s="165"/>
      <c r="I33" s="166"/>
      <c r="J33" s="321"/>
      <c r="L33" s="165"/>
      <c r="M33" s="166"/>
      <c r="N33" s="321"/>
    </row>
    <row r="34" spans="1:14" s="3" customFormat="1" ht="45" x14ac:dyDescent="0.25">
      <c r="A34" s="27" t="s">
        <v>130</v>
      </c>
      <c r="B34" s="20" t="s">
        <v>144</v>
      </c>
      <c r="C34" s="139" t="s">
        <v>145</v>
      </c>
      <c r="D34" s="131" t="s">
        <v>48</v>
      </c>
      <c r="E34" s="132" t="s">
        <v>48</v>
      </c>
      <c r="F34" s="255" t="s">
        <v>376</v>
      </c>
      <c r="H34" s="131" t="s">
        <v>48</v>
      </c>
      <c r="I34" s="132" t="s">
        <v>48</v>
      </c>
      <c r="J34" s="255"/>
      <c r="L34" s="131" t="s">
        <v>48</v>
      </c>
      <c r="M34" s="132" t="s">
        <v>48</v>
      </c>
      <c r="N34" s="255"/>
    </row>
    <row r="35" spans="1:14" customFormat="1" ht="30" x14ac:dyDescent="0.25">
      <c r="A35" s="5"/>
      <c r="B35" s="9" t="s">
        <v>102</v>
      </c>
      <c r="C35" s="142" t="s">
        <v>93</v>
      </c>
      <c r="D35" s="260">
        <f ca="1">IF(D34="Y",1,0)*Notes!$D$43*(D11*60/D12)*D9*D62</f>
        <v>0</v>
      </c>
      <c r="E35" s="263">
        <f ca="1">IF(E34="Y",1,0)*Notes!$D$43*(E11*60/E12)*E9*E62</f>
        <v>0</v>
      </c>
      <c r="F35" s="259"/>
      <c r="H35" s="260">
        <f ca="1">IF(H34="Y",1,0)*Notes!$D$43*(H11*60/H12)*H9*H62</f>
        <v>0</v>
      </c>
      <c r="I35" s="263">
        <f ca="1">IF(I34="Y",1,0)*Notes!$D$43*(I11*60/I12)*I9*I62</f>
        <v>0</v>
      </c>
      <c r="J35" s="259"/>
      <c r="L35" s="260">
        <f ca="1">IF(L34="Y",1,0)*Notes!$D$43*(L11*60/L12)*L9*L62</f>
        <v>0</v>
      </c>
      <c r="M35" s="263">
        <f ca="1">IF(M34="Y",1,0)*Notes!$D$43*(M11*60/M12)*M9*M62</f>
        <v>0</v>
      </c>
      <c r="N35" s="259"/>
    </row>
    <row r="36" spans="1:14" customFormat="1" ht="30" x14ac:dyDescent="0.25">
      <c r="A36" s="5"/>
      <c r="B36" s="9" t="s">
        <v>16</v>
      </c>
      <c r="C36" s="142" t="s">
        <v>11</v>
      </c>
      <c r="D36" s="260">
        <f ca="1">D35/60*Notes!$C$22</f>
        <v>0</v>
      </c>
      <c r="E36" s="263">
        <f ca="1">E35/60*Notes!$C$22</f>
        <v>0</v>
      </c>
      <c r="F36" s="398"/>
      <c r="G36" s="399"/>
      <c r="H36" s="260">
        <f ca="1">H35/60*Notes!$C$22</f>
        <v>0</v>
      </c>
      <c r="I36" s="263">
        <f ca="1">I35/60*Notes!$C$22</f>
        <v>0</v>
      </c>
      <c r="J36" s="259"/>
      <c r="K36" s="399"/>
      <c r="L36" s="260">
        <f ca="1">L35/60*Notes!$C$22</f>
        <v>0</v>
      </c>
      <c r="M36" s="263">
        <f ca="1">M35/60*Notes!$C$22</f>
        <v>0</v>
      </c>
      <c r="N36" s="259"/>
    </row>
    <row r="37" spans="1:14" customFormat="1" ht="30" x14ac:dyDescent="0.25">
      <c r="A37" s="5"/>
      <c r="B37" s="9" t="s">
        <v>156</v>
      </c>
      <c r="C37" s="142" t="s">
        <v>149</v>
      </c>
      <c r="D37" s="394">
        <f ca="1">D36*D4</f>
        <v>0</v>
      </c>
      <c r="E37" s="395">
        <f ca="1">E36*E4</f>
        <v>0</v>
      </c>
      <c r="F37" s="259"/>
      <c r="H37" s="394">
        <f ca="1">H36*H4</f>
        <v>0</v>
      </c>
      <c r="I37" s="395">
        <f ca="1">I36*I4</f>
        <v>0</v>
      </c>
      <c r="J37" s="259"/>
      <c r="L37" s="394">
        <f ca="1">L36*L4</f>
        <v>0</v>
      </c>
      <c r="M37" s="395">
        <f ca="1">M36*M4</f>
        <v>0</v>
      </c>
      <c r="N37" s="259"/>
    </row>
    <row r="38" spans="1:14" customFormat="1" x14ac:dyDescent="0.25">
      <c r="A38" s="6"/>
      <c r="B38" s="43" t="s">
        <v>56</v>
      </c>
      <c r="C38" s="158" t="s">
        <v>205</v>
      </c>
      <c r="D38" s="159">
        <f ca="1">D37*Notes!$C$72</f>
        <v>0</v>
      </c>
      <c r="E38" s="160">
        <f ca="1">E37*Notes!$C$72</f>
        <v>0</v>
      </c>
      <c r="F38" s="322"/>
      <c r="H38" s="159">
        <f ca="1">H37*Notes!$C$72</f>
        <v>0</v>
      </c>
      <c r="I38" s="160">
        <f ca="1">I37*Notes!$C$72</f>
        <v>0</v>
      </c>
      <c r="J38" s="322"/>
      <c r="L38" s="159">
        <f ca="1">L37*Notes!$C$72</f>
        <v>0</v>
      </c>
      <c r="M38" s="160">
        <f ca="1">M37*Notes!$C$72</f>
        <v>0</v>
      </c>
      <c r="N38" s="322"/>
    </row>
    <row r="39" spans="1:14" ht="30" x14ac:dyDescent="0.25">
      <c r="A39" s="5" t="s">
        <v>241</v>
      </c>
      <c r="B39" s="10" t="s">
        <v>221</v>
      </c>
      <c r="C39" s="167" t="s">
        <v>240</v>
      </c>
      <c r="D39" s="168" t="s">
        <v>339</v>
      </c>
      <c r="E39" s="169">
        <f ca="1">IF(ISNA(MATCH(D39,Notes!$B$93:$B$113,0)),0,OFFSET(Notes!$B$83,MATCH($B39,Notes!$B$84:$B$89,0),INDEX(Notes!$F$93:$F$113,MATCH(D39,Notes!$B$93:$B$113,0)))-OFFSET(Notes!$B$83,MATCH($B39,Notes!$B$84:$B$89,0),INDEX(Notes!$E$93:$E$113,MATCH(D39,Notes!$B$93:$B$113,0))))</f>
        <v>4</v>
      </c>
      <c r="F39" s="336" t="s">
        <v>263</v>
      </c>
      <c r="G39" s="3"/>
      <c r="H39" s="168" t="s">
        <v>339</v>
      </c>
      <c r="I39" s="169">
        <f ca="1">IF(ISNA(MATCH(H39,Notes!$B$93:$B$113,0)),0,OFFSET(Notes!$B$83,MATCH($B39,Notes!$B$84:$B$89,0),INDEX(Notes!$F$93:$F$113,MATCH(H39,Notes!$B$93:$B$113,0)))-OFFSET(Notes!$B$83,MATCH($B39,Notes!$B$84:$B$89,0),INDEX(Notes!$E$93:$E$113,MATCH(H39,Notes!$B$93:$B$113,0))))</f>
        <v>4</v>
      </c>
      <c r="J39" s="336"/>
      <c r="K39" s="3"/>
      <c r="L39" s="168" t="s">
        <v>339</v>
      </c>
      <c r="M39" s="169">
        <f ca="1">IF(ISNA(MATCH(L39,Notes!$B$93:$B$113,0)),0,OFFSET(Notes!$B$83,MATCH($B39,Notes!$B$84:$B$89,0),INDEX(Notes!$F$93:$F$113,MATCH(L39,Notes!$B$93:$B$113,0)))-OFFSET(Notes!$B$83,MATCH($B39,Notes!$B$84:$B$89,0),INDEX(Notes!$E$93:$E$113,MATCH(L39,Notes!$B$93:$B$113,0))))</f>
        <v>4</v>
      </c>
      <c r="N39" s="336"/>
    </row>
    <row r="40" spans="1:14" ht="30" x14ac:dyDescent="0.25">
      <c r="A40" s="5"/>
      <c r="B40" s="10" t="s">
        <v>222</v>
      </c>
      <c r="C40" s="167" t="s">
        <v>240</v>
      </c>
      <c r="D40" s="168" t="s">
        <v>339</v>
      </c>
      <c r="E40" s="169">
        <f ca="1">IF(ISNA(MATCH(D40,Notes!$B$93:$B$113,0)),0,OFFSET(Notes!$B$83,MATCH($B40,Notes!$B$84:$B$89,0),INDEX(Notes!$F$93:$F$113,MATCH(D40,Notes!$B$93:$B$113,0)))-OFFSET(Notes!$B$83,MATCH($B40,Notes!$B$84:$B$89,0),INDEX(Notes!$E$93:$E$113,MATCH(D40,Notes!$B$93:$B$113,0))))</f>
        <v>5</v>
      </c>
      <c r="F40" s="336" t="s">
        <v>263</v>
      </c>
      <c r="G40" s="3"/>
      <c r="H40" s="168" t="s">
        <v>339</v>
      </c>
      <c r="I40" s="169">
        <f ca="1">IF(ISNA(MATCH(H40,Notes!$B$93:$B$113,0)),0,OFFSET(Notes!$B$83,MATCH($B40,Notes!$B$84:$B$89,0),INDEX(Notes!$F$93:$F$113,MATCH(H40,Notes!$B$93:$B$113,0)))-OFFSET(Notes!$B$83,MATCH($B40,Notes!$B$84:$B$89,0),INDEX(Notes!$E$93:$E$113,MATCH(H40,Notes!$B$93:$B$113,0))))</f>
        <v>5</v>
      </c>
      <c r="J40" s="336"/>
      <c r="K40" s="3"/>
      <c r="L40" s="168" t="s">
        <v>339</v>
      </c>
      <c r="M40" s="169">
        <f ca="1">IF(ISNA(MATCH(L40,Notes!$B$93:$B$113,0)),0,OFFSET(Notes!$B$83,MATCH($B40,Notes!$B$84:$B$89,0),INDEX(Notes!$F$93:$F$113,MATCH(L40,Notes!$B$93:$B$113,0)))-OFFSET(Notes!$B$83,MATCH($B40,Notes!$B$84:$B$89,0),INDEX(Notes!$E$93:$E$113,MATCH(L40,Notes!$B$93:$B$113,0))))</f>
        <v>5</v>
      </c>
      <c r="N40" s="336"/>
    </row>
    <row r="41" spans="1:14" ht="30" x14ac:dyDescent="0.25">
      <c r="A41" s="5"/>
      <c r="B41" s="10" t="s">
        <v>223</v>
      </c>
      <c r="C41" s="167" t="s">
        <v>240</v>
      </c>
      <c r="D41" s="168" t="s">
        <v>339</v>
      </c>
      <c r="E41" s="169">
        <f ca="1">IF(ISNA(MATCH(D41,Notes!$B$93:$B$113,0)),0,OFFSET(Notes!$B$83,MATCH($B41,Notes!$B$84:$B$89,0),INDEX(Notes!$F$93:$F$113,MATCH(D41,Notes!$B$93:$B$113,0)))-OFFSET(Notes!$B$83,MATCH($B41,Notes!$B$84:$B$89,0),INDEX(Notes!$E$93:$E$113,MATCH(D41,Notes!$B$93:$B$113,0))))</f>
        <v>2</v>
      </c>
      <c r="F41" s="336" t="s">
        <v>263</v>
      </c>
      <c r="G41" s="3"/>
      <c r="H41" s="168" t="s">
        <v>339</v>
      </c>
      <c r="I41" s="169">
        <f ca="1">IF(ISNA(MATCH(H41,Notes!$B$93:$B$113,0)),0,OFFSET(Notes!$B$83,MATCH($B41,Notes!$B$84:$B$89,0),INDEX(Notes!$F$93:$F$113,MATCH(H41,Notes!$B$93:$B$113,0)))-OFFSET(Notes!$B$83,MATCH($B41,Notes!$B$84:$B$89,0),INDEX(Notes!$E$93:$E$113,MATCH(H41,Notes!$B$93:$B$113,0))))</f>
        <v>2</v>
      </c>
      <c r="J41" s="336"/>
      <c r="K41" s="3"/>
      <c r="L41" s="168" t="s">
        <v>339</v>
      </c>
      <c r="M41" s="169">
        <f ca="1">IF(ISNA(MATCH(L41,Notes!$B$93:$B$113,0)),0,OFFSET(Notes!$B$83,MATCH($B41,Notes!$B$84:$B$89,0),INDEX(Notes!$F$93:$F$113,MATCH(L41,Notes!$B$93:$B$113,0)))-OFFSET(Notes!$B$83,MATCH($B41,Notes!$B$84:$B$89,0),INDEX(Notes!$E$93:$E$113,MATCH(L41,Notes!$B$93:$B$113,0))))</f>
        <v>2</v>
      </c>
      <c r="N41" s="336"/>
    </row>
    <row r="42" spans="1:14" ht="30" x14ac:dyDescent="0.25">
      <c r="A42" s="5"/>
      <c r="B42" s="10" t="s">
        <v>224</v>
      </c>
      <c r="C42" s="167" t="s">
        <v>240</v>
      </c>
      <c r="D42" s="168" t="s">
        <v>339</v>
      </c>
      <c r="E42" s="169">
        <f ca="1">IF(ISNA(MATCH(D42,Notes!$B$93:$B$113,0)),0,OFFSET(Notes!$B$83,MATCH($B42,Notes!$B$84:$B$89,0),INDEX(Notes!$F$93:$F$113,MATCH(D42,Notes!$B$93:$B$113,0)))-OFFSET(Notes!$B$83,MATCH($B42,Notes!$B$84:$B$89,0),INDEX(Notes!$E$93:$E$113,MATCH(D42,Notes!$B$93:$B$113,0))))</f>
        <v>2</v>
      </c>
      <c r="F42" s="336" t="s">
        <v>263</v>
      </c>
      <c r="G42" s="3"/>
      <c r="H42" s="168" t="s">
        <v>339</v>
      </c>
      <c r="I42" s="169">
        <f ca="1">IF(ISNA(MATCH(H42,Notes!$B$93:$B$113,0)),0,OFFSET(Notes!$B$83,MATCH($B42,Notes!$B$84:$B$89,0),INDEX(Notes!$F$93:$F$113,MATCH(H42,Notes!$B$93:$B$113,0)))-OFFSET(Notes!$B$83,MATCH($B42,Notes!$B$84:$B$89,0),INDEX(Notes!$E$93:$E$113,MATCH(H42,Notes!$B$93:$B$113,0))))</f>
        <v>2</v>
      </c>
      <c r="J42" s="336"/>
      <c r="K42" s="3"/>
      <c r="L42" s="168" t="s">
        <v>339</v>
      </c>
      <c r="M42" s="169">
        <f ca="1">IF(ISNA(MATCH(L42,Notes!$B$93:$B$113,0)),0,OFFSET(Notes!$B$83,MATCH($B42,Notes!$B$84:$B$89,0),INDEX(Notes!$F$93:$F$113,MATCH(L42,Notes!$B$93:$B$113,0)))-OFFSET(Notes!$B$83,MATCH($B42,Notes!$B$84:$B$89,0),INDEX(Notes!$E$93:$E$113,MATCH(L42,Notes!$B$93:$B$113,0))))</f>
        <v>2</v>
      </c>
      <c r="N42" s="336"/>
    </row>
    <row r="43" spans="1:14" ht="30" x14ac:dyDescent="0.25">
      <c r="A43" s="5"/>
      <c r="B43" s="10" t="s">
        <v>225</v>
      </c>
      <c r="C43" s="167" t="s">
        <v>240</v>
      </c>
      <c r="D43" s="168" t="s">
        <v>339</v>
      </c>
      <c r="E43" s="169">
        <f ca="1">IF(ISNA(MATCH(D43,Notes!$B$93:$B$113,0)),0,OFFSET(Notes!$B$83,MATCH($B43,Notes!$B$84:$B$89,0),INDEX(Notes!$F$93:$F$113,MATCH(D43,Notes!$B$93:$B$113,0)))-OFFSET(Notes!$B$83,MATCH($B43,Notes!$B$84:$B$89,0),INDEX(Notes!$E$93:$E$113,MATCH(D43,Notes!$B$93:$B$113,0))))</f>
        <v>3</v>
      </c>
      <c r="F43" s="336" t="s">
        <v>263</v>
      </c>
      <c r="G43" s="3"/>
      <c r="H43" s="168" t="s">
        <v>339</v>
      </c>
      <c r="I43" s="169">
        <f ca="1">IF(ISNA(MATCH(H43,Notes!$B$93:$B$113,0)),0,OFFSET(Notes!$B$83,MATCH($B43,Notes!$B$84:$B$89,0),INDEX(Notes!$F$93:$F$113,MATCH(H43,Notes!$B$93:$B$113,0)))-OFFSET(Notes!$B$83,MATCH($B43,Notes!$B$84:$B$89,0),INDEX(Notes!$E$93:$E$113,MATCH(H43,Notes!$B$93:$B$113,0))))</f>
        <v>3</v>
      </c>
      <c r="J43" s="336"/>
      <c r="K43" s="3"/>
      <c r="L43" s="168" t="s">
        <v>339</v>
      </c>
      <c r="M43" s="169">
        <f ca="1">IF(ISNA(MATCH(L43,Notes!$B$93:$B$113,0)),0,OFFSET(Notes!$B$83,MATCH($B43,Notes!$B$84:$B$89,0),INDEX(Notes!$F$93:$F$113,MATCH(L43,Notes!$B$93:$B$113,0)))-OFFSET(Notes!$B$83,MATCH($B43,Notes!$B$84:$B$89,0),INDEX(Notes!$E$93:$E$113,MATCH(L43,Notes!$B$93:$B$113,0))))</f>
        <v>3</v>
      </c>
      <c r="N43" s="336"/>
    </row>
    <row r="44" spans="1:14" ht="30" x14ac:dyDescent="0.25">
      <c r="A44" s="5"/>
      <c r="B44" s="10" t="s">
        <v>226</v>
      </c>
      <c r="C44" s="167" t="s">
        <v>240</v>
      </c>
      <c r="D44" s="168" t="s">
        <v>339</v>
      </c>
      <c r="E44" s="169">
        <f ca="1">IF(ISNA(MATCH(D44,Notes!$B$93:$B$113,0)),0,OFFSET(Notes!$B$83,MATCH($B44,Notes!$B$84:$B$89,0),INDEX(Notes!$F$93:$F$113,MATCH(D44,Notes!$B$93:$B$113,0)))-OFFSET(Notes!$B$83,MATCH($B44,Notes!$B$84:$B$89,0),INDEX(Notes!$E$93:$E$113,MATCH(D44,Notes!$B$93:$B$113,0))))</f>
        <v>2</v>
      </c>
      <c r="F44" s="336" t="s">
        <v>263</v>
      </c>
      <c r="G44" s="3"/>
      <c r="H44" s="168" t="s">
        <v>339</v>
      </c>
      <c r="I44" s="169">
        <f ca="1">IF(ISNA(MATCH(H44,Notes!$B$93:$B$113,0)),0,OFFSET(Notes!$B$83,MATCH($B44,Notes!$B$84:$B$89,0),INDEX(Notes!$F$93:$F$113,MATCH(H44,Notes!$B$93:$B$113,0)))-OFFSET(Notes!$B$83,MATCH($B44,Notes!$B$84:$B$89,0),INDEX(Notes!$E$93:$E$113,MATCH(H44,Notes!$B$93:$B$113,0))))</f>
        <v>2</v>
      </c>
      <c r="J44" s="336"/>
      <c r="K44" s="3"/>
      <c r="L44" s="168" t="s">
        <v>339</v>
      </c>
      <c r="M44" s="169">
        <f ca="1">IF(ISNA(MATCH(L44,Notes!$B$93:$B$113,0)),0,OFFSET(Notes!$B$83,MATCH($B44,Notes!$B$84:$B$89,0),INDEX(Notes!$F$93:$F$113,MATCH(L44,Notes!$B$93:$B$113,0)))-OFFSET(Notes!$B$83,MATCH($B44,Notes!$B$84:$B$89,0),INDEX(Notes!$E$93:$E$113,MATCH(L44,Notes!$B$93:$B$113,0))))</f>
        <v>2</v>
      </c>
      <c r="N44" s="336"/>
    </row>
    <row r="45" spans="1:14" ht="30" x14ac:dyDescent="0.25">
      <c r="A45" s="5"/>
      <c r="B45" s="10" t="s">
        <v>242</v>
      </c>
      <c r="C45" s="167" t="s">
        <v>158</v>
      </c>
      <c r="D45" s="156">
        <f ca="1">SUM(E39:E44)/100</f>
        <v>0.18</v>
      </c>
      <c r="E45" s="157">
        <f ca="1">D45</f>
        <v>0.18</v>
      </c>
      <c r="F45" s="336"/>
      <c r="G45" s="3"/>
      <c r="H45" s="156">
        <f ca="1">SUM(I39:I44)/100</f>
        <v>0.18</v>
      </c>
      <c r="I45" s="157">
        <f ca="1">H45</f>
        <v>0.18</v>
      </c>
      <c r="J45" s="336"/>
      <c r="K45" s="3"/>
      <c r="L45" s="156">
        <f ca="1">SUM(M39:M44)/100</f>
        <v>0.18</v>
      </c>
      <c r="M45" s="157">
        <f ca="1">L45</f>
        <v>0.18</v>
      </c>
      <c r="N45" s="336"/>
    </row>
    <row r="46" spans="1:14" ht="30" x14ac:dyDescent="0.25">
      <c r="A46" s="5"/>
      <c r="B46" s="10" t="s">
        <v>243</v>
      </c>
      <c r="C46" s="167" t="s">
        <v>158</v>
      </c>
      <c r="D46" s="156">
        <f ca="1">SUM(E39,E44)/100*0.5</f>
        <v>0.03</v>
      </c>
      <c r="E46" s="157">
        <f ca="1">D46</f>
        <v>0.03</v>
      </c>
      <c r="F46" s="259" t="s">
        <v>245</v>
      </c>
      <c r="G46" s="3"/>
      <c r="H46" s="156">
        <f ca="1">SUM(I39,I44)/100*0.5</f>
        <v>0.03</v>
      </c>
      <c r="I46" s="157">
        <f ca="1">H46</f>
        <v>0.03</v>
      </c>
      <c r="J46" s="259"/>
      <c r="K46" s="3"/>
      <c r="L46" s="156">
        <f ca="1">SUM(M39,M44)/100*0.5</f>
        <v>0.03</v>
      </c>
      <c r="M46" s="157">
        <f ca="1">L46</f>
        <v>0.03</v>
      </c>
      <c r="N46" s="259"/>
    </row>
    <row r="47" spans="1:14" ht="30" x14ac:dyDescent="0.25">
      <c r="A47" s="5"/>
      <c r="B47" s="10" t="s">
        <v>244</v>
      </c>
      <c r="C47" s="167" t="s">
        <v>158</v>
      </c>
      <c r="D47" s="156">
        <f ca="1">D45</f>
        <v>0.18</v>
      </c>
      <c r="E47" s="157">
        <f ca="1">D47</f>
        <v>0.18</v>
      </c>
      <c r="F47" s="259"/>
      <c r="G47" s="3"/>
      <c r="H47" s="156">
        <f ca="1">H45</f>
        <v>0.18</v>
      </c>
      <c r="I47" s="157">
        <f ca="1">H47</f>
        <v>0.18</v>
      </c>
      <c r="J47" s="259"/>
      <c r="K47" s="3"/>
      <c r="L47" s="156">
        <f ca="1">L45</f>
        <v>0.18</v>
      </c>
      <c r="M47" s="157">
        <f ca="1">L47</f>
        <v>0.18</v>
      </c>
      <c r="N47" s="259"/>
    </row>
    <row r="48" spans="1:14" ht="30" x14ac:dyDescent="0.25">
      <c r="A48" s="5"/>
      <c r="B48" s="9" t="s">
        <v>246</v>
      </c>
      <c r="C48" s="167" t="s">
        <v>158</v>
      </c>
      <c r="D48" s="156">
        <f ca="1">(D45*D6*0.5)+(D46*D6*0.5)+(D47*D7)</f>
        <v>3.8999999999999993E-2</v>
      </c>
      <c r="E48" s="157">
        <f ca="1">(E45*E6*0.5)+(E46*E6*0.5)+(E47*E7)</f>
        <v>3.8999999999999993E-2</v>
      </c>
      <c r="F48" s="259"/>
      <c r="G48" s="3"/>
      <c r="H48" s="156">
        <f ca="1">(H45*H6*0.5)+(H46*H6*0.5)+(H47*H7)</f>
        <v>3.8999999999999993E-2</v>
      </c>
      <c r="I48" s="157">
        <f ca="1">(I45*I6*0.5)+(I46*I6*0.5)+(I47*I7)</f>
        <v>3.8999999999999993E-2</v>
      </c>
      <c r="J48" s="259"/>
      <c r="K48" s="3"/>
      <c r="L48" s="156">
        <f ca="1">(L45*L6*0.5)+(L46*L6*0.5)+(L47*L7)</f>
        <v>3.8999999999999993E-2</v>
      </c>
      <c r="M48" s="157">
        <f ca="1">(M45*M6*0.5)+(M46*M6*0.5)+(M47*M7)</f>
        <v>3.8999999999999993E-2</v>
      </c>
      <c r="N48" s="259"/>
    </row>
    <row r="49" spans="1:14" ht="30" x14ac:dyDescent="0.25">
      <c r="A49" s="5"/>
      <c r="B49" s="9" t="s">
        <v>247</v>
      </c>
      <c r="C49" s="142" t="s">
        <v>94</v>
      </c>
      <c r="D49" s="156">
        <f ca="1">D48/Notes!$C$18*60</f>
        <v>0.21428571428571425</v>
      </c>
      <c r="E49" s="157">
        <f ca="1">E48/Notes!$C$19*60</f>
        <v>0.24223602484472045</v>
      </c>
      <c r="F49" s="259"/>
      <c r="G49" s="3"/>
      <c r="H49" s="156">
        <f ca="1">H48/Notes!$C$18*60</f>
        <v>0.21428571428571425</v>
      </c>
      <c r="I49" s="157">
        <f ca="1">I48/Notes!$C$19*60</f>
        <v>0.24223602484472045</v>
      </c>
      <c r="J49" s="259"/>
      <c r="K49" s="3"/>
      <c r="L49" s="156">
        <f ca="1">L48/Notes!$C$18*60</f>
        <v>0.21428571428571425</v>
      </c>
      <c r="M49" s="157">
        <f ca="1">M48/Notes!$C$19*60</f>
        <v>0.24223602484472045</v>
      </c>
      <c r="N49" s="259"/>
    </row>
    <row r="50" spans="1:14" x14ac:dyDescent="0.25">
      <c r="A50" s="5"/>
      <c r="B50" s="9" t="s">
        <v>143</v>
      </c>
      <c r="C50" s="142" t="s">
        <v>149</v>
      </c>
      <c r="D50" s="170">
        <f ca="1">D48*D4</f>
        <v>194.99999999999997</v>
      </c>
      <c r="E50" s="171">
        <f ca="1">E48*E4</f>
        <v>194.99999999999997</v>
      </c>
      <c r="F50" s="259"/>
      <c r="G50" s="3"/>
      <c r="H50" s="170">
        <f ca="1">H48*H4</f>
        <v>194.99999999999997</v>
      </c>
      <c r="I50" s="171">
        <f ca="1">I48*I4</f>
        <v>194.99999999999997</v>
      </c>
      <c r="J50" s="259"/>
      <c r="K50" s="3"/>
      <c r="L50" s="170">
        <f ca="1">L48*L4</f>
        <v>194.99999999999997</v>
      </c>
      <c r="M50" s="171">
        <f ca="1">M48*M4</f>
        <v>194.99999999999997</v>
      </c>
      <c r="N50" s="259"/>
    </row>
    <row r="51" spans="1:14" x14ac:dyDescent="0.25">
      <c r="A51" s="6"/>
      <c r="B51" s="43" t="s">
        <v>56</v>
      </c>
      <c r="C51" s="158" t="s">
        <v>205</v>
      </c>
      <c r="D51" s="159">
        <f ca="1">D50*Notes!$C$72</f>
        <v>48749.999999999993</v>
      </c>
      <c r="E51" s="160">
        <f ca="1">E50*Notes!$C$74</f>
        <v>60449.999999999993</v>
      </c>
      <c r="F51" s="322"/>
      <c r="G51" s="3"/>
      <c r="H51" s="159">
        <f ca="1">H50*Notes!$C$72</f>
        <v>48749.999999999993</v>
      </c>
      <c r="I51" s="160">
        <f ca="1">I50*Notes!$C$74</f>
        <v>60449.999999999993</v>
      </c>
      <c r="J51" s="322"/>
      <c r="K51" s="3"/>
      <c r="L51" s="159">
        <f ca="1">L50*Notes!$C$72</f>
        <v>48749.999999999993</v>
      </c>
      <c r="M51" s="160">
        <f ca="1">M50*Notes!$C$74</f>
        <v>60449.999999999993</v>
      </c>
      <c r="N51" s="322"/>
    </row>
    <row r="52" spans="1:14" x14ac:dyDescent="0.25">
      <c r="A52" s="28" t="s">
        <v>131</v>
      </c>
      <c r="B52" s="18" t="s">
        <v>159</v>
      </c>
      <c r="C52" s="138"/>
      <c r="D52" s="165"/>
      <c r="E52" s="166"/>
      <c r="F52" s="321"/>
      <c r="H52" s="165"/>
      <c r="I52" s="166"/>
      <c r="J52" s="321"/>
      <c r="L52" s="165"/>
      <c r="M52" s="166"/>
      <c r="N52" s="321"/>
    </row>
    <row r="53" spans="1:14" x14ac:dyDescent="0.25">
      <c r="A53" s="32" t="s">
        <v>161</v>
      </c>
      <c r="B53" s="33"/>
      <c r="C53" s="172" t="s">
        <v>94</v>
      </c>
      <c r="D53" s="173">
        <f ca="1">D20+D25*Notes!$C$22+D30*Notes!$C$23+D49+D35/60</f>
        <v>0.7176190476190476</v>
      </c>
      <c r="E53" s="174">
        <f ca="1">E20+E25*Notes!$C$22+E30*Notes!$C$23+E49+E35/60</f>
        <v>0.46556935817805378</v>
      </c>
      <c r="F53" s="323"/>
      <c r="H53" s="173">
        <f ca="1">H20+H25*Notes!$C$22+H30*Notes!$C$23+H49+H35/60</f>
        <v>0.7176190476190476</v>
      </c>
      <c r="I53" s="174">
        <f ca="1">I20+I25*Notes!$C$22+I30*Notes!$C$23+I49+I35/60</f>
        <v>0.46556935817805378</v>
      </c>
      <c r="J53" s="323"/>
      <c r="L53" s="173">
        <f ca="1">L20+L25*Notes!$C$22+L30*Notes!$C$23+L49+L35/60</f>
        <v>0.7176190476190476</v>
      </c>
      <c r="M53" s="174">
        <f ca="1">M20+M25*Notes!$C$22+M30*Notes!$C$23+M49+M35/60</f>
        <v>0.46556935817805378</v>
      </c>
      <c r="N53" s="323"/>
    </row>
    <row r="54" spans="1:14" x14ac:dyDescent="0.25">
      <c r="A54" s="34" t="s">
        <v>160</v>
      </c>
      <c r="B54" s="35"/>
      <c r="C54" s="175" t="s">
        <v>149</v>
      </c>
      <c r="D54" s="176">
        <f ca="1">D55/D4</f>
        <v>0.13060666666666668</v>
      </c>
      <c r="E54" s="177">
        <f ca="1">E55/E4</f>
        <v>7.4956666666666658E-2</v>
      </c>
      <c r="F54" s="324"/>
      <c r="H54" s="176">
        <f ca="1">H55/H4</f>
        <v>0.13060666666666668</v>
      </c>
      <c r="I54" s="177">
        <f ca="1">I55/I4</f>
        <v>7.4956666666666658E-2</v>
      </c>
      <c r="J54" s="324"/>
      <c r="L54" s="176">
        <f ca="1">L55/L4</f>
        <v>0.13060666666666668</v>
      </c>
      <c r="M54" s="177">
        <f ca="1">M55/M4</f>
        <v>7.4956666666666658E-2</v>
      </c>
      <c r="N54" s="324"/>
    </row>
    <row r="55" spans="1:14" x14ac:dyDescent="0.25">
      <c r="A55" s="46" t="s">
        <v>163</v>
      </c>
      <c r="B55" s="39"/>
      <c r="C55" s="178" t="s">
        <v>149</v>
      </c>
      <c r="D55" s="400">
        <f ca="1">D21+D26+D31+D37+D50</f>
        <v>653.03333333333342</v>
      </c>
      <c r="E55" s="401">
        <f ca="1">E21+E26+E31+E37+E50</f>
        <v>374.7833333333333</v>
      </c>
      <c r="F55" s="402"/>
      <c r="G55" s="403"/>
      <c r="H55" s="400">
        <f ca="1">H21+H26+H31+H37+H50</f>
        <v>653.03333333333342</v>
      </c>
      <c r="I55" s="401">
        <f ca="1">I21+I26+I31+I37+I50</f>
        <v>374.7833333333333</v>
      </c>
      <c r="J55" s="325"/>
      <c r="K55" s="403"/>
      <c r="L55" s="400">
        <f ca="1">L21+L26+L31+L37+L50</f>
        <v>653.03333333333342</v>
      </c>
      <c r="M55" s="401">
        <f ca="1">M21+M26+M31+M37+M50</f>
        <v>374.7833333333333</v>
      </c>
      <c r="N55" s="325"/>
    </row>
    <row r="56" spans="1:14" x14ac:dyDescent="0.25">
      <c r="A56" s="36" t="s">
        <v>163</v>
      </c>
      <c r="B56" s="43"/>
      <c r="C56" s="179" t="s">
        <v>182</v>
      </c>
      <c r="D56" s="180">
        <f ca="1">D22+D27+D32+D38+D51</f>
        <v>163258.33333333334</v>
      </c>
      <c r="E56" s="181">
        <f ca="1">E22+E27+E32+E38+E51</f>
        <v>116182.83333333333</v>
      </c>
      <c r="F56" s="326"/>
      <c r="H56" s="180">
        <f ca="1">H22+H27+H32+H38+H51</f>
        <v>163258.33333333334</v>
      </c>
      <c r="I56" s="181">
        <f ca="1">I22+I27+I32+I38+I51</f>
        <v>116182.83333333333</v>
      </c>
      <c r="J56" s="326"/>
      <c r="L56" s="180">
        <f ca="1">L22+L27+L32+L38+L51</f>
        <v>163258.33333333334</v>
      </c>
      <c r="M56" s="181">
        <f ca="1">M22+M27+M32+M38+M51</f>
        <v>116182.83333333333</v>
      </c>
      <c r="N56" s="326"/>
    </row>
    <row r="57" spans="1:14" x14ac:dyDescent="0.25">
      <c r="A57"/>
      <c r="B57" s="7"/>
      <c r="C57" s="154"/>
      <c r="D57" s="150"/>
      <c r="E57" s="151"/>
      <c r="F57" s="259"/>
      <c r="H57" s="150"/>
      <c r="I57" s="151"/>
      <c r="J57" s="259"/>
      <c r="L57" s="150"/>
      <c r="M57" s="151"/>
      <c r="N57" s="259"/>
    </row>
    <row r="58" spans="1:14" x14ac:dyDescent="0.25">
      <c r="A58" s="11" t="s">
        <v>132</v>
      </c>
      <c r="B58" s="12"/>
      <c r="C58" s="139"/>
      <c r="D58" s="182"/>
      <c r="E58" s="183"/>
      <c r="F58" s="255"/>
      <c r="H58" s="182"/>
      <c r="I58" s="183"/>
      <c r="J58" s="255"/>
      <c r="L58" s="182"/>
      <c r="M58" s="183"/>
      <c r="N58" s="255"/>
    </row>
    <row r="59" spans="1:14" x14ac:dyDescent="0.25">
      <c r="A59" s="4" t="s">
        <v>157</v>
      </c>
      <c r="B59" s="12" t="s">
        <v>148</v>
      </c>
      <c r="C59" s="139" t="s">
        <v>140</v>
      </c>
      <c r="D59" s="184">
        <f>D15</f>
        <v>45</v>
      </c>
      <c r="E59" s="185">
        <f>E15</f>
        <v>37.5</v>
      </c>
      <c r="F59" s="255"/>
      <c r="H59" s="184">
        <f>H15</f>
        <v>45</v>
      </c>
      <c r="I59" s="185">
        <f>I15</f>
        <v>37.5</v>
      </c>
      <c r="J59" s="255"/>
      <c r="L59" s="184">
        <f>L15</f>
        <v>45</v>
      </c>
      <c r="M59" s="185">
        <f>M15</f>
        <v>37.5</v>
      </c>
      <c r="N59" s="255"/>
    </row>
    <row r="60" spans="1:14" ht="30" x14ac:dyDescent="0.25">
      <c r="A60" s="5"/>
      <c r="B60" s="9" t="s">
        <v>150</v>
      </c>
      <c r="C60" s="142" t="s">
        <v>5</v>
      </c>
      <c r="D60" s="186">
        <f ca="1">(D20+D25*Notes!$C$22+D30*Notes!$C$23+D49)/D59</f>
        <v>1.5947089947089946E-2</v>
      </c>
      <c r="E60" s="187">
        <f ca="1">(E20+E25*Notes!$C$22+E30*Notes!$C$23+E49)/E59</f>
        <v>1.2415182884748101E-2</v>
      </c>
      <c r="F60" s="259"/>
      <c r="H60" s="186">
        <f ca="1">(H20+H25*Notes!$C$22+H30*Notes!$C$23+H49)/H59</f>
        <v>1.5947089947089946E-2</v>
      </c>
      <c r="I60" s="187">
        <f ca="1">(I20+I25*Notes!$C$22+I30*Notes!$C$23+I49)/I59</f>
        <v>1.2415182884748101E-2</v>
      </c>
      <c r="J60" s="259"/>
      <c r="L60" s="186">
        <f ca="1">(L20+L25*Notes!$C$22+L30*Notes!$C$23+L49)/L59</f>
        <v>1.5947089947089946E-2</v>
      </c>
      <c r="M60" s="187">
        <f ca="1">(M20+M25*Notes!$C$22+M30*Notes!$C$23+M49)/M59</f>
        <v>1.2415182884748101E-2</v>
      </c>
      <c r="N60" s="259"/>
    </row>
    <row r="61" spans="1:14" ht="30" x14ac:dyDescent="0.25">
      <c r="A61" s="5"/>
      <c r="B61" s="9" t="s">
        <v>151</v>
      </c>
      <c r="C61" s="142" t="s">
        <v>0</v>
      </c>
      <c r="D61" s="188">
        <v>-0.6</v>
      </c>
      <c r="E61" s="189">
        <v>-0.9</v>
      </c>
      <c r="F61" s="259" t="s">
        <v>252</v>
      </c>
      <c r="H61" s="188">
        <v>-0.6</v>
      </c>
      <c r="I61" s="189">
        <v>-0.9</v>
      </c>
      <c r="J61" s="259"/>
      <c r="L61" s="188">
        <v>-0.6</v>
      </c>
      <c r="M61" s="189">
        <v>-0.9</v>
      </c>
      <c r="N61" s="259"/>
    </row>
    <row r="62" spans="1:14" x14ac:dyDescent="0.25">
      <c r="A62" s="5"/>
      <c r="B62" s="9" t="s">
        <v>153</v>
      </c>
      <c r="C62" s="142" t="s">
        <v>5</v>
      </c>
      <c r="D62" s="186">
        <f ca="1">(1-D60)^D61-1</f>
        <v>9.692034275641026E-3</v>
      </c>
      <c r="E62" s="187">
        <f ca="1">(1-E60)^E61-1</f>
        <v>1.1307052532544271E-2</v>
      </c>
      <c r="F62" s="259"/>
      <c r="H62" s="186">
        <f ca="1">(1-H60)^H61-1</f>
        <v>9.692034275641026E-3</v>
      </c>
      <c r="I62" s="187">
        <f ca="1">(1-I60)^I61-1</f>
        <v>1.1307052532544271E-2</v>
      </c>
      <c r="J62" s="259"/>
      <c r="L62" s="186">
        <f ca="1">(1-L60)^L61-1</f>
        <v>9.692034275641026E-3</v>
      </c>
      <c r="M62" s="187">
        <f ca="1">(1-M60)^M61-1</f>
        <v>1.1307052532544271E-2</v>
      </c>
      <c r="N62" s="259"/>
    </row>
    <row r="63" spans="1:14" x14ac:dyDescent="0.25">
      <c r="A63" s="5"/>
      <c r="B63" s="9" t="s">
        <v>152</v>
      </c>
      <c r="C63" s="142" t="s">
        <v>0</v>
      </c>
      <c r="D63" s="156">
        <f ca="1">D62*D4</f>
        <v>48.460171378205132</v>
      </c>
      <c r="E63" s="157">
        <f ca="1">E62*E4</f>
        <v>56.535262662721351</v>
      </c>
      <c r="F63" s="259"/>
      <c r="H63" s="156">
        <f ca="1">H62*H4</f>
        <v>48.460171378205132</v>
      </c>
      <c r="I63" s="157">
        <f ca="1">I62*I4</f>
        <v>56.535262662721351</v>
      </c>
      <c r="J63" s="259"/>
      <c r="L63" s="156">
        <f ca="1">L62*L4</f>
        <v>48.460171378205132</v>
      </c>
      <c r="M63" s="157">
        <f ca="1">M62*M4</f>
        <v>56.535262662721351</v>
      </c>
      <c r="N63" s="259"/>
    </row>
    <row r="64" spans="1:14" ht="30" x14ac:dyDescent="0.25">
      <c r="A64" s="6"/>
      <c r="B64" s="19" t="s">
        <v>162</v>
      </c>
      <c r="C64" s="145" t="s">
        <v>158</v>
      </c>
      <c r="D64" s="190">
        <f ca="1">D54/2</f>
        <v>6.5303333333333338E-2</v>
      </c>
      <c r="E64" s="191">
        <f ca="1">E54/2</f>
        <v>3.7478333333333329E-2</v>
      </c>
      <c r="F64" s="64"/>
      <c r="H64" s="190">
        <f ca="1">H54/2</f>
        <v>6.5303333333333338E-2</v>
      </c>
      <c r="I64" s="191">
        <f ca="1">I54/2</f>
        <v>3.7478333333333329E-2</v>
      </c>
      <c r="J64" s="64"/>
      <c r="L64" s="190">
        <f ca="1">L54/2</f>
        <v>6.5303333333333338E-2</v>
      </c>
      <c r="M64" s="191">
        <f ca="1">M54/2</f>
        <v>3.7478333333333329E-2</v>
      </c>
      <c r="N64" s="64"/>
    </row>
    <row r="65" spans="1:14" x14ac:dyDescent="0.25">
      <c r="A65" s="40" t="s">
        <v>164</v>
      </c>
      <c r="B65" s="41"/>
      <c r="C65" s="192" t="s">
        <v>149</v>
      </c>
      <c r="D65" s="193">
        <f ca="1">D63*D64</f>
        <v>3.1646107249013893</v>
      </c>
      <c r="E65" s="194">
        <f ca="1">E63*E64</f>
        <v>2.1188474191610247</v>
      </c>
      <c r="F65" s="328"/>
      <c r="H65" s="193">
        <f ca="1">H63*H64</f>
        <v>3.1646107249013893</v>
      </c>
      <c r="I65" s="194">
        <f ca="1">I63*I64</f>
        <v>2.1188474191610247</v>
      </c>
      <c r="J65" s="328"/>
      <c r="L65" s="193">
        <f ca="1">L63*L64</f>
        <v>3.1646107249013893</v>
      </c>
      <c r="M65" s="194">
        <f ca="1">M63*M64</f>
        <v>2.1188474191610247</v>
      </c>
      <c r="N65" s="328"/>
    </row>
    <row r="66" spans="1:14" x14ac:dyDescent="0.25">
      <c r="A66" s="36" t="s">
        <v>164</v>
      </c>
      <c r="B66" s="43"/>
      <c r="C66" s="179" t="s">
        <v>182</v>
      </c>
      <c r="D66" s="180">
        <f ca="1">D65*Notes!$C$72</f>
        <v>791.15268122534735</v>
      </c>
      <c r="E66" s="181">
        <f ca="1">E65*Notes!$C$74</f>
        <v>656.84269993991768</v>
      </c>
      <c r="F66" s="326"/>
      <c r="H66" s="180">
        <f ca="1">H65*Notes!$C$72</f>
        <v>791.15268122534735</v>
      </c>
      <c r="I66" s="181">
        <f ca="1">I65*Notes!$C$74</f>
        <v>656.84269993991768</v>
      </c>
      <c r="J66" s="326"/>
      <c r="L66" s="180">
        <f ca="1">L65*Notes!$C$72</f>
        <v>791.15268122534735</v>
      </c>
      <c r="M66" s="181">
        <f ca="1">M65*Notes!$C$74</f>
        <v>656.84269993991768</v>
      </c>
      <c r="N66" s="326"/>
    </row>
    <row r="67" spans="1:14" x14ac:dyDescent="0.25">
      <c r="A67"/>
      <c r="B67" s="7"/>
      <c r="C67" s="154"/>
      <c r="D67" s="150"/>
      <c r="E67" s="151"/>
      <c r="F67" s="259"/>
      <c r="H67" s="150"/>
      <c r="I67" s="151"/>
      <c r="J67" s="259"/>
      <c r="L67" s="150"/>
      <c r="M67" s="151"/>
      <c r="N67" s="259"/>
    </row>
    <row r="68" spans="1:14" x14ac:dyDescent="0.25">
      <c r="A68" s="15" t="s">
        <v>175</v>
      </c>
      <c r="B68" s="16"/>
      <c r="C68" s="138"/>
      <c r="D68" s="165"/>
      <c r="E68" s="166"/>
      <c r="F68" s="321"/>
      <c r="H68" s="165"/>
      <c r="I68" s="166"/>
      <c r="J68" s="321"/>
      <c r="L68" s="165"/>
      <c r="M68" s="166"/>
      <c r="N68" s="321"/>
    </row>
    <row r="69" spans="1:14" ht="30" x14ac:dyDescent="0.25">
      <c r="A69" s="29" t="s">
        <v>165</v>
      </c>
      <c r="B69" s="12" t="s">
        <v>88</v>
      </c>
      <c r="C69" s="139" t="s">
        <v>5</v>
      </c>
      <c r="D69" s="195">
        <v>0.4</v>
      </c>
      <c r="E69" s="196">
        <v>0.55000000000000004</v>
      </c>
      <c r="F69" s="255" t="s">
        <v>253</v>
      </c>
      <c r="H69" s="195">
        <v>0.4</v>
      </c>
      <c r="I69" s="196">
        <v>0.55000000000000004</v>
      </c>
      <c r="J69" s="255"/>
      <c r="L69" s="195">
        <v>0.4</v>
      </c>
      <c r="M69" s="196">
        <v>0.55000000000000004</v>
      </c>
      <c r="N69" s="255"/>
    </row>
    <row r="70" spans="1:14" x14ac:dyDescent="0.25">
      <c r="A70" s="5"/>
      <c r="B70" s="9" t="s">
        <v>167</v>
      </c>
      <c r="C70" s="142" t="s">
        <v>5</v>
      </c>
      <c r="D70" s="143">
        <v>0.05</v>
      </c>
      <c r="E70" s="144">
        <v>0.05</v>
      </c>
      <c r="F70" s="259"/>
      <c r="H70" s="143">
        <v>0.05</v>
      </c>
      <c r="I70" s="144">
        <v>0.05</v>
      </c>
      <c r="J70" s="259"/>
      <c r="L70" s="143">
        <v>0.05</v>
      </c>
      <c r="M70" s="144">
        <v>0.05</v>
      </c>
      <c r="N70" s="259"/>
    </row>
    <row r="71" spans="1:14" x14ac:dyDescent="0.25">
      <c r="A71" s="5"/>
      <c r="B71" s="9" t="s">
        <v>166</v>
      </c>
      <c r="C71" s="142" t="s">
        <v>5</v>
      </c>
      <c r="D71" s="143">
        <v>0.1</v>
      </c>
      <c r="E71" s="144">
        <v>0.05</v>
      </c>
      <c r="F71" s="259"/>
      <c r="H71" s="143">
        <v>0.1</v>
      </c>
      <c r="I71" s="144">
        <v>0.05</v>
      </c>
      <c r="J71" s="259"/>
      <c r="L71" s="143">
        <v>0.1</v>
      </c>
      <c r="M71" s="144">
        <v>0.05</v>
      </c>
      <c r="N71" s="259"/>
    </row>
    <row r="72" spans="1:14" x14ac:dyDescent="0.25">
      <c r="A72" s="5"/>
      <c r="B72" s="9" t="s">
        <v>168</v>
      </c>
      <c r="C72" s="142" t="s">
        <v>5</v>
      </c>
      <c r="D72" s="143">
        <v>0.15</v>
      </c>
      <c r="E72" s="144">
        <v>0.15</v>
      </c>
      <c r="F72" s="259"/>
      <c r="H72" s="143">
        <v>0.15</v>
      </c>
      <c r="I72" s="144">
        <v>0.15</v>
      </c>
      <c r="J72" s="259"/>
      <c r="L72" s="143">
        <v>0.15</v>
      </c>
      <c r="M72" s="144">
        <v>0.15</v>
      </c>
      <c r="N72" s="259"/>
    </row>
    <row r="73" spans="1:14" x14ac:dyDescent="0.25">
      <c r="A73" s="5"/>
      <c r="B73" s="9" t="s">
        <v>169</v>
      </c>
      <c r="C73" s="142" t="s">
        <v>5</v>
      </c>
      <c r="D73" s="143">
        <v>0.3</v>
      </c>
      <c r="E73" s="144">
        <v>0.2</v>
      </c>
      <c r="F73" s="259"/>
      <c r="H73" s="143">
        <v>0.3</v>
      </c>
      <c r="I73" s="144">
        <v>0.2</v>
      </c>
      <c r="J73" s="259"/>
      <c r="L73" s="143">
        <v>0.3</v>
      </c>
      <c r="M73" s="144">
        <v>0.2</v>
      </c>
      <c r="N73" s="259"/>
    </row>
    <row r="74" spans="1:14" x14ac:dyDescent="0.25">
      <c r="A74" s="6"/>
      <c r="B74" s="19" t="s">
        <v>72</v>
      </c>
      <c r="C74" s="145" t="s">
        <v>5</v>
      </c>
      <c r="D74" s="197">
        <f>SUM(D69:D73)</f>
        <v>1</v>
      </c>
      <c r="E74" s="198">
        <f>SUM(E69:E73)</f>
        <v>1.0000000000000002</v>
      </c>
      <c r="F74" s="64"/>
      <c r="H74" s="197">
        <f>SUM(H69:H73)</f>
        <v>1</v>
      </c>
      <c r="I74" s="198">
        <f>SUM(I69:I73)</f>
        <v>1.0000000000000002</v>
      </c>
      <c r="J74" s="64"/>
      <c r="L74" s="197">
        <f>SUM(L69:L73)</f>
        <v>1</v>
      </c>
      <c r="M74" s="198">
        <f>SUM(M69:M73)</f>
        <v>1.0000000000000002</v>
      </c>
      <c r="N74" s="64"/>
    </row>
    <row r="75" spans="1:14" x14ac:dyDescent="0.25">
      <c r="A75" t="s">
        <v>170</v>
      </c>
      <c r="B75" s="7" t="s">
        <v>173</v>
      </c>
      <c r="C75" s="154" t="s">
        <v>0</v>
      </c>
      <c r="D75" s="156">
        <f ca="1">D70*D63</f>
        <v>2.423008568910257</v>
      </c>
      <c r="E75" s="157" t="s">
        <v>171</v>
      </c>
      <c r="F75" s="259"/>
      <c r="H75" s="156">
        <f ca="1">H70*H63</f>
        <v>2.423008568910257</v>
      </c>
      <c r="I75" s="157" t="s">
        <v>171</v>
      </c>
      <c r="J75" s="259"/>
      <c r="L75" s="156">
        <f ca="1">L70*L63</f>
        <v>2.423008568910257</v>
      </c>
      <c r="M75" s="157" t="s">
        <v>171</v>
      </c>
      <c r="N75" s="259"/>
    </row>
    <row r="76" spans="1:14" ht="30" x14ac:dyDescent="0.25">
      <c r="A76"/>
      <c r="B76" s="7" t="s">
        <v>7</v>
      </c>
      <c r="C76" s="154" t="s">
        <v>0</v>
      </c>
      <c r="D76" s="188">
        <v>1</v>
      </c>
      <c r="E76" s="151" t="s">
        <v>171</v>
      </c>
      <c r="F76" s="259"/>
      <c r="H76" s="188">
        <v>1</v>
      </c>
      <c r="I76" s="151" t="s">
        <v>171</v>
      </c>
      <c r="J76" s="259"/>
      <c r="L76" s="188">
        <v>1</v>
      </c>
      <c r="M76" s="151" t="s">
        <v>171</v>
      </c>
      <c r="N76" s="259"/>
    </row>
    <row r="77" spans="1:14" ht="30" x14ac:dyDescent="0.25">
      <c r="A77"/>
      <c r="B77" s="7" t="s">
        <v>172</v>
      </c>
      <c r="C77" s="154" t="s">
        <v>5</v>
      </c>
      <c r="D77" s="143">
        <v>0.7</v>
      </c>
      <c r="E77" s="151" t="s">
        <v>171</v>
      </c>
      <c r="F77" s="259" t="s">
        <v>386</v>
      </c>
      <c r="H77" s="143">
        <v>0.7</v>
      </c>
      <c r="I77" s="151" t="s">
        <v>171</v>
      </c>
      <c r="J77" s="259"/>
      <c r="L77" s="143">
        <v>0.7</v>
      </c>
      <c r="M77" s="151" t="s">
        <v>171</v>
      </c>
      <c r="N77" s="259"/>
    </row>
    <row r="78" spans="1:14" x14ac:dyDescent="0.25">
      <c r="A78"/>
      <c r="B78" s="7" t="s">
        <v>174</v>
      </c>
      <c r="C78" s="154" t="s">
        <v>140</v>
      </c>
      <c r="D78" s="156">
        <f ca="1">((1+D75)^D76-1)*D13*D77</f>
        <v>59.363709938301291</v>
      </c>
      <c r="E78" s="151" t="s">
        <v>171</v>
      </c>
      <c r="F78" s="259"/>
      <c r="H78" s="156">
        <f ca="1">((1+H75)^H76-1)*H13*H77</f>
        <v>59.363709938301291</v>
      </c>
      <c r="I78" s="151" t="s">
        <v>171</v>
      </c>
      <c r="J78" s="259"/>
      <c r="L78" s="156">
        <f ca="1">((1+L75)^L76-1)*L13*L77</f>
        <v>59.363709938301291</v>
      </c>
      <c r="M78" s="151" t="s">
        <v>171</v>
      </c>
      <c r="N78" s="259"/>
    </row>
    <row r="79" spans="1:14" x14ac:dyDescent="0.25">
      <c r="A79" s="44" t="s">
        <v>176</v>
      </c>
      <c r="B79" s="42"/>
      <c r="C79" s="192" t="s">
        <v>149</v>
      </c>
      <c r="D79" s="193">
        <f ca="1">D78/60*Notes!$C$15</f>
        <v>27.51507955640265</v>
      </c>
      <c r="E79" s="199" t="s">
        <v>171</v>
      </c>
      <c r="F79" s="328"/>
      <c r="H79" s="193">
        <f ca="1">H78/60*Notes!$C$15</f>
        <v>27.51507955640265</v>
      </c>
      <c r="I79" s="199" t="s">
        <v>171</v>
      </c>
      <c r="J79" s="328"/>
      <c r="L79" s="193">
        <f ca="1">L78/60*Notes!$C$15</f>
        <v>27.51507955640265</v>
      </c>
      <c r="M79" s="199" t="s">
        <v>171</v>
      </c>
      <c r="N79" s="328"/>
    </row>
    <row r="80" spans="1:14" x14ac:dyDescent="0.25">
      <c r="A80" s="36" t="s">
        <v>176</v>
      </c>
      <c r="B80" s="43"/>
      <c r="C80" s="179" t="s">
        <v>182</v>
      </c>
      <c r="D80" s="180">
        <f ca="1">D79*Notes!$C$72</f>
        <v>6878.7698891006621</v>
      </c>
      <c r="E80" s="181" t="s">
        <v>171</v>
      </c>
      <c r="F80" s="326"/>
      <c r="H80" s="180">
        <f ca="1">H79*Notes!$C$72</f>
        <v>6878.7698891006621</v>
      </c>
      <c r="I80" s="181" t="s">
        <v>171</v>
      </c>
      <c r="J80" s="326"/>
      <c r="L80" s="180">
        <f ca="1">L79*Notes!$C$72</f>
        <v>6878.7698891006621</v>
      </c>
      <c r="M80" s="181" t="s">
        <v>171</v>
      </c>
      <c r="N80" s="326"/>
    </row>
    <row r="81" spans="1:14" x14ac:dyDescent="0.25">
      <c r="A81"/>
      <c r="B81" s="7"/>
      <c r="C81" s="154"/>
      <c r="D81" s="150"/>
      <c r="E81" s="200"/>
      <c r="F81" s="259"/>
      <c r="H81" s="150"/>
      <c r="I81" s="200"/>
      <c r="J81" s="259"/>
      <c r="L81" s="150"/>
      <c r="M81" s="200"/>
      <c r="N81" s="259"/>
    </row>
    <row r="82" spans="1:14" x14ac:dyDescent="0.25">
      <c r="A82" s="15" t="s">
        <v>133</v>
      </c>
      <c r="B82" s="16"/>
      <c r="C82" s="138"/>
      <c r="D82" s="165"/>
      <c r="E82" s="166"/>
      <c r="F82" s="321"/>
      <c r="H82" s="165"/>
      <c r="I82" s="166"/>
      <c r="J82" s="321"/>
      <c r="L82" s="165"/>
      <c r="M82" s="166"/>
      <c r="N82" s="321"/>
    </row>
    <row r="83" spans="1:14" ht="30" x14ac:dyDescent="0.25">
      <c r="A83" s="4" t="s">
        <v>67</v>
      </c>
      <c r="B83" s="12" t="s">
        <v>17</v>
      </c>
      <c r="C83" s="201" t="s">
        <v>11</v>
      </c>
      <c r="D83" s="202">
        <v>0</v>
      </c>
      <c r="E83" s="183" t="s">
        <v>171</v>
      </c>
      <c r="F83" s="255" t="s">
        <v>127</v>
      </c>
      <c r="H83" s="202">
        <v>0</v>
      </c>
      <c r="I83" s="183" t="s">
        <v>171</v>
      </c>
      <c r="J83" s="255"/>
      <c r="L83" s="202">
        <v>0</v>
      </c>
      <c r="M83" s="183" t="s">
        <v>171</v>
      </c>
      <c r="N83" s="255"/>
    </row>
    <row r="84" spans="1:14" x14ac:dyDescent="0.25">
      <c r="A84" s="5"/>
      <c r="B84" s="9" t="s">
        <v>1</v>
      </c>
      <c r="C84" s="201" t="s">
        <v>11</v>
      </c>
      <c r="D84" s="168">
        <v>1500000</v>
      </c>
      <c r="E84" s="151" t="s">
        <v>171</v>
      </c>
      <c r="F84" s="259"/>
      <c r="H84" s="168">
        <v>1500000</v>
      </c>
      <c r="I84" s="151" t="s">
        <v>171</v>
      </c>
      <c r="J84" s="259"/>
      <c r="L84" s="168">
        <v>1500000</v>
      </c>
      <c r="M84" s="151" t="s">
        <v>171</v>
      </c>
      <c r="N84" s="259"/>
    </row>
    <row r="85" spans="1:14" ht="30" x14ac:dyDescent="0.25">
      <c r="A85" s="5"/>
      <c r="B85" s="9" t="s">
        <v>2</v>
      </c>
      <c r="C85" s="201" t="s">
        <v>11</v>
      </c>
      <c r="D85" s="203">
        <f>D84*0.2</f>
        <v>300000</v>
      </c>
      <c r="E85" s="151" t="s">
        <v>171</v>
      </c>
      <c r="F85" s="259" t="s">
        <v>92</v>
      </c>
      <c r="H85" s="203">
        <f>H84*0.2</f>
        <v>300000</v>
      </c>
      <c r="I85" s="151" t="s">
        <v>171</v>
      </c>
      <c r="J85" s="259"/>
      <c r="L85" s="203">
        <f>L84*0.2</f>
        <v>300000</v>
      </c>
      <c r="M85" s="151" t="s">
        <v>171</v>
      </c>
      <c r="N85" s="259"/>
    </row>
    <row r="86" spans="1:14" x14ac:dyDescent="0.25">
      <c r="A86" s="5"/>
      <c r="B86" s="9" t="s">
        <v>183</v>
      </c>
      <c r="C86" s="201" t="s">
        <v>5</v>
      </c>
      <c r="D86" s="204">
        <v>0.06</v>
      </c>
      <c r="E86" s="151" t="s">
        <v>171</v>
      </c>
      <c r="F86" s="259" t="s">
        <v>290</v>
      </c>
      <c r="H86" s="204">
        <v>0.06</v>
      </c>
      <c r="I86" s="151" t="s">
        <v>171</v>
      </c>
      <c r="J86" s="259"/>
      <c r="L86" s="204">
        <v>0.06</v>
      </c>
      <c r="M86" s="151" t="s">
        <v>171</v>
      </c>
      <c r="N86" s="259"/>
    </row>
    <row r="87" spans="1:14" x14ac:dyDescent="0.25">
      <c r="A87" s="6"/>
      <c r="B87" s="19" t="s">
        <v>181</v>
      </c>
      <c r="C87" s="142" t="s">
        <v>126</v>
      </c>
      <c r="D87" s="205">
        <v>20</v>
      </c>
      <c r="E87" s="206" t="s">
        <v>171</v>
      </c>
      <c r="F87" s="64" t="s">
        <v>197</v>
      </c>
      <c r="H87" s="205">
        <v>20</v>
      </c>
      <c r="I87" s="206" t="s">
        <v>171</v>
      </c>
      <c r="J87" s="64"/>
      <c r="L87" s="205">
        <v>20</v>
      </c>
      <c r="M87" s="206" t="s">
        <v>171</v>
      </c>
      <c r="N87" s="64"/>
    </row>
    <row r="88" spans="1:14" x14ac:dyDescent="0.25">
      <c r="A88" s="40" t="s">
        <v>3</v>
      </c>
      <c r="B88" s="42"/>
      <c r="C88" s="192" t="s">
        <v>11</v>
      </c>
      <c r="D88" s="272">
        <f>SUM(D83:D85)</f>
        <v>1800000</v>
      </c>
      <c r="E88" s="199" t="s">
        <v>171</v>
      </c>
      <c r="F88" s="328"/>
      <c r="H88" s="272">
        <f>SUM(H83:H85)</f>
        <v>1800000</v>
      </c>
      <c r="I88" s="199" t="s">
        <v>171</v>
      </c>
      <c r="J88" s="328"/>
      <c r="L88" s="272">
        <f>SUM(L83:L85)</f>
        <v>1800000</v>
      </c>
      <c r="M88" s="199" t="s">
        <v>171</v>
      </c>
      <c r="N88" s="328"/>
    </row>
    <row r="89" spans="1:14" x14ac:dyDescent="0.25">
      <c r="A89" s="36" t="s">
        <v>215</v>
      </c>
      <c r="B89" s="37"/>
      <c r="C89" s="179" t="s">
        <v>205</v>
      </c>
      <c r="D89" s="274">
        <f>-PMT(D86,D87,D88,-D83)</f>
        <v>156932.20255833259</v>
      </c>
      <c r="E89" s="181" t="s">
        <v>171</v>
      </c>
      <c r="F89" s="326"/>
      <c r="H89" s="274">
        <f>-PMT(H86,H87,H88,-H83)</f>
        <v>156932.20255833259</v>
      </c>
      <c r="I89" s="181" t="s">
        <v>171</v>
      </c>
      <c r="J89" s="326"/>
      <c r="L89" s="274">
        <f>-PMT(L86,L87,L88,-L83)</f>
        <v>156932.20255833259</v>
      </c>
      <c r="M89" s="181" t="s">
        <v>171</v>
      </c>
      <c r="N89" s="326"/>
    </row>
    <row r="90" spans="1:14" x14ac:dyDescent="0.25">
      <c r="A90" s="2"/>
      <c r="B90" s="7"/>
      <c r="C90" s="154"/>
      <c r="D90" s="170"/>
      <c r="E90" s="151"/>
      <c r="F90" s="259"/>
      <c r="H90" s="170"/>
      <c r="I90" s="151"/>
      <c r="J90" s="259"/>
      <c r="L90" s="170"/>
      <c r="M90" s="151"/>
      <c r="N90" s="259"/>
    </row>
    <row r="91" spans="1:14" x14ac:dyDescent="0.25">
      <c r="A91" s="15" t="s">
        <v>134</v>
      </c>
      <c r="B91" s="16"/>
      <c r="C91" s="138"/>
      <c r="D91" s="165"/>
      <c r="E91" s="166"/>
      <c r="F91" s="321"/>
      <c r="H91" s="165"/>
      <c r="I91" s="166"/>
      <c r="J91" s="321"/>
      <c r="L91" s="165"/>
      <c r="M91" s="166"/>
      <c r="N91" s="321"/>
    </row>
    <row r="92" spans="1:14" x14ac:dyDescent="0.25">
      <c r="A92" s="14" t="s">
        <v>196</v>
      </c>
      <c r="B92" s="8" t="s">
        <v>195</v>
      </c>
      <c r="C92" s="167" t="s">
        <v>205</v>
      </c>
      <c r="D92" s="202">
        <v>10000</v>
      </c>
      <c r="E92" s="157" t="s">
        <v>171</v>
      </c>
      <c r="F92" s="336"/>
      <c r="H92" s="202">
        <v>10000</v>
      </c>
      <c r="I92" s="157" t="s">
        <v>171</v>
      </c>
      <c r="J92" s="336"/>
      <c r="L92" s="202">
        <v>10000</v>
      </c>
      <c r="M92" s="157" t="s">
        <v>171</v>
      </c>
      <c r="N92" s="336"/>
    </row>
    <row r="93" spans="1:14" x14ac:dyDescent="0.25">
      <c r="A93" s="47" t="s">
        <v>208</v>
      </c>
      <c r="B93" s="12" t="s">
        <v>184</v>
      </c>
      <c r="C93" s="139" t="s">
        <v>140</v>
      </c>
      <c r="D93" s="207">
        <f>D16*-1</f>
        <v>0.16666666666666666</v>
      </c>
      <c r="E93" s="208">
        <f>E16*-1</f>
        <v>0.16666666666666666</v>
      </c>
      <c r="F93" s="255"/>
      <c r="H93" s="207">
        <f>H16*-1</f>
        <v>0.16666666666666666</v>
      </c>
      <c r="I93" s="208">
        <f>I16*-1</f>
        <v>0.16666666666666666</v>
      </c>
      <c r="J93" s="255"/>
      <c r="L93" s="207">
        <f>L16*-1</f>
        <v>0.16666666666666666</v>
      </c>
      <c r="M93" s="208">
        <f>M16*-1</f>
        <v>0.16666666666666666</v>
      </c>
      <c r="N93" s="255"/>
    </row>
    <row r="94" spans="1:14" x14ac:dyDescent="0.25">
      <c r="A94" s="14"/>
      <c r="B94" s="9" t="s">
        <v>287</v>
      </c>
      <c r="C94" s="142" t="s">
        <v>288</v>
      </c>
      <c r="D94" s="209">
        <v>30</v>
      </c>
      <c r="E94" s="210">
        <v>30</v>
      </c>
      <c r="F94" s="259"/>
      <c r="H94" s="209">
        <v>30</v>
      </c>
      <c r="I94" s="210">
        <v>30</v>
      </c>
      <c r="J94" s="259"/>
      <c r="L94" s="209">
        <v>30</v>
      </c>
      <c r="M94" s="210">
        <v>30</v>
      </c>
      <c r="N94" s="259"/>
    </row>
    <row r="95" spans="1:14" ht="30" x14ac:dyDescent="0.25">
      <c r="A95" s="5"/>
      <c r="B95" s="9" t="s">
        <v>185</v>
      </c>
      <c r="C95" s="142" t="s">
        <v>8</v>
      </c>
      <c r="D95" s="209">
        <f>D93*D94/60</f>
        <v>8.3333333333333329E-2</v>
      </c>
      <c r="E95" s="210">
        <f>E93*E94/60</f>
        <v>8.3333333333333329E-2</v>
      </c>
      <c r="F95" s="259" t="s">
        <v>289</v>
      </c>
      <c r="H95" s="209">
        <f>H93*H94/60</f>
        <v>8.3333333333333329E-2</v>
      </c>
      <c r="I95" s="210">
        <f>I93*I94/60</f>
        <v>8.3333333333333329E-2</v>
      </c>
      <c r="J95" s="259"/>
      <c r="L95" s="209">
        <f>L93*L94/60</f>
        <v>8.3333333333333329E-2</v>
      </c>
      <c r="M95" s="210">
        <f>M93*M94/60</f>
        <v>8.3333333333333329E-2</v>
      </c>
      <c r="N95" s="259"/>
    </row>
    <row r="96" spans="1:14" x14ac:dyDescent="0.25">
      <c r="A96" s="5"/>
      <c r="B96" s="9" t="s">
        <v>186</v>
      </c>
      <c r="C96" s="142" t="s">
        <v>10</v>
      </c>
      <c r="D96" s="156">
        <f>D93/60*D12</f>
        <v>0.1111111111111111</v>
      </c>
      <c r="E96" s="157">
        <f>E93/60*E12</f>
        <v>0.1111111111111111</v>
      </c>
      <c r="F96" s="259"/>
      <c r="H96" s="156">
        <f>H93/60*H12</f>
        <v>0.1111111111111111</v>
      </c>
      <c r="I96" s="157">
        <f>I93/60*I12</f>
        <v>0.1111111111111111</v>
      </c>
      <c r="J96" s="259"/>
      <c r="L96" s="156">
        <f>L93/60*L12</f>
        <v>0.1111111111111111</v>
      </c>
      <c r="M96" s="157">
        <f>M93/60*M12</f>
        <v>0.1111111111111111</v>
      </c>
      <c r="N96" s="259"/>
    </row>
    <row r="97" spans="1:14" x14ac:dyDescent="0.25">
      <c r="A97" s="5"/>
      <c r="B97" s="9" t="s">
        <v>187</v>
      </c>
      <c r="C97" s="142" t="s">
        <v>8</v>
      </c>
      <c r="D97" s="156">
        <f>D95*D12</f>
        <v>3.333333333333333</v>
      </c>
      <c r="E97" s="157">
        <f>E95*E12</f>
        <v>3.333333333333333</v>
      </c>
      <c r="F97" s="259"/>
      <c r="H97" s="156">
        <f>H95*H12</f>
        <v>3.333333333333333</v>
      </c>
      <c r="I97" s="157">
        <f>I95*I12</f>
        <v>3.333333333333333</v>
      </c>
      <c r="J97" s="259"/>
      <c r="L97" s="156">
        <f>L95*L12</f>
        <v>3.333333333333333</v>
      </c>
      <c r="M97" s="157">
        <f>M95*M12</f>
        <v>3.333333333333333</v>
      </c>
      <c r="N97" s="259"/>
    </row>
    <row r="98" spans="1:14" x14ac:dyDescent="0.25">
      <c r="A98" s="5"/>
      <c r="B98" s="9" t="s">
        <v>188</v>
      </c>
      <c r="C98" s="142" t="s">
        <v>0</v>
      </c>
      <c r="D98" s="156">
        <f>D96/D11</f>
        <v>2.7777777777777776E-2</v>
      </c>
      <c r="E98" s="157">
        <v>0</v>
      </c>
      <c r="F98" s="259" t="s">
        <v>189</v>
      </c>
      <c r="H98" s="156">
        <f>H96/H11</f>
        <v>2.7777777777777776E-2</v>
      </c>
      <c r="I98" s="157">
        <v>0</v>
      </c>
      <c r="J98" s="259"/>
      <c r="L98" s="156">
        <f>L96/L11</f>
        <v>2.7777777777777776E-2</v>
      </c>
      <c r="M98" s="157">
        <v>0</v>
      </c>
      <c r="N98" s="259"/>
    </row>
    <row r="99" spans="1:14" ht="30" x14ac:dyDescent="0.25">
      <c r="A99" s="6"/>
      <c r="B99" s="19" t="s">
        <v>210</v>
      </c>
      <c r="C99" s="211" t="s">
        <v>205</v>
      </c>
      <c r="D99" s="212">
        <f>((D96*Notes!$C$29+D97*Notes!$C$30)*Notes!$C$72+D98*Notes!$C$31)</f>
        <v>3024.1358333333337</v>
      </c>
      <c r="E99" s="213">
        <f>((E96*Notes!$C$29+E97*Notes!$C$30)*Notes!$C$74)</f>
        <v>2028.4295444444447</v>
      </c>
      <c r="F99" s="64"/>
      <c r="H99" s="212">
        <f>((H96*Notes!$C$29+H97*Notes!$C$30)*Notes!$C$72+H98*Notes!$C$31)</f>
        <v>3024.1358333333337</v>
      </c>
      <c r="I99" s="213">
        <f>((I96*Notes!$C$29+I97*Notes!$C$30)*Notes!$C$74)</f>
        <v>2028.4295444444447</v>
      </c>
      <c r="J99" s="64"/>
      <c r="L99" s="212">
        <f>((L96*Notes!$C$29+L97*Notes!$C$30)*Notes!$C$72+L98*Notes!$C$31)</f>
        <v>3024.1358333333337</v>
      </c>
      <c r="M99" s="213">
        <f>((M96*Notes!$C$29+M97*Notes!$C$30)*Notes!$C$74)</f>
        <v>2028.4295444444447</v>
      </c>
      <c r="N99" s="64"/>
    </row>
    <row r="100" spans="1:14" s="3" customFormat="1" ht="30" x14ac:dyDescent="0.25">
      <c r="A100" s="47" t="s">
        <v>211</v>
      </c>
      <c r="B100" s="25" t="s">
        <v>344</v>
      </c>
      <c r="C100" s="214"/>
      <c r="D100" s="182" t="str">
        <f>D34</f>
        <v>N</v>
      </c>
      <c r="E100" s="183" t="str">
        <f>E34</f>
        <v>N</v>
      </c>
      <c r="F100" s="336" t="s">
        <v>345</v>
      </c>
      <c r="H100" s="182" t="str">
        <f>H34</f>
        <v>N</v>
      </c>
      <c r="I100" s="183" t="str">
        <f>I34</f>
        <v>N</v>
      </c>
      <c r="J100" s="336" t="s">
        <v>345</v>
      </c>
      <c r="L100" s="182" t="str">
        <f>L34</f>
        <v>N</v>
      </c>
      <c r="M100" s="183" t="str">
        <f>M34</f>
        <v>N</v>
      </c>
      <c r="N100" s="336" t="s">
        <v>345</v>
      </c>
    </row>
    <row r="101" spans="1:14" s="3" customFormat="1" x14ac:dyDescent="0.25">
      <c r="A101" s="14"/>
      <c r="B101" s="84" t="s">
        <v>377</v>
      </c>
      <c r="C101" s="167" t="s">
        <v>8</v>
      </c>
      <c r="D101" s="353">
        <f>D13/60*D94</f>
        <v>17.5</v>
      </c>
      <c r="E101" s="354">
        <f>E13/60*E94</f>
        <v>7.5</v>
      </c>
      <c r="F101" s="336"/>
      <c r="H101" s="353">
        <f>H13/60*H94</f>
        <v>17.5</v>
      </c>
      <c r="I101" s="354">
        <f>I13/60*I94</f>
        <v>7.5</v>
      </c>
      <c r="J101" s="336"/>
      <c r="L101" s="353">
        <f>L13/60*L94</f>
        <v>17.5</v>
      </c>
      <c r="M101" s="354">
        <f>M13/60*M94</f>
        <v>7.5</v>
      </c>
      <c r="N101" s="336"/>
    </row>
    <row r="102" spans="1:14" s="3" customFormat="1" x14ac:dyDescent="0.25">
      <c r="A102" s="14"/>
      <c r="B102" s="84" t="s">
        <v>378</v>
      </c>
      <c r="C102" s="167" t="s">
        <v>9</v>
      </c>
      <c r="D102" s="350">
        <f>60/D10/D9</f>
        <v>6</v>
      </c>
      <c r="E102" s="351">
        <f>60/E10/E9</f>
        <v>15</v>
      </c>
      <c r="F102" s="336"/>
      <c r="H102" s="350">
        <f>60/H10/H9</f>
        <v>6</v>
      </c>
      <c r="I102" s="351">
        <f>60/I10/I9</f>
        <v>15</v>
      </c>
      <c r="J102" s="336"/>
      <c r="L102" s="350">
        <f>60/L10/L9</f>
        <v>6</v>
      </c>
      <c r="M102" s="351">
        <f>60/M10/M9</f>
        <v>15</v>
      </c>
      <c r="N102" s="336"/>
    </row>
    <row r="103" spans="1:14" s="3" customFormat="1" x14ac:dyDescent="0.25">
      <c r="A103" s="14"/>
      <c r="B103" s="84" t="s">
        <v>66</v>
      </c>
      <c r="C103" s="167" t="s">
        <v>0</v>
      </c>
      <c r="D103" s="353">
        <f>2*(60/D102)*D101/D94</f>
        <v>11.666666666666666</v>
      </c>
      <c r="E103" s="354">
        <f>2*(60/E102)*E101/E94</f>
        <v>2</v>
      </c>
      <c r="F103" s="336"/>
      <c r="H103" s="353">
        <f>2*(60/H102)*H101/H94</f>
        <v>11.666666666666666</v>
      </c>
      <c r="I103" s="354">
        <f>2*(60/I102)*I101/I94</f>
        <v>2</v>
      </c>
      <c r="J103" s="336"/>
      <c r="L103" s="353">
        <f>2*(60/L102)*L101/L94</f>
        <v>11.666666666666666</v>
      </c>
      <c r="M103" s="354">
        <f>2*(60/M102)*M101/M94</f>
        <v>2</v>
      </c>
      <c r="N103" s="336"/>
    </row>
    <row r="104" spans="1:14" s="3" customFormat="1" x14ac:dyDescent="0.25">
      <c r="A104" s="14"/>
      <c r="B104" s="84" t="s">
        <v>379</v>
      </c>
      <c r="C104" s="167" t="s">
        <v>11</v>
      </c>
      <c r="D104" s="355">
        <f>(Notes!$C$29/D94+Notes!$C$30)*D101*2*120/D102+Notes!$C$31*D103/500</f>
        <v>2540.2741000000005</v>
      </c>
      <c r="E104" s="356">
        <f>(Notes!$C$29/E94+Notes!$C$30)*E101*2*120/E102+Notes!$C$31*E103/500</f>
        <v>435.47556000000009</v>
      </c>
      <c r="F104" s="336"/>
      <c r="H104" s="355">
        <f>(Notes!$C$29/H94+Notes!$C$30)*H101*2*120/H102+Notes!$C$31*H103/500</f>
        <v>2540.2741000000005</v>
      </c>
      <c r="I104" s="356">
        <f>(Notes!$C$29/I94+Notes!$C$30)*I101*2*120/I102+Notes!$C$31*I103/500</f>
        <v>435.47556000000009</v>
      </c>
      <c r="J104" s="336"/>
      <c r="L104" s="355">
        <f>(Notes!$C$29/L94+Notes!$C$30)*L101*2*120/L102+Notes!$C$31*L103/500</f>
        <v>2540.2741000000005</v>
      </c>
      <c r="M104" s="356">
        <f>(Notes!$C$29/M94+Notes!$C$30)*M101*2*120/M102+Notes!$C$31*M103/500</f>
        <v>435.47556000000009</v>
      </c>
      <c r="N104" s="336"/>
    </row>
    <row r="105" spans="1:14" s="3" customFormat="1" x14ac:dyDescent="0.25">
      <c r="A105" s="14"/>
      <c r="B105" s="84" t="s">
        <v>68</v>
      </c>
      <c r="C105" s="167" t="s">
        <v>0</v>
      </c>
      <c r="D105" s="352">
        <f>D8*2*60/D102</f>
        <v>700</v>
      </c>
      <c r="E105" s="121">
        <f>E8*2*60/E102</f>
        <v>120</v>
      </c>
      <c r="F105" s="336"/>
      <c r="H105" s="352">
        <f>H8*2*60/H102</f>
        <v>700</v>
      </c>
      <c r="I105" s="121">
        <f>I8*2*60/I102</f>
        <v>120</v>
      </c>
      <c r="J105" s="336"/>
      <c r="L105" s="352">
        <f>L8*2*60/L102</f>
        <v>700</v>
      </c>
      <c r="M105" s="121">
        <f>M8*2*60/M102</f>
        <v>120</v>
      </c>
      <c r="N105" s="336"/>
    </row>
    <row r="106" spans="1:14" s="3" customFormat="1" x14ac:dyDescent="0.25">
      <c r="A106" s="14"/>
      <c r="B106" s="8" t="s">
        <v>12</v>
      </c>
      <c r="C106" s="142" t="s">
        <v>11</v>
      </c>
      <c r="D106" s="156">
        <f>IF(D100="Y",D104/D105,0)</f>
        <v>0</v>
      </c>
      <c r="E106" s="157">
        <f>IF(E100="Y",E104/E105,0)</f>
        <v>0</v>
      </c>
      <c r="F106" s="349"/>
      <c r="H106" s="156">
        <f>IF(H100="Y",H104/H105,0)</f>
        <v>0</v>
      </c>
      <c r="I106" s="157">
        <f>IF(I100="Y",I104/I105,0)</f>
        <v>0</v>
      </c>
      <c r="J106" s="336"/>
      <c r="L106" s="156">
        <f>IF(L100="Y",L104/L105,0)</f>
        <v>0</v>
      </c>
      <c r="M106" s="157">
        <f>IF(M100="Y",M104/M105,0)</f>
        <v>0</v>
      </c>
      <c r="N106" s="336"/>
    </row>
    <row r="107" spans="1:14" x14ac:dyDescent="0.25">
      <c r="A107" s="5"/>
      <c r="B107" s="10" t="s">
        <v>212</v>
      </c>
      <c r="C107" s="142" t="s">
        <v>11</v>
      </c>
      <c r="D107" s="156">
        <f ca="1">D106*D63</f>
        <v>0</v>
      </c>
      <c r="E107" s="157">
        <f ca="1">E106*E63</f>
        <v>0</v>
      </c>
      <c r="F107" s="259"/>
      <c r="H107" s="156">
        <f ca="1">H106*H63</f>
        <v>0</v>
      </c>
      <c r="I107" s="157">
        <f ca="1">I106*I63</f>
        <v>0</v>
      </c>
      <c r="J107" s="259"/>
      <c r="L107" s="156">
        <f ca="1">L106*L63</f>
        <v>0</v>
      </c>
      <c r="M107" s="157">
        <f ca="1">M106*M63</f>
        <v>0</v>
      </c>
      <c r="N107" s="259"/>
    </row>
    <row r="108" spans="1:14" x14ac:dyDescent="0.25">
      <c r="A108" s="5"/>
      <c r="B108" s="341" t="s">
        <v>190</v>
      </c>
      <c r="C108" s="142" t="s">
        <v>11</v>
      </c>
      <c r="D108" s="148">
        <v>2.06</v>
      </c>
      <c r="E108" s="149">
        <f>D108</f>
        <v>2.06</v>
      </c>
      <c r="F108" s="259" t="s">
        <v>209</v>
      </c>
      <c r="H108" s="148">
        <v>2.06</v>
      </c>
      <c r="I108" s="149">
        <f>H108</f>
        <v>2.06</v>
      </c>
      <c r="J108" s="259"/>
      <c r="L108" s="148">
        <v>2.06</v>
      </c>
      <c r="M108" s="149">
        <f>L108</f>
        <v>2.06</v>
      </c>
      <c r="N108" s="259"/>
    </row>
    <row r="109" spans="1:14" x14ac:dyDescent="0.25">
      <c r="A109" s="5"/>
      <c r="B109" s="9" t="s">
        <v>213</v>
      </c>
      <c r="C109" s="142" t="s">
        <v>11</v>
      </c>
      <c r="D109" s="156">
        <f ca="1">D108*D63</f>
        <v>99.827953039102582</v>
      </c>
      <c r="E109" s="157">
        <f ca="1">E108*E63</f>
        <v>116.46264108520599</v>
      </c>
      <c r="F109" s="259"/>
      <c r="H109" s="156">
        <f ca="1">H108*H63</f>
        <v>99.827953039102582</v>
      </c>
      <c r="I109" s="157">
        <f ca="1">I108*I63</f>
        <v>116.46264108520599</v>
      </c>
      <c r="J109" s="259"/>
      <c r="L109" s="156">
        <f ca="1">L108*L63</f>
        <v>99.827953039102582</v>
      </c>
      <c r="M109" s="157">
        <f ca="1">M108*M63</f>
        <v>116.46264108520599</v>
      </c>
      <c r="N109" s="259"/>
    </row>
    <row r="110" spans="1:14" ht="30" x14ac:dyDescent="0.25">
      <c r="B110" s="9" t="s">
        <v>214</v>
      </c>
      <c r="C110" s="142" t="s">
        <v>255</v>
      </c>
      <c r="D110" s="156">
        <f ca="1">D107-D109</f>
        <v>-99.827953039102582</v>
      </c>
      <c r="E110" s="157">
        <f ca="1">E107-E109</f>
        <v>-116.46264108520599</v>
      </c>
      <c r="F110" s="259"/>
      <c r="H110" s="156">
        <f ca="1">H107-H109</f>
        <v>-99.827953039102582</v>
      </c>
      <c r="I110" s="157">
        <f ca="1">I107-I109</f>
        <v>-116.46264108520599</v>
      </c>
      <c r="J110" s="259"/>
      <c r="L110" s="156">
        <f ca="1">L107-L109</f>
        <v>-99.827953039102582</v>
      </c>
      <c r="M110" s="157">
        <f ca="1">M107-M109</f>
        <v>-116.46264108520599</v>
      </c>
      <c r="N110" s="259"/>
    </row>
    <row r="111" spans="1:14" ht="30" x14ac:dyDescent="0.25">
      <c r="A111" s="6"/>
      <c r="B111" s="19" t="s">
        <v>216</v>
      </c>
      <c r="C111" s="211" t="s">
        <v>254</v>
      </c>
      <c r="D111" s="212">
        <f ca="1">D110*Notes!$C$72</f>
        <v>-24956.988259775644</v>
      </c>
      <c r="E111" s="213">
        <f ca="1">E110*Notes!$C$74</f>
        <v>-36103.418736413856</v>
      </c>
      <c r="F111" s="64"/>
      <c r="H111" s="212">
        <f ca="1">H110*Notes!$C$72</f>
        <v>-24956.988259775644</v>
      </c>
      <c r="I111" s="213">
        <f ca="1">I110*Notes!$C$74</f>
        <v>-36103.418736413856</v>
      </c>
      <c r="J111" s="64"/>
      <c r="L111" s="212">
        <f ca="1">L110*Notes!$C$72</f>
        <v>-24956.988259775644</v>
      </c>
      <c r="M111" s="213">
        <f ca="1">M110*Notes!$C$74</f>
        <v>-36103.418736413856</v>
      </c>
      <c r="N111" s="64"/>
    </row>
    <row r="112" spans="1:14" x14ac:dyDescent="0.25">
      <c r="A112" s="30" t="s">
        <v>191</v>
      </c>
      <c r="B112" s="31"/>
      <c r="C112" s="215" t="s">
        <v>205</v>
      </c>
      <c r="D112" s="216">
        <f ca="1">(D92+D99+D111)</f>
        <v>-11932.85242644231</v>
      </c>
      <c r="E112" s="217">
        <f ca="1">(E99+E111)</f>
        <v>-34074.989191969413</v>
      </c>
      <c r="F112" s="333"/>
      <c r="H112" s="216">
        <f ca="1">(H92+H99+H111)</f>
        <v>-11932.85242644231</v>
      </c>
      <c r="I112" s="217">
        <f ca="1">(I99+I111)</f>
        <v>-34074.989191969413</v>
      </c>
      <c r="J112" s="333"/>
      <c r="L112" s="216">
        <f ca="1">(L92+L99+L111)</f>
        <v>-11932.85242644231</v>
      </c>
      <c r="M112" s="217">
        <f ca="1">(M99+M111)</f>
        <v>-34074.989191969413</v>
      </c>
      <c r="N112" s="333"/>
    </row>
    <row r="113" spans="1:14" x14ac:dyDescent="0.25">
      <c r="A113"/>
      <c r="B113" s="7"/>
      <c r="C113" s="154"/>
      <c r="D113" s="150"/>
      <c r="E113" s="151"/>
      <c r="H113" s="150"/>
      <c r="I113" s="151"/>
      <c r="L113" s="150"/>
      <c r="M113" s="151"/>
    </row>
    <row r="114" spans="1:14" ht="14.45" customHeight="1" x14ac:dyDescent="0.25">
      <c r="A114" s="30" t="s">
        <v>201</v>
      </c>
      <c r="B114" s="55"/>
      <c r="C114" s="218"/>
      <c r="D114" s="418" t="s">
        <v>217</v>
      </c>
      <c r="E114" s="419"/>
      <c r="H114" s="418" t="s">
        <v>217</v>
      </c>
      <c r="I114" s="419"/>
      <c r="L114" s="418" t="s">
        <v>217</v>
      </c>
      <c r="M114" s="419"/>
    </row>
    <row r="115" spans="1:14" x14ac:dyDescent="0.25">
      <c r="A115" s="56" t="s">
        <v>128</v>
      </c>
      <c r="B115" s="41"/>
      <c r="C115" s="219"/>
      <c r="D115" s="220"/>
      <c r="E115" s="221"/>
      <c r="H115" s="220"/>
      <c r="I115" s="221"/>
      <c r="L115" s="220"/>
      <c r="M115" s="221"/>
    </row>
    <row r="116" spans="1:14" x14ac:dyDescent="0.25">
      <c r="A116" s="57" t="s">
        <v>129</v>
      </c>
      <c r="B116" s="54"/>
      <c r="C116" s="222"/>
      <c r="D116" s="223">
        <f>(D22+E22)/1000</f>
        <v>-55.655833333333327</v>
      </c>
      <c r="E116" s="224"/>
      <c r="H116" s="223">
        <f>(H22+I22)/1000</f>
        <v>-55.655833333333327</v>
      </c>
      <c r="I116" s="224"/>
      <c r="L116" s="223">
        <f>(L22+M22)/1000</f>
        <v>-55.655833333333327</v>
      </c>
      <c r="M116" s="224"/>
    </row>
    <row r="117" spans="1:14" x14ac:dyDescent="0.25">
      <c r="A117" s="57" t="s">
        <v>138</v>
      </c>
      <c r="B117" s="54"/>
      <c r="C117" s="222"/>
      <c r="D117" s="223">
        <f>(D27+E27)/1000</f>
        <v>130.48700000000002</v>
      </c>
      <c r="E117" s="224"/>
      <c r="H117" s="223">
        <f>(H27+I27)/1000</f>
        <v>130.48700000000002</v>
      </c>
      <c r="I117" s="224"/>
      <c r="L117" s="223">
        <f>(L27+M27)/1000</f>
        <v>130.48700000000002</v>
      </c>
      <c r="M117" s="224"/>
    </row>
    <row r="118" spans="1:14" x14ac:dyDescent="0.25">
      <c r="A118" s="57" t="s">
        <v>256</v>
      </c>
      <c r="B118" s="54"/>
      <c r="C118" s="222"/>
      <c r="D118" s="223">
        <f>(E31+E32)/1000</f>
        <v>50.070999999999998</v>
      </c>
      <c r="E118" s="224"/>
      <c r="H118" s="223">
        <f>(I31+I32)/1000</f>
        <v>50.070999999999998</v>
      </c>
      <c r="I118" s="224"/>
      <c r="L118" s="223">
        <f>(M31+M32)/1000</f>
        <v>50.070999999999998</v>
      </c>
      <c r="M118" s="224"/>
    </row>
    <row r="119" spans="1:14" x14ac:dyDescent="0.25">
      <c r="A119" s="57" t="s">
        <v>130</v>
      </c>
      <c r="B119" s="54"/>
      <c r="C119" s="222"/>
      <c r="D119" s="223">
        <f ca="1">(D38+E38)/1000</f>
        <v>0</v>
      </c>
      <c r="E119" s="224"/>
      <c r="H119" s="223">
        <f ca="1">(H38+I38)/1000</f>
        <v>0</v>
      </c>
      <c r="I119" s="224"/>
      <c r="L119" s="223">
        <f ca="1">(L38+M38)/1000</f>
        <v>0</v>
      </c>
      <c r="M119" s="224"/>
    </row>
    <row r="120" spans="1:14" x14ac:dyDescent="0.25">
      <c r="A120" s="57" t="s">
        <v>81</v>
      </c>
      <c r="B120" s="54"/>
      <c r="C120" s="222"/>
      <c r="D120" s="223" t="s">
        <v>171</v>
      </c>
      <c r="E120" s="224"/>
      <c r="H120" s="223" t="s">
        <v>171</v>
      </c>
      <c r="I120" s="224"/>
      <c r="L120" s="223" t="s">
        <v>171</v>
      </c>
      <c r="M120" s="224"/>
    </row>
    <row r="121" spans="1:14" x14ac:dyDescent="0.25">
      <c r="A121" s="57" t="s">
        <v>202</v>
      </c>
      <c r="B121" s="54"/>
      <c r="C121" s="222"/>
      <c r="D121" s="225">
        <f ca="1">(D51+E51)/1000</f>
        <v>109.19999999999999</v>
      </c>
      <c r="E121" s="224"/>
      <c r="H121" s="225">
        <f ca="1">(H51+I51)/1000</f>
        <v>109.19999999999999</v>
      </c>
      <c r="I121" s="224"/>
      <c r="L121" s="225">
        <f ca="1">(L51+M51)/1000</f>
        <v>109.19999999999999</v>
      </c>
      <c r="M121" s="224"/>
    </row>
    <row r="122" spans="1:14" x14ac:dyDescent="0.25">
      <c r="A122" s="58" t="s">
        <v>72</v>
      </c>
      <c r="B122" s="43"/>
      <c r="C122" s="158"/>
      <c r="D122" s="226"/>
      <c r="E122" s="160">
        <f ca="1">SUM(D116:D121)</f>
        <v>234.10216666666668</v>
      </c>
      <c r="H122" s="226"/>
      <c r="I122" s="160">
        <f ca="1">SUM(H116:H121)</f>
        <v>234.10216666666668</v>
      </c>
      <c r="L122" s="226"/>
      <c r="M122" s="160">
        <f ca="1">SUM(L116:L121)</f>
        <v>234.10216666666668</v>
      </c>
    </row>
    <row r="123" spans="1:14" x14ac:dyDescent="0.25">
      <c r="A123" s="59" t="s">
        <v>132</v>
      </c>
      <c r="B123" s="54"/>
      <c r="C123" s="222"/>
      <c r="D123" s="227"/>
      <c r="E123" s="228">
        <f ca="1">(D66+E66)/1000</f>
        <v>1.4479953811652648</v>
      </c>
      <c r="H123" s="227"/>
      <c r="I123" s="228">
        <f ca="1">(H66+I66)/1000</f>
        <v>1.4479953811652648</v>
      </c>
      <c r="L123" s="227"/>
      <c r="M123" s="228">
        <f ca="1">(L66+M66)/1000</f>
        <v>1.4479953811652648</v>
      </c>
    </row>
    <row r="124" spans="1:14" x14ac:dyDescent="0.25">
      <c r="A124" s="59" t="s">
        <v>203</v>
      </c>
      <c r="B124" s="54"/>
      <c r="C124" s="222"/>
      <c r="D124" s="227"/>
      <c r="E124" s="228">
        <f ca="1">D80/1000</f>
        <v>6.8787698891006617</v>
      </c>
      <c r="H124" s="227"/>
      <c r="I124" s="228">
        <f ca="1">H80/1000</f>
        <v>6.8787698891006617</v>
      </c>
      <c r="L124" s="227"/>
      <c r="M124" s="228">
        <f ca="1">L80/1000</f>
        <v>6.8787698891006617</v>
      </c>
    </row>
    <row r="125" spans="1:14" x14ac:dyDescent="0.25">
      <c r="A125" s="59" t="s">
        <v>133</v>
      </c>
      <c r="B125" s="54"/>
      <c r="C125" s="222"/>
      <c r="D125" s="227"/>
      <c r="E125" s="228">
        <f>D89/1000</f>
        <v>156.93220255833259</v>
      </c>
      <c r="H125" s="227"/>
      <c r="I125" s="228">
        <f>H89/1000</f>
        <v>156.93220255833259</v>
      </c>
      <c r="L125" s="227"/>
      <c r="M125" s="228">
        <f>L89/1000</f>
        <v>156.93220255833259</v>
      </c>
    </row>
    <row r="126" spans="1:14" x14ac:dyDescent="0.25">
      <c r="A126" s="60" t="s">
        <v>134</v>
      </c>
      <c r="B126" s="43"/>
      <c r="C126" s="158"/>
      <c r="D126" s="226"/>
      <c r="E126" s="229">
        <f ca="1">(D112+E112)/1000</f>
        <v>-46.007841618411724</v>
      </c>
      <c r="H126" s="226"/>
      <c r="I126" s="229">
        <f ca="1">(H112+I112)/1000</f>
        <v>-46.007841618411724</v>
      </c>
      <c r="L126" s="226"/>
      <c r="M126" s="229">
        <f ca="1">(L112+M112)/1000</f>
        <v>-46.007841618411724</v>
      </c>
    </row>
    <row r="127" spans="1:14" x14ac:dyDescent="0.25">
      <c r="A127" s="40" t="s">
        <v>204</v>
      </c>
      <c r="B127" s="42"/>
      <c r="C127" s="192"/>
      <c r="D127" s="230"/>
      <c r="E127" s="199"/>
      <c r="H127" s="230"/>
      <c r="I127" s="199"/>
      <c r="L127" s="230"/>
      <c r="M127" s="199"/>
    </row>
    <row r="128" spans="1:14" x14ac:dyDescent="0.25">
      <c r="A128" s="61" t="s">
        <v>135</v>
      </c>
      <c r="B128" s="39"/>
      <c r="C128" s="178"/>
      <c r="D128" s="231"/>
      <c r="E128" s="232">
        <f ca="1">E122+E123+E124</f>
        <v>242.4289319369326</v>
      </c>
      <c r="H128" s="231"/>
      <c r="I128" s="232">
        <f ca="1">I122+I123+I124</f>
        <v>242.4289319369326</v>
      </c>
      <c r="J128" s="338"/>
      <c r="L128" s="231"/>
      <c r="M128" s="232">
        <f ca="1">M122+M123+M124</f>
        <v>242.4289319369326</v>
      </c>
      <c r="N128" s="338"/>
    </row>
    <row r="129" spans="1:13" x14ac:dyDescent="0.25">
      <c r="A129" s="61" t="s">
        <v>136</v>
      </c>
      <c r="B129" s="39"/>
      <c r="C129" s="178"/>
      <c r="D129" s="231"/>
      <c r="E129" s="233">
        <f ca="1">E125+E126</f>
        <v>110.92436093992086</v>
      </c>
      <c r="H129" s="231"/>
      <c r="I129" s="233">
        <f ca="1">I125+I126</f>
        <v>110.92436093992086</v>
      </c>
      <c r="L129" s="231"/>
      <c r="M129" s="233">
        <f ca="1">M125+M126</f>
        <v>110.92436093992086</v>
      </c>
    </row>
    <row r="130" spans="1:13" x14ac:dyDescent="0.25">
      <c r="A130" s="61" t="s">
        <v>218</v>
      </c>
      <c r="B130" s="39"/>
      <c r="C130" s="178"/>
      <c r="D130" s="231"/>
      <c r="E130" s="232">
        <f ca="1">E128-E129</f>
        <v>131.50457099701174</v>
      </c>
      <c r="H130" s="231"/>
      <c r="I130" s="232">
        <f ca="1">I128-I129</f>
        <v>131.50457099701174</v>
      </c>
      <c r="L130" s="231"/>
      <c r="M130" s="232">
        <f ca="1">M128-M129</f>
        <v>131.50457099701174</v>
      </c>
    </row>
    <row r="131" spans="1:13" x14ac:dyDescent="0.25">
      <c r="A131" s="62" t="s">
        <v>137</v>
      </c>
      <c r="B131" s="37"/>
      <c r="C131" s="179"/>
      <c r="D131" s="234"/>
      <c r="E131" s="318">
        <f ca="1">E128/E129</f>
        <v>2.1855337266106729</v>
      </c>
      <c r="H131" s="234"/>
      <c r="I131" s="318">
        <f ca="1">I128/I129</f>
        <v>2.1855337266106729</v>
      </c>
      <c r="L131" s="234"/>
      <c r="M131" s="318">
        <f ca="1">M128/M129</f>
        <v>2.1855337266106729</v>
      </c>
    </row>
  </sheetData>
  <mergeCells count="3">
    <mergeCell ref="D114:E114"/>
    <mergeCell ref="H114:I114"/>
    <mergeCell ref="L114:M114"/>
  </mergeCells>
  <printOptions headings="1"/>
  <pageMargins left="0.11811023622047245" right="0.11811023622047245" top="0.15748031496062992" bottom="0.15748031496062992" header="0.11811023622047245" footer="0.11811023622047245"/>
  <pageSetup paperSize="8" scale="57" orientation="landscape" horizontalDpi="300" verticalDpi="300" r:id="rId1"/>
  <headerFooter>
    <oddFooter>&amp;L&amp;D &amp;T
&amp;Z&amp;F&amp;A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Notes!$B$93:$B$113</xm:f>
          </x14:formula1>
          <xm:sqref>D39:D44</xm:sqref>
        </x14:dataValidation>
        <x14:dataValidation type="list" allowBlank="1" showInputMessage="1" showErrorMessage="1">
          <x14:formula1>
            <xm:f>Notes!$B$93:$B$113</xm:f>
          </x14:formula1>
          <xm:sqref>H39:H44</xm:sqref>
        </x14:dataValidation>
        <x14:dataValidation type="list" allowBlank="1" showInputMessage="1" showErrorMessage="1">
          <x14:formula1>
            <xm:f>Notes!$B$93:$B$113</xm:f>
          </x14:formula1>
          <xm:sqref>L39:L44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zoomScale="55" zoomScaleNormal="5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7109375" style="7" customWidth="1"/>
    <col min="2" max="2" width="34" style="7" customWidth="1"/>
    <col min="3" max="3" width="14.5703125" customWidth="1"/>
    <col min="4" max="5" width="13.85546875" customWidth="1"/>
    <col min="6" max="6" width="41.28515625" style="327" customWidth="1"/>
    <col min="8" max="9" width="13.85546875" customWidth="1"/>
    <col min="10" max="10" width="41.28515625" style="327" customWidth="1"/>
    <col min="12" max="13" width="13.85546875" customWidth="1"/>
    <col min="14" max="14" width="41.28515625" style="327" customWidth="1"/>
  </cols>
  <sheetData>
    <row r="1" spans="1:14" ht="25.9" x14ac:dyDescent="0.3">
      <c r="A1" s="48"/>
      <c r="B1" s="49"/>
      <c r="C1" s="136"/>
      <c r="D1" s="317" t="s">
        <v>235</v>
      </c>
      <c r="E1" s="50"/>
      <c r="F1" s="320"/>
      <c r="H1" s="317" t="s">
        <v>371</v>
      </c>
      <c r="I1" s="50"/>
      <c r="J1" s="320"/>
      <c r="L1" s="317" t="s">
        <v>405</v>
      </c>
      <c r="M1" s="50"/>
      <c r="N1" s="320"/>
    </row>
    <row r="2" spans="1:14" ht="28.9" x14ac:dyDescent="0.3">
      <c r="A2" s="264"/>
      <c r="B2" s="251"/>
      <c r="C2" s="265"/>
      <c r="D2" s="53" t="s">
        <v>367</v>
      </c>
      <c r="E2" s="316" t="s">
        <v>367</v>
      </c>
      <c r="F2" s="339" t="s">
        <v>15</v>
      </c>
      <c r="H2" s="53" t="s">
        <v>367</v>
      </c>
      <c r="I2" s="316" t="s">
        <v>367</v>
      </c>
      <c r="J2" s="339" t="s">
        <v>15</v>
      </c>
      <c r="L2" s="53" t="s">
        <v>367</v>
      </c>
      <c r="M2" s="316" t="s">
        <v>367</v>
      </c>
      <c r="N2" s="339" t="s">
        <v>15</v>
      </c>
    </row>
    <row r="3" spans="1:14" ht="43.15" x14ac:dyDescent="0.3">
      <c r="A3" s="15" t="s">
        <v>177</v>
      </c>
      <c r="B3" s="16"/>
      <c r="C3" s="138"/>
      <c r="D3" s="21"/>
      <c r="E3" s="17"/>
      <c r="F3" s="319" t="s">
        <v>366</v>
      </c>
      <c r="H3" s="21"/>
      <c r="I3" s="17"/>
      <c r="J3" s="319" t="s">
        <v>366</v>
      </c>
      <c r="L3" s="21"/>
      <c r="M3" s="17"/>
      <c r="N3" s="319" t="s">
        <v>366</v>
      </c>
    </row>
    <row r="4" spans="1:14" ht="28.9" x14ac:dyDescent="0.3">
      <c r="A4" s="4" t="s">
        <v>179</v>
      </c>
      <c r="B4" s="20" t="s">
        <v>122</v>
      </c>
      <c r="C4" s="139" t="s">
        <v>0</v>
      </c>
      <c r="D4" s="140">
        <v>40</v>
      </c>
      <c r="E4" s="141">
        <f>D4</f>
        <v>40</v>
      </c>
      <c r="F4" s="255" t="s">
        <v>353</v>
      </c>
      <c r="H4" s="140">
        <v>40</v>
      </c>
      <c r="I4" s="141">
        <f>H4</f>
        <v>40</v>
      </c>
      <c r="J4" s="255" t="s">
        <v>353</v>
      </c>
      <c r="L4" s="140">
        <v>40</v>
      </c>
      <c r="M4" s="141">
        <f>L4</f>
        <v>40</v>
      </c>
      <c r="N4" s="255" t="s">
        <v>353</v>
      </c>
    </row>
    <row r="5" spans="1:14" ht="14.45" x14ac:dyDescent="0.3">
      <c r="A5" s="235"/>
      <c r="B5" s="10" t="s">
        <v>91</v>
      </c>
      <c r="C5" s="142" t="s">
        <v>0</v>
      </c>
      <c r="D5" s="134">
        <v>30</v>
      </c>
      <c r="E5" s="135">
        <f>D5</f>
        <v>30</v>
      </c>
      <c r="F5" s="259"/>
      <c r="H5" s="134">
        <v>30</v>
      </c>
      <c r="I5" s="135">
        <f>H5</f>
        <v>30</v>
      </c>
      <c r="J5" s="259"/>
      <c r="L5" s="134">
        <v>30</v>
      </c>
      <c r="M5" s="135">
        <f>L5</f>
        <v>30</v>
      </c>
      <c r="N5" s="259"/>
    </row>
    <row r="6" spans="1:14" ht="28.9" x14ac:dyDescent="0.3">
      <c r="A6" s="26"/>
      <c r="B6" s="237" t="s">
        <v>106</v>
      </c>
      <c r="C6" s="145" t="s">
        <v>0</v>
      </c>
      <c r="D6" s="238">
        <f>D4*D5</f>
        <v>1200</v>
      </c>
      <c r="E6" s="206">
        <f>E4*E5</f>
        <v>1200</v>
      </c>
      <c r="F6" s="342" t="s">
        <v>346</v>
      </c>
      <c r="H6" s="238">
        <f>H4*H5</f>
        <v>1200</v>
      </c>
      <c r="I6" s="206">
        <f>I4*I5</f>
        <v>1200</v>
      </c>
      <c r="J6" s="342" t="s">
        <v>346</v>
      </c>
      <c r="L6" s="238">
        <f>L4*L5</f>
        <v>1200</v>
      </c>
      <c r="M6" s="206">
        <f>M4*M5</f>
        <v>1200</v>
      </c>
      <c r="N6" s="342" t="s">
        <v>346</v>
      </c>
    </row>
    <row r="7" spans="1:14" ht="14.45" x14ac:dyDescent="0.3">
      <c r="A7" s="47" t="s">
        <v>178</v>
      </c>
      <c r="B7" s="25" t="s">
        <v>98</v>
      </c>
      <c r="C7" s="139" t="s">
        <v>8</v>
      </c>
      <c r="D7" s="241">
        <v>10</v>
      </c>
      <c r="E7" s="242">
        <v>10</v>
      </c>
      <c r="F7" s="255"/>
      <c r="H7" s="241">
        <v>10</v>
      </c>
      <c r="I7" s="242">
        <v>10</v>
      </c>
      <c r="J7" s="255"/>
      <c r="L7" s="241">
        <v>10</v>
      </c>
      <c r="M7" s="242">
        <v>10</v>
      </c>
      <c r="N7" s="255"/>
    </row>
    <row r="8" spans="1:14" ht="28.9" x14ac:dyDescent="0.3">
      <c r="A8" s="4"/>
      <c r="B8" s="20" t="s">
        <v>100</v>
      </c>
      <c r="C8" s="139" t="s">
        <v>0</v>
      </c>
      <c r="D8" s="131">
        <v>1</v>
      </c>
      <c r="E8" s="132">
        <v>1</v>
      </c>
      <c r="F8" s="255" t="s">
        <v>351</v>
      </c>
      <c r="H8" s="131">
        <v>1</v>
      </c>
      <c r="I8" s="132">
        <v>1</v>
      </c>
      <c r="J8" s="255" t="s">
        <v>351</v>
      </c>
      <c r="L8" s="131">
        <v>1</v>
      </c>
      <c r="M8" s="132">
        <v>1</v>
      </c>
      <c r="N8" s="255" t="s">
        <v>351</v>
      </c>
    </row>
    <row r="9" spans="1:14" ht="28.9" x14ac:dyDescent="0.3">
      <c r="A9" s="5"/>
      <c r="B9" s="10" t="s">
        <v>65</v>
      </c>
      <c r="C9" s="142" t="s">
        <v>63</v>
      </c>
      <c r="D9" s="148">
        <v>2</v>
      </c>
      <c r="E9" s="149">
        <v>2</v>
      </c>
      <c r="F9" s="259" t="s">
        <v>350</v>
      </c>
      <c r="H9" s="148">
        <v>2</v>
      </c>
      <c r="I9" s="149">
        <v>2</v>
      </c>
      <c r="J9" s="259" t="s">
        <v>350</v>
      </c>
      <c r="L9" s="148">
        <v>2</v>
      </c>
      <c r="M9" s="149">
        <v>2</v>
      </c>
      <c r="N9" s="259" t="s">
        <v>350</v>
      </c>
    </row>
    <row r="10" spans="1:14" ht="14.45" x14ac:dyDescent="0.3">
      <c r="A10" s="5"/>
      <c r="B10" s="8" t="s">
        <v>99</v>
      </c>
      <c r="C10" s="142" t="s">
        <v>9</v>
      </c>
      <c r="D10" s="150">
        <f>60*D9/D4</f>
        <v>3</v>
      </c>
      <c r="E10" s="151">
        <f>60*E9/E4</f>
        <v>3</v>
      </c>
      <c r="F10" s="259"/>
      <c r="H10" s="150">
        <f>60*H9/H4</f>
        <v>3</v>
      </c>
      <c r="I10" s="151">
        <f>60*I9/I4</f>
        <v>3</v>
      </c>
      <c r="J10" s="259"/>
      <c r="L10" s="150">
        <f>60*L9/L4</f>
        <v>3</v>
      </c>
      <c r="M10" s="151">
        <f>60*M9/M4</f>
        <v>3</v>
      </c>
      <c r="N10" s="259"/>
    </row>
    <row r="11" spans="1:14" ht="14.45" x14ac:dyDescent="0.3">
      <c r="A11" s="22" t="s">
        <v>347</v>
      </c>
      <c r="B11" s="25" t="s">
        <v>103</v>
      </c>
      <c r="C11" s="139" t="s">
        <v>9</v>
      </c>
      <c r="D11" s="140">
        <f>D7/40*60</f>
        <v>15</v>
      </c>
      <c r="E11" s="141">
        <f>E7/40*60</f>
        <v>15</v>
      </c>
      <c r="F11" s="255"/>
      <c r="H11" s="140">
        <f>H7/40*60</f>
        <v>15</v>
      </c>
      <c r="I11" s="141">
        <f>I7/40*60</f>
        <v>15</v>
      </c>
      <c r="J11" s="255"/>
      <c r="L11" s="140">
        <f>L7/40*60</f>
        <v>15</v>
      </c>
      <c r="M11" s="141">
        <f>M7/40*60</f>
        <v>15</v>
      </c>
      <c r="N11" s="255"/>
    </row>
    <row r="12" spans="1:14" ht="14.45" x14ac:dyDescent="0.3">
      <c r="A12" s="235"/>
      <c r="B12" s="8" t="s">
        <v>104</v>
      </c>
      <c r="C12" s="142" t="s">
        <v>9</v>
      </c>
      <c r="D12" s="134">
        <v>20</v>
      </c>
      <c r="E12" s="135">
        <v>20</v>
      </c>
      <c r="F12" s="259"/>
      <c r="H12" s="134">
        <v>20</v>
      </c>
      <c r="I12" s="135">
        <v>20</v>
      </c>
      <c r="J12" s="259"/>
      <c r="L12" s="134">
        <v>20</v>
      </c>
      <c r="M12" s="135">
        <v>20</v>
      </c>
      <c r="N12" s="259"/>
    </row>
    <row r="13" spans="1:14" ht="28.9" x14ac:dyDescent="0.3">
      <c r="A13" s="236"/>
      <c r="B13" s="237" t="s">
        <v>108</v>
      </c>
      <c r="C13" s="145" t="s">
        <v>9</v>
      </c>
      <c r="D13" s="146">
        <v>21</v>
      </c>
      <c r="E13" s="147">
        <v>21</v>
      </c>
      <c r="F13" s="64"/>
      <c r="H13" s="146">
        <v>21</v>
      </c>
      <c r="I13" s="147">
        <v>21</v>
      </c>
      <c r="J13" s="64"/>
      <c r="L13" s="146">
        <v>21</v>
      </c>
      <c r="M13" s="147">
        <v>21</v>
      </c>
      <c r="N13" s="64"/>
    </row>
    <row r="14" spans="1:14" ht="14.45" x14ac:dyDescent="0.3">
      <c r="A14" s="22" t="s">
        <v>348</v>
      </c>
      <c r="B14" s="25" t="s">
        <v>105</v>
      </c>
      <c r="C14" s="139" t="s">
        <v>9</v>
      </c>
      <c r="D14" s="134">
        <v>25</v>
      </c>
      <c r="E14" s="135">
        <v>25</v>
      </c>
      <c r="F14" s="255"/>
      <c r="H14" s="134">
        <v>25</v>
      </c>
      <c r="I14" s="135">
        <v>25</v>
      </c>
      <c r="J14" s="255"/>
      <c r="L14" s="134">
        <v>25</v>
      </c>
      <c r="M14" s="135">
        <v>25</v>
      </c>
      <c r="N14" s="255"/>
    </row>
    <row r="15" spans="1:14" ht="14.45" x14ac:dyDescent="0.3">
      <c r="A15" s="6"/>
      <c r="B15" s="237" t="s">
        <v>107</v>
      </c>
      <c r="C15" s="145" t="s">
        <v>9</v>
      </c>
      <c r="D15" s="146">
        <v>20</v>
      </c>
      <c r="E15" s="147">
        <v>20</v>
      </c>
      <c r="F15" s="64"/>
      <c r="H15" s="146">
        <v>20</v>
      </c>
      <c r="I15" s="147">
        <v>20</v>
      </c>
      <c r="J15" s="64"/>
      <c r="L15" s="146">
        <v>20</v>
      </c>
      <c r="M15" s="147">
        <v>20</v>
      </c>
      <c r="N15" s="64"/>
    </row>
    <row r="16" spans="1:14" ht="28.9" x14ac:dyDescent="0.3">
      <c r="A16" s="27" t="s">
        <v>349</v>
      </c>
      <c r="B16" s="252" t="s">
        <v>101</v>
      </c>
      <c r="C16" s="371" t="s">
        <v>0</v>
      </c>
      <c r="D16" s="372">
        <v>2000</v>
      </c>
      <c r="E16" s="373">
        <v>2000</v>
      </c>
      <c r="F16" s="329" t="s">
        <v>356</v>
      </c>
      <c r="G16" s="1"/>
      <c r="H16" s="372">
        <v>2000</v>
      </c>
      <c r="I16" s="373">
        <v>2000</v>
      </c>
      <c r="J16" s="329" t="s">
        <v>356</v>
      </c>
      <c r="K16" s="1"/>
      <c r="L16" s="372">
        <v>2000</v>
      </c>
      <c r="M16" s="373">
        <v>2000</v>
      </c>
      <c r="N16" s="329" t="s">
        <v>356</v>
      </c>
    </row>
    <row r="17" spans="1:14" ht="30" x14ac:dyDescent="0.25">
      <c r="A17" s="26"/>
      <c r="B17" s="237" t="s">
        <v>111</v>
      </c>
      <c r="C17" s="145" t="s">
        <v>5</v>
      </c>
      <c r="D17" s="374">
        <v>0.05</v>
      </c>
      <c r="E17" s="375">
        <v>0.05</v>
      </c>
      <c r="F17" s="64"/>
      <c r="H17" s="374">
        <v>0.05</v>
      </c>
      <c r="I17" s="375">
        <v>0.05</v>
      </c>
      <c r="J17" s="64"/>
      <c r="L17" s="374">
        <v>0.05</v>
      </c>
      <c r="M17" s="375">
        <v>0.05</v>
      </c>
      <c r="N17" s="64"/>
    </row>
    <row r="19" spans="1:14" x14ac:dyDescent="0.25">
      <c r="A19" s="15" t="s">
        <v>128</v>
      </c>
      <c r="B19" s="16"/>
      <c r="C19" s="138"/>
      <c r="D19" s="21"/>
      <c r="E19" s="17"/>
      <c r="F19" s="321"/>
      <c r="H19" s="21"/>
      <c r="I19" s="17"/>
      <c r="J19" s="321"/>
      <c r="L19" s="21"/>
      <c r="M19" s="17"/>
      <c r="N19" s="321"/>
    </row>
    <row r="20" spans="1:14" ht="30" x14ac:dyDescent="0.25">
      <c r="A20" s="4" t="s">
        <v>129</v>
      </c>
      <c r="B20" s="25" t="s">
        <v>352</v>
      </c>
      <c r="C20" s="139" t="s">
        <v>94</v>
      </c>
      <c r="D20" s="182">
        <f>D14-D15</f>
        <v>5</v>
      </c>
      <c r="E20" s="183">
        <f>E14-E15</f>
        <v>5</v>
      </c>
      <c r="F20" s="255"/>
      <c r="H20" s="182">
        <f>H14-H15</f>
        <v>5</v>
      </c>
      <c r="I20" s="183">
        <f>I14-I15</f>
        <v>5</v>
      </c>
      <c r="J20" s="255"/>
      <c r="L20" s="182">
        <f>L14-L15</f>
        <v>5</v>
      </c>
      <c r="M20" s="183">
        <f>M14-M15</f>
        <v>5</v>
      </c>
      <c r="N20" s="255"/>
    </row>
    <row r="21" spans="1:14" x14ac:dyDescent="0.25">
      <c r="A21" s="5"/>
      <c r="B21" s="8" t="s">
        <v>147</v>
      </c>
      <c r="C21" s="142" t="s">
        <v>149</v>
      </c>
      <c r="D21" s="256">
        <f>D20/60*D6*Notes!$C$18</f>
        <v>1092</v>
      </c>
      <c r="E21" s="262">
        <f>E20/60*E6*Notes!$C$18</f>
        <v>1092</v>
      </c>
      <c r="F21" s="259"/>
      <c r="H21" s="256">
        <f>H20/60*H6*Notes!$C$18</f>
        <v>1092</v>
      </c>
      <c r="I21" s="262">
        <f>I20/60*I6*Notes!$C$18</f>
        <v>1092</v>
      </c>
      <c r="J21" s="259"/>
      <c r="L21" s="256">
        <f>L20/60*L6*Notes!$C$18</f>
        <v>1092</v>
      </c>
      <c r="M21" s="262">
        <f>M20/60*M6*Notes!$C$18</f>
        <v>1092</v>
      </c>
      <c r="N21" s="259"/>
    </row>
    <row r="22" spans="1:14" x14ac:dyDescent="0.25">
      <c r="A22" s="6"/>
      <c r="B22" s="43" t="s">
        <v>56</v>
      </c>
      <c r="C22" s="158" t="s">
        <v>205</v>
      </c>
      <c r="D22" s="159">
        <f>D21*Notes!$C$72</f>
        <v>273000</v>
      </c>
      <c r="E22" s="160">
        <f>E21*Notes!$C$72</f>
        <v>273000</v>
      </c>
      <c r="F22" s="322"/>
      <c r="H22" s="159">
        <f>H21*Notes!$C$72</f>
        <v>273000</v>
      </c>
      <c r="I22" s="160">
        <f>I21*Notes!$C$72</f>
        <v>273000</v>
      </c>
      <c r="J22" s="322"/>
      <c r="L22" s="159">
        <f>L21*Notes!$C$72</f>
        <v>273000</v>
      </c>
      <c r="M22" s="160">
        <f>M21*Notes!$C$72</f>
        <v>273000</v>
      </c>
      <c r="N22" s="322"/>
    </row>
    <row r="23" spans="1:14" x14ac:dyDescent="0.25">
      <c r="A23" s="23" t="s">
        <v>138</v>
      </c>
      <c r="B23" s="18" t="s">
        <v>357</v>
      </c>
      <c r="C23" s="138"/>
      <c r="D23" s="165"/>
      <c r="E23" s="166"/>
      <c r="F23" s="321"/>
      <c r="H23" s="165"/>
      <c r="I23" s="166"/>
      <c r="J23" s="321"/>
      <c r="L23" s="165"/>
      <c r="M23" s="166"/>
      <c r="N23" s="321"/>
    </row>
    <row r="24" spans="1:14" x14ac:dyDescent="0.25">
      <c r="A24" s="23" t="s">
        <v>139</v>
      </c>
      <c r="B24" s="18" t="s">
        <v>357</v>
      </c>
      <c r="C24" s="138"/>
      <c r="D24" s="165"/>
      <c r="E24" s="166"/>
      <c r="F24" s="321"/>
      <c r="H24" s="165"/>
      <c r="I24" s="166"/>
      <c r="J24" s="321"/>
      <c r="L24" s="165"/>
      <c r="M24" s="166"/>
      <c r="N24" s="321"/>
    </row>
    <row r="25" spans="1:14" ht="45" x14ac:dyDescent="0.25">
      <c r="A25" s="4" t="s">
        <v>81</v>
      </c>
      <c r="B25" s="252" t="s">
        <v>354</v>
      </c>
      <c r="C25" s="139" t="s">
        <v>0</v>
      </c>
      <c r="D25" s="253">
        <v>0.25</v>
      </c>
      <c r="E25" s="254">
        <f>D25</f>
        <v>0.25</v>
      </c>
      <c r="F25" s="255" t="s">
        <v>382</v>
      </c>
      <c r="H25" s="253">
        <v>0.25</v>
      </c>
      <c r="I25" s="254">
        <f>H25</f>
        <v>0.25</v>
      </c>
      <c r="J25" s="255" t="s">
        <v>382</v>
      </c>
      <c r="L25" s="253">
        <v>0.25</v>
      </c>
      <c r="M25" s="254">
        <f>L25</f>
        <v>0.25</v>
      </c>
      <c r="N25" s="255" t="s">
        <v>382</v>
      </c>
    </row>
    <row r="26" spans="1:14" x14ac:dyDescent="0.25">
      <c r="A26" s="5"/>
      <c r="B26" s="258" t="s">
        <v>359</v>
      </c>
      <c r="C26" s="142" t="s">
        <v>94</v>
      </c>
      <c r="D26" s="260">
        <f>D20*D25</f>
        <v>1.25</v>
      </c>
      <c r="E26" s="261">
        <f>E20*E25</f>
        <v>1.25</v>
      </c>
      <c r="F26" s="259"/>
      <c r="H26" s="260">
        <f>H20*H25</f>
        <v>1.25</v>
      </c>
      <c r="I26" s="261">
        <f>I20*I25</f>
        <v>1.25</v>
      </c>
      <c r="J26" s="259"/>
      <c r="L26" s="260">
        <f>L20*L25</f>
        <v>1.25</v>
      </c>
      <c r="M26" s="261">
        <f>M20*M25</f>
        <v>1.25</v>
      </c>
      <c r="N26" s="259"/>
    </row>
    <row r="27" spans="1:14" x14ac:dyDescent="0.25">
      <c r="A27" s="5"/>
      <c r="B27" s="8" t="s">
        <v>358</v>
      </c>
      <c r="C27" s="142" t="s">
        <v>149</v>
      </c>
      <c r="D27" s="256">
        <f>D26/60*D6*Notes!$C$18</f>
        <v>273</v>
      </c>
      <c r="E27" s="262">
        <f>E26/60*E6*Notes!$C$18</f>
        <v>273</v>
      </c>
      <c r="F27" s="259"/>
      <c r="H27" s="256">
        <f>H26/60*H6*Notes!$C$18</f>
        <v>273</v>
      </c>
      <c r="I27" s="262">
        <f>I26/60*I6*Notes!$C$18</f>
        <v>273</v>
      </c>
      <c r="J27" s="259"/>
      <c r="L27" s="256">
        <f>L26/60*L6*Notes!$C$18</f>
        <v>273</v>
      </c>
      <c r="M27" s="262">
        <f>M26/60*M6*Notes!$C$18</f>
        <v>273</v>
      </c>
      <c r="N27" s="259"/>
    </row>
    <row r="28" spans="1:14" x14ac:dyDescent="0.25">
      <c r="A28" s="6"/>
      <c r="B28" s="43" t="s">
        <v>56</v>
      </c>
      <c r="C28" s="158" t="s">
        <v>205</v>
      </c>
      <c r="D28" s="159">
        <f>D27*Notes!$C$72</f>
        <v>68250</v>
      </c>
      <c r="E28" s="160">
        <f>E27*Notes!$C$72</f>
        <v>68250</v>
      </c>
      <c r="F28" s="322"/>
      <c r="H28" s="159">
        <f>H27*Notes!$C$72</f>
        <v>68250</v>
      </c>
      <c r="I28" s="160">
        <f>I27*Notes!$C$72</f>
        <v>68250</v>
      </c>
      <c r="J28" s="322"/>
      <c r="L28" s="159">
        <f>L27*Notes!$C$72</f>
        <v>68250</v>
      </c>
      <c r="M28" s="160">
        <f>M27*Notes!$C$72</f>
        <v>68250</v>
      </c>
      <c r="N28" s="322"/>
    </row>
    <row r="29" spans="1:14" ht="30" x14ac:dyDescent="0.25">
      <c r="A29" s="27" t="s">
        <v>130</v>
      </c>
      <c r="B29" s="20" t="s">
        <v>144</v>
      </c>
      <c r="C29" s="139" t="s">
        <v>355</v>
      </c>
      <c r="D29" s="131">
        <v>1</v>
      </c>
      <c r="E29" s="132">
        <v>1</v>
      </c>
      <c r="F29" s="255"/>
      <c r="H29" s="131">
        <v>1</v>
      </c>
      <c r="I29" s="132">
        <v>1</v>
      </c>
      <c r="J29" s="255"/>
      <c r="L29" s="131">
        <v>1</v>
      </c>
      <c r="M29" s="132">
        <v>1</v>
      </c>
      <c r="N29" s="255"/>
    </row>
    <row r="30" spans="1:14" ht="30" x14ac:dyDescent="0.25">
      <c r="A30" s="5"/>
      <c r="B30" s="9" t="s">
        <v>102</v>
      </c>
      <c r="C30" s="142" t="s">
        <v>93</v>
      </c>
      <c r="D30" s="260">
        <f>D29*Notes!$D$43*D10*D8</f>
        <v>0.89999999999999991</v>
      </c>
      <c r="E30" s="263">
        <f>E29*E10*E8*Notes!$D$43</f>
        <v>0.89999999999999991</v>
      </c>
      <c r="F30" s="259"/>
      <c r="H30" s="260">
        <f>H29*Notes!$D$43*H10*H8</f>
        <v>0.89999999999999991</v>
      </c>
      <c r="I30" s="263">
        <f>I29*I10*I8*Notes!$D$43</f>
        <v>0.89999999999999991</v>
      </c>
      <c r="J30" s="259"/>
      <c r="L30" s="260">
        <f>L29*Notes!$D$43*L10*L8</f>
        <v>0.89999999999999991</v>
      </c>
      <c r="M30" s="263">
        <f>M29*M10*M8*Notes!$D$43</f>
        <v>0.89999999999999991</v>
      </c>
      <c r="N30" s="259"/>
    </row>
    <row r="31" spans="1:14" ht="30" x14ac:dyDescent="0.25">
      <c r="A31" s="5"/>
      <c r="B31" s="9" t="s">
        <v>16</v>
      </c>
      <c r="C31" s="142" t="s">
        <v>11</v>
      </c>
      <c r="D31" s="394">
        <f>D30/60*Notes!$C$23*Notes!$C$18</f>
        <v>0.32759999999999995</v>
      </c>
      <c r="E31" s="395">
        <f>E29*E30/60*Notes!$C$23*Notes!$C$18</f>
        <v>0.32759999999999995</v>
      </c>
      <c r="F31" s="396"/>
      <c r="G31" s="397"/>
      <c r="H31" s="394">
        <f>H30/60*Notes!$C$23*Notes!$C$18</f>
        <v>0.32759999999999995</v>
      </c>
      <c r="I31" s="395">
        <f>I29*I30/60*Notes!$C$23*Notes!$C$18</f>
        <v>0.32759999999999995</v>
      </c>
      <c r="J31" s="259"/>
      <c r="K31" s="397"/>
      <c r="L31" s="394">
        <f>L30/60*Notes!$C$23*Notes!$C$18</f>
        <v>0.32759999999999995</v>
      </c>
      <c r="M31" s="395">
        <f>M29*M30/60*Notes!$C$23*Notes!$C$18</f>
        <v>0.32759999999999995</v>
      </c>
      <c r="N31" s="259"/>
    </row>
    <row r="32" spans="1:14" ht="30" x14ac:dyDescent="0.25">
      <c r="A32" s="5"/>
      <c r="B32" s="9" t="s">
        <v>156</v>
      </c>
      <c r="C32" s="142" t="s">
        <v>149</v>
      </c>
      <c r="D32" s="256">
        <f>D31*D6</f>
        <v>393.11999999999995</v>
      </c>
      <c r="E32" s="262">
        <f>E31*E6</f>
        <v>393.11999999999995</v>
      </c>
      <c r="F32" s="259"/>
      <c r="H32" s="256">
        <f>H31*H6</f>
        <v>393.11999999999995</v>
      </c>
      <c r="I32" s="262">
        <f>I31*I6</f>
        <v>393.11999999999995</v>
      </c>
      <c r="J32" s="259"/>
      <c r="L32" s="256">
        <f>L31*L6</f>
        <v>393.11999999999995</v>
      </c>
      <c r="M32" s="262">
        <f>M31*M6</f>
        <v>393.11999999999995</v>
      </c>
      <c r="N32" s="259"/>
    </row>
    <row r="33" spans="1:14" x14ac:dyDescent="0.25">
      <c r="A33" s="6"/>
      <c r="B33" s="43" t="s">
        <v>56</v>
      </c>
      <c r="C33" s="158" t="s">
        <v>205</v>
      </c>
      <c r="D33" s="159">
        <f>D32*Notes!$C$72</f>
        <v>98279.999999999985</v>
      </c>
      <c r="E33" s="160">
        <f>E32*Notes!$C$72</f>
        <v>98279.999999999985</v>
      </c>
      <c r="F33" s="322"/>
      <c r="H33" s="159">
        <f>H32*Notes!$C$72</f>
        <v>98279.999999999985</v>
      </c>
      <c r="I33" s="160">
        <f>I32*Notes!$C$72</f>
        <v>98279.999999999985</v>
      </c>
      <c r="J33" s="322"/>
      <c r="L33" s="159">
        <f>L32*Notes!$C$72</f>
        <v>98279.999999999985</v>
      </c>
      <c r="M33" s="160">
        <f>M32*Notes!$C$72</f>
        <v>98279.999999999985</v>
      </c>
      <c r="N33" s="322"/>
    </row>
    <row r="34" spans="1:14" x14ac:dyDescent="0.25">
      <c r="A34" s="23" t="s">
        <v>241</v>
      </c>
      <c r="B34" s="18" t="s">
        <v>357</v>
      </c>
      <c r="C34" s="138"/>
      <c r="D34" s="165"/>
      <c r="E34" s="166"/>
      <c r="F34" s="321"/>
      <c r="H34" s="165"/>
      <c r="I34" s="166"/>
      <c r="J34" s="321"/>
      <c r="L34" s="165"/>
      <c r="M34" s="166"/>
      <c r="N34" s="321"/>
    </row>
    <row r="35" spans="1:14" x14ac:dyDescent="0.25">
      <c r="A35" s="28" t="s">
        <v>131</v>
      </c>
      <c r="B35" s="18" t="s">
        <v>357</v>
      </c>
      <c r="C35" s="138"/>
      <c r="D35" s="165"/>
      <c r="E35" s="166"/>
      <c r="F35" s="321"/>
      <c r="H35" s="165"/>
      <c r="I35" s="166"/>
      <c r="J35" s="321"/>
      <c r="L35" s="165"/>
      <c r="M35" s="166"/>
      <c r="N35" s="321"/>
    </row>
    <row r="36" spans="1:14" x14ac:dyDescent="0.25">
      <c r="A36" s="32" t="s">
        <v>161</v>
      </c>
      <c r="B36" s="33"/>
      <c r="C36" s="172" t="s">
        <v>94</v>
      </c>
      <c r="D36" s="173">
        <f>D20+D26+D30*Notes!$C$23</f>
        <v>8.0500000000000007</v>
      </c>
      <c r="E36" s="174">
        <f>E20+E26+E30*Notes!$C$23</f>
        <v>8.0500000000000007</v>
      </c>
      <c r="F36" s="323"/>
      <c r="H36" s="173">
        <f>H20+H26+H30*Notes!$C$23</f>
        <v>8.0500000000000007</v>
      </c>
      <c r="I36" s="174">
        <f>I20+I26+I30*Notes!$C$23</f>
        <v>8.0500000000000007</v>
      </c>
      <c r="J36" s="323"/>
      <c r="L36" s="173">
        <f>L20+L26+L30*Notes!$C$23</f>
        <v>8.0500000000000007</v>
      </c>
      <c r="M36" s="174">
        <f>M20+M26+M30*Notes!$C$23</f>
        <v>8.0500000000000007</v>
      </c>
      <c r="N36" s="323"/>
    </row>
    <row r="37" spans="1:14" x14ac:dyDescent="0.25">
      <c r="A37" s="34" t="s">
        <v>160</v>
      </c>
      <c r="B37" s="35"/>
      <c r="C37" s="175" t="s">
        <v>149</v>
      </c>
      <c r="D37" s="176">
        <f>D38/D6</f>
        <v>1.4650999999999998</v>
      </c>
      <c r="E37" s="177">
        <f>E38/E6</f>
        <v>1.4650999999999998</v>
      </c>
      <c r="F37" s="324"/>
      <c r="H37" s="176">
        <f>H38/H6</f>
        <v>1.4650999999999998</v>
      </c>
      <c r="I37" s="177">
        <f>I38/I6</f>
        <v>1.4650999999999998</v>
      </c>
      <c r="J37" s="324"/>
      <c r="L37" s="176">
        <f>L38/L6</f>
        <v>1.4650999999999998</v>
      </c>
      <c r="M37" s="177">
        <f>M38/M6</f>
        <v>1.4650999999999998</v>
      </c>
      <c r="N37" s="324"/>
    </row>
    <row r="38" spans="1:14" x14ac:dyDescent="0.25">
      <c r="A38" s="46" t="s">
        <v>163</v>
      </c>
      <c r="B38" s="39"/>
      <c r="C38" s="178" t="s">
        <v>149</v>
      </c>
      <c r="D38" s="257">
        <f>D21+D27+D32</f>
        <v>1758.12</v>
      </c>
      <c r="E38" s="232">
        <f>E21+E27+E32</f>
        <v>1758.12</v>
      </c>
      <c r="F38" s="325"/>
      <c r="H38" s="257">
        <f>H21+H27+H32</f>
        <v>1758.12</v>
      </c>
      <c r="I38" s="232">
        <f>I21+I27+I32</f>
        <v>1758.12</v>
      </c>
      <c r="J38" s="325"/>
      <c r="L38" s="257">
        <f>L21+L27+L32</f>
        <v>1758.12</v>
      </c>
      <c r="M38" s="232">
        <f>M21+M27+M32</f>
        <v>1758.12</v>
      </c>
      <c r="N38" s="325"/>
    </row>
    <row r="39" spans="1:14" x14ac:dyDescent="0.25">
      <c r="A39" s="36" t="s">
        <v>163</v>
      </c>
      <c r="B39" s="43"/>
      <c r="C39" s="179" t="s">
        <v>182</v>
      </c>
      <c r="D39" s="180">
        <f>D22+D28+D33</f>
        <v>439530</v>
      </c>
      <c r="E39" s="181">
        <f>E22+E28+E33</f>
        <v>439530</v>
      </c>
      <c r="F39" s="326"/>
      <c r="H39" s="180">
        <f>H22+H28+H33</f>
        <v>439530</v>
      </c>
      <c r="I39" s="181">
        <f>I22+I28+I33</f>
        <v>439530</v>
      </c>
      <c r="J39" s="326"/>
      <c r="L39" s="180">
        <f>L22+L28+L33</f>
        <v>439530</v>
      </c>
      <c r="M39" s="181">
        <f>M22+M28+M33</f>
        <v>439530</v>
      </c>
      <c r="N39" s="326"/>
    </row>
    <row r="41" spans="1:14" x14ac:dyDescent="0.25">
      <c r="A41" s="11" t="s">
        <v>132</v>
      </c>
      <c r="B41" s="12"/>
      <c r="C41" s="139"/>
      <c r="D41" s="182"/>
      <c r="E41" s="183"/>
      <c r="F41" s="255"/>
      <c r="H41" s="182"/>
      <c r="I41" s="183"/>
      <c r="J41" s="255"/>
      <c r="L41" s="182"/>
      <c r="M41" s="183"/>
      <c r="N41" s="255"/>
    </row>
    <row r="42" spans="1:14" x14ac:dyDescent="0.25">
      <c r="A42" s="4" t="s">
        <v>157</v>
      </c>
      <c r="B42" s="12" t="s">
        <v>58</v>
      </c>
      <c r="C42" s="139" t="s">
        <v>94</v>
      </c>
      <c r="D42" s="184">
        <f>D14-D15</f>
        <v>5</v>
      </c>
      <c r="E42" s="185">
        <f>E14-E15</f>
        <v>5</v>
      </c>
      <c r="F42" s="255"/>
      <c r="H42" s="184">
        <f>H14-H15</f>
        <v>5</v>
      </c>
      <c r="I42" s="185">
        <f>I14-I15</f>
        <v>5</v>
      </c>
      <c r="J42" s="255"/>
      <c r="L42" s="184">
        <f>L14-L15</f>
        <v>5</v>
      </c>
      <c r="M42" s="185">
        <f>M14-M15</f>
        <v>5</v>
      </c>
      <c r="N42" s="255"/>
    </row>
    <row r="43" spans="1:14" x14ac:dyDescent="0.25">
      <c r="A43" s="5"/>
      <c r="B43" s="9" t="s">
        <v>360</v>
      </c>
      <c r="C43" s="142" t="s">
        <v>5</v>
      </c>
      <c r="D43" s="186">
        <f>(D14-D15)/D14</f>
        <v>0.2</v>
      </c>
      <c r="E43" s="187">
        <f>(E14-E15)/E14</f>
        <v>0.2</v>
      </c>
      <c r="F43" s="259"/>
      <c r="H43" s="186">
        <f>(H14-H15)/H14</f>
        <v>0.2</v>
      </c>
      <c r="I43" s="187">
        <f>(I14-I15)/I14</f>
        <v>0.2</v>
      </c>
      <c r="J43" s="259"/>
      <c r="L43" s="186">
        <f>(L14-L15)/L14</f>
        <v>0.2</v>
      </c>
      <c r="M43" s="187">
        <f>(M14-M15)/M14</f>
        <v>0.2</v>
      </c>
      <c r="N43" s="259"/>
    </row>
    <row r="44" spans="1:14" ht="30" x14ac:dyDescent="0.25">
      <c r="A44" s="5"/>
      <c r="B44" s="9" t="s">
        <v>151</v>
      </c>
      <c r="C44" s="142" t="s">
        <v>0</v>
      </c>
      <c r="D44" s="188">
        <v>-0.4</v>
      </c>
      <c r="E44" s="189">
        <v>-0.4</v>
      </c>
      <c r="F44" s="259" t="s">
        <v>97</v>
      </c>
      <c r="H44" s="188">
        <v>-0.4</v>
      </c>
      <c r="I44" s="189">
        <v>-0.4</v>
      </c>
      <c r="J44" s="259" t="s">
        <v>97</v>
      </c>
      <c r="L44" s="188">
        <v>-0.4</v>
      </c>
      <c r="M44" s="189">
        <v>-0.4</v>
      </c>
      <c r="N44" s="259" t="s">
        <v>97</v>
      </c>
    </row>
    <row r="45" spans="1:14" x14ac:dyDescent="0.25">
      <c r="A45" s="5"/>
      <c r="B45" s="9" t="s">
        <v>153</v>
      </c>
      <c r="C45" s="142" t="s">
        <v>5</v>
      </c>
      <c r="D45" s="186">
        <f>(1-D43)^D44-1</f>
        <v>9.3362073943278112E-2</v>
      </c>
      <c r="E45" s="187">
        <f>(1-E43)^E44-1</f>
        <v>9.3362073943278112E-2</v>
      </c>
      <c r="F45" s="259"/>
      <c r="H45" s="186">
        <f>(1-H43)^H44-1</f>
        <v>9.3362073943278112E-2</v>
      </c>
      <c r="I45" s="187">
        <f>(1-I43)^I44-1</f>
        <v>9.3362073943278112E-2</v>
      </c>
      <c r="J45" s="259"/>
      <c r="L45" s="186">
        <f>(1-L43)^L44-1</f>
        <v>9.3362073943278112E-2</v>
      </c>
      <c r="M45" s="187">
        <f>(1-M43)^M44-1</f>
        <v>9.3362073943278112E-2</v>
      </c>
      <c r="N45" s="259"/>
    </row>
    <row r="46" spans="1:14" x14ac:dyDescent="0.25">
      <c r="A46" s="5"/>
      <c r="B46" s="9" t="s">
        <v>152</v>
      </c>
      <c r="C46" s="142" t="s">
        <v>0</v>
      </c>
      <c r="D46" s="156">
        <f>D45*D6</f>
        <v>112.03448873193373</v>
      </c>
      <c r="E46" s="157">
        <f>E45*E6</f>
        <v>112.03448873193373</v>
      </c>
      <c r="F46" s="259"/>
      <c r="H46" s="156">
        <f>H45*H6</f>
        <v>112.03448873193373</v>
      </c>
      <c r="I46" s="157">
        <f>I45*I6</f>
        <v>112.03448873193373</v>
      </c>
      <c r="J46" s="259"/>
      <c r="L46" s="156">
        <f>L45*L6</f>
        <v>112.03448873193373</v>
      </c>
      <c r="M46" s="157">
        <f>M45*M6</f>
        <v>112.03448873193373</v>
      </c>
      <c r="N46" s="259"/>
    </row>
    <row r="47" spans="1:14" ht="30" x14ac:dyDescent="0.25">
      <c r="A47" s="6"/>
      <c r="B47" s="19" t="s">
        <v>162</v>
      </c>
      <c r="C47" s="145" t="s">
        <v>158</v>
      </c>
      <c r="D47" s="190">
        <f>D37/2</f>
        <v>0.73254999999999992</v>
      </c>
      <c r="E47" s="191">
        <f>E37/2</f>
        <v>0.73254999999999992</v>
      </c>
      <c r="F47" s="64" t="s">
        <v>361</v>
      </c>
      <c r="H47" s="190">
        <f>H37/2</f>
        <v>0.73254999999999992</v>
      </c>
      <c r="I47" s="191">
        <f>I37/2</f>
        <v>0.73254999999999992</v>
      </c>
      <c r="J47" s="64" t="s">
        <v>361</v>
      </c>
      <c r="L47" s="190">
        <f>L37/2</f>
        <v>0.73254999999999992</v>
      </c>
      <c r="M47" s="191">
        <f>M37/2</f>
        <v>0.73254999999999992</v>
      </c>
      <c r="N47" s="64" t="s">
        <v>361</v>
      </c>
    </row>
    <row r="48" spans="1:14" x14ac:dyDescent="0.25">
      <c r="A48" s="40" t="s">
        <v>164</v>
      </c>
      <c r="B48" s="41"/>
      <c r="C48" s="192" t="s">
        <v>149</v>
      </c>
      <c r="D48" s="266">
        <f>D46*D47</f>
        <v>82.070864720578044</v>
      </c>
      <c r="E48" s="267">
        <f>E46*E47</f>
        <v>82.070864720578044</v>
      </c>
      <c r="F48" s="328"/>
      <c r="H48" s="266">
        <f>H46*H47</f>
        <v>82.070864720578044</v>
      </c>
      <c r="I48" s="267">
        <f>I46*I47</f>
        <v>82.070864720578044</v>
      </c>
      <c r="J48" s="328"/>
      <c r="L48" s="266">
        <f>L46*L47</f>
        <v>82.070864720578044</v>
      </c>
      <c r="M48" s="267">
        <f>M46*M47</f>
        <v>82.070864720578044</v>
      </c>
      <c r="N48" s="328"/>
    </row>
    <row r="49" spans="1:14" x14ac:dyDescent="0.25">
      <c r="A49" s="36" t="s">
        <v>164</v>
      </c>
      <c r="B49" s="43"/>
      <c r="C49" s="179" t="s">
        <v>182</v>
      </c>
      <c r="D49" s="180">
        <f>D48*Notes!$C$72</f>
        <v>20517.716180144511</v>
      </c>
      <c r="E49" s="181">
        <f>E48*Notes!$C$72</f>
        <v>20517.716180144511</v>
      </c>
      <c r="F49" s="326"/>
      <c r="H49" s="180">
        <f>H48*Notes!$C$72</f>
        <v>20517.716180144511</v>
      </c>
      <c r="I49" s="181">
        <f>I48*Notes!$C$72</f>
        <v>20517.716180144511</v>
      </c>
      <c r="J49" s="326"/>
      <c r="L49" s="180">
        <f>L48*Notes!$C$72</f>
        <v>20517.716180144511</v>
      </c>
      <c r="M49" s="181">
        <f>M48*Notes!$C$72</f>
        <v>20517.716180144511</v>
      </c>
      <c r="N49" s="326"/>
    </row>
    <row r="51" spans="1:14" x14ac:dyDescent="0.25">
      <c r="A51" s="11" t="s">
        <v>175</v>
      </c>
      <c r="B51" s="12"/>
      <c r="C51" s="139"/>
      <c r="D51" s="182"/>
      <c r="E51" s="183"/>
      <c r="F51" s="321"/>
      <c r="H51" s="182"/>
      <c r="I51" s="183"/>
      <c r="J51" s="321"/>
      <c r="L51" s="182"/>
      <c r="M51" s="183"/>
      <c r="N51" s="321"/>
    </row>
    <row r="52" spans="1:14" ht="45" x14ac:dyDescent="0.25">
      <c r="A52" s="29" t="s">
        <v>165</v>
      </c>
      <c r="B52" s="12" t="s">
        <v>88</v>
      </c>
      <c r="C52" s="139" t="s">
        <v>5</v>
      </c>
      <c r="D52" s="195">
        <v>0</v>
      </c>
      <c r="E52" s="196">
        <v>0</v>
      </c>
      <c r="F52" s="259" t="s">
        <v>383</v>
      </c>
      <c r="H52" s="195">
        <v>0</v>
      </c>
      <c r="I52" s="196">
        <v>0</v>
      </c>
      <c r="J52" s="259" t="s">
        <v>383</v>
      </c>
      <c r="L52" s="195">
        <v>0</v>
      </c>
      <c r="M52" s="196">
        <v>0</v>
      </c>
      <c r="N52" s="259" t="s">
        <v>383</v>
      </c>
    </row>
    <row r="53" spans="1:14" ht="45" x14ac:dyDescent="0.25">
      <c r="A53" s="5"/>
      <c r="B53" s="9" t="s">
        <v>167</v>
      </c>
      <c r="C53" s="142" t="s">
        <v>5</v>
      </c>
      <c r="D53" s="143">
        <v>0.3</v>
      </c>
      <c r="E53" s="144">
        <f t="shared" ref="E53:E55" si="0">D53</f>
        <v>0.3</v>
      </c>
      <c r="F53" s="259" t="s">
        <v>384</v>
      </c>
      <c r="H53" s="143">
        <v>0.3</v>
      </c>
      <c r="I53" s="144">
        <f t="shared" ref="I53:I55" si="1">H53</f>
        <v>0.3</v>
      </c>
      <c r="J53" s="259" t="s">
        <v>384</v>
      </c>
      <c r="L53" s="143">
        <v>0.3</v>
      </c>
      <c r="M53" s="144">
        <f t="shared" ref="M53:M55" si="2">L53</f>
        <v>0.3</v>
      </c>
      <c r="N53" s="259" t="s">
        <v>384</v>
      </c>
    </row>
    <row r="54" spans="1:14" x14ac:dyDescent="0.25">
      <c r="A54" s="5"/>
      <c r="B54" s="9" t="s">
        <v>166</v>
      </c>
      <c r="C54" s="142" t="s">
        <v>5</v>
      </c>
      <c r="D54" s="143">
        <v>0.2</v>
      </c>
      <c r="E54" s="144">
        <f t="shared" si="0"/>
        <v>0.2</v>
      </c>
      <c r="F54" s="259"/>
      <c r="H54" s="143">
        <v>0.2</v>
      </c>
      <c r="I54" s="144">
        <f t="shared" si="1"/>
        <v>0.2</v>
      </c>
      <c r="J54" s="259"/>
      <c r="L54" s="143">
        <v>0.2</v>
      </c>
      <c r="M54" s="144">
        <f t="shared" si="2"/>
        <v>0.2</v>
      </c>
      <c r="N54" s="259"/>
    </row>
    <row r="55" spans="1:14" x14ac:dyDescent="0.25">
      <c r="A55" s="5"/>
      <c r="B55" s="9" t="s">
        <v>168</v>
      </c>
      <c r="C55" s="142" t="s">
        <v>5</v>
      </c>
      <c r="D55" s="143">
        <v>0.2</v>
      </c>
      <c r="E55" s="144">
        <f t="shared" si="0"/>
        <v>0.2</v>
      </c>
      <c r="F55" s="259"/>
      <c r="H55" s="143">
        <v>0.2</v>
      </c>
      <c r="I55" s="144">
        <f t="shared" si="1"/>
        <v>0.2</v>
      </c>
      <c r="J55" s="259"/>
      <c r="L55" s="143">
        <v>0.2</v>
      </c>
      <c r="M55" s="144">
        <f t="shared" si="2"/>
        <v>0.2</v>
      </c>
      <c r="N55" s="259"/>
    </row>
    <row r="56" spans="1:14" x14ac:dyDescent="0.25">
      <c r="A56" s="5"/>
      <c r="B56" s="9" t="s">
        <v>169</v>
      </c>
      <c r="C56" s="142" t="s">
        <v>5</v>
      </c>
      <c r="D56" s="143">
        <v>0.3</v>
      </c>
      <c r="E56" s="144">
        <f>D56</f>
        <v>0.3</v>
      </c>
      <c r="F56" s="259"/>
      <c r="H56" s="143">
        <v>0.3</v>
      </c>
      <c r="I56" s="144">
        <f>H56</f>
        <v>0.3</v>
      </c>
      <c r="J56" s="259"/>
      <c r="L56" s="143">
        <v>0.3</v>
      </c>
      <c r="M56" s="144">
        <f>L56</f>
        <v>0.3</v>
      </c>
      <c r="N56" s="259"/>
    </row>
    <row r="57" spans="1:14" x14ac:dyDescent="0.25">
      <c r="A57" s="6"/>
      <c r="B57" s="19" t="s">
        <v>72</v>
      </c>
      <c r="C57" s="145" t="s">
        <v>5</v>
      </c>
      <c r="D57" s="197">
        <f>SUM(D52:D56)</f>
        <v>1</v>
      </c>
      <c r="E57" s="198">
        <f>SUM(E52:E56)</f>
        <v>1</v>
      </c>
      <c r="F57" s="64" t="s">
        <v>369</v>
      </c>
      <c r="H57" s="197">
        <f>SUM(H52:H56)</f>
        <v>1</v>
      </c>
      <c r="I57" s="198">
        <f>SUM(I52:I56)</f>
        <v>1</v>
      </c>
      <c r="J57" s="64" t="s">
        <v>369</v>
      </c>
      <c r="L57" s="197">
        <f>SUM(L52:L56)</f>
        <v>1</v>
      </c>
      <c r="M57" s="198">
        <f>SUM(M52:M56)</f>
        <v>1</v>
      </c>
      <c r="N57" s="64" t="s">
        <v>369</v>
      </c>
    </row>
    <row r="58" spans="1:14" x14ac:dyDescent="0.25">
      <c r="A58" s="27" t="s">
        <v>170</v>
      </c>
      <c r="B58" s="252" t="s">
        <v>57</v>
      </c>
      <c r="C58" s="290" t="s">
        <v>0</v>
      </c>
      <c r="D58" s="294">
        <f>D53*D46</f>
        <v>33.61034661958012</v>
      </c>
      <c r="E58" s="295">
        <f>E53*E46</f>
        <v>33.61034661958012</v>
      </c>
      <c r="F58" s="329"/>
      <c r="G58" s="1"/>
      <c r="H58" s="294">
        <f>H53*H46</f>
        <v>33.61034661958012</v>
      </c>
      <c r="I58" s="295">
        <f>I53*I46</f>
        <v>33.61034661958012</v>
      </c>
      <c r="J58" s="329"/>
      <c r="K58" s="1"/>
      <c r="L58" s="294">
        <f>L53*L46</f>
        <v>33.61034661958012</v>
      </c>
      <c r="M58" s="295">
        <f>M53*M46</f>
        <v>33.61034661958012</v>
      </c>
      <c r="N58" s="329"/>
    </row>
    <row r="59" spans="1:14" ht="30" x14ac:dyDescent="0.25">
      <c r="A59" s="296" t="s">
        <v>112</v>
      </c>
      <c r="B59" s="284" t="s">
        <v>115</v>
      </c>
      <c r="C59" s="68" t="s">
        <v>9</v>
      </c>
      <c r="D59" s="285">
        <f>D11+(D12-D11)/(1-D17)^4-D12</f>
        <v>1.1386883157741252</v>
      </c>
      <c r="E59" s="286">
        <f>E11+(E12-E11)/(1-E17)^4-E12</f>
        <v>1.1386883157741252</v>
      </c>
      <c r="F59" s="330" t="s">
        <v>370</v>
      </c>
      <c r="G59" s="1"/>
      <c r="H59" s="285">
        <f>H11+(H12-H11)/(1-H17)^4-H12</f>
        <v>1.1386883157741252</v>
      </c>
      <c r="I59" s="286">
        <f>I11+(I12-I11)/(1-I17)^4-I12</f>
        <v>1.1386883157741252</v>
      </c>
      <c r="J59" s="330" t="s">
        <v>370</v>
      </c>
      <c r="K59" s="1"/>
      <c r="L59" s="285">
        <f>L11+(L12-L11)/(1-L17)^4-L12</f>
        <v>1.1386883157741252</v>
      </c>
      <c r="M59" s="286">
        <f>M11+(M12-M11)/(1-M17)^4-M12</f>
        <v>1.1386883157741252</v>
      </c>
      <c r="N59" s="330" t="s">
        <v>370</v>
      </c>
    </row>
    <row r="60" spans="1:14" x14ac:dyDescent="0.25">
      <c r="A60" s="296"/>
      <c r="B60" s="258" t="s">
        <v>110</v>
      </c>
      <c r="C60" s="68"/>
      <c r="D60" s="291">
        <f>4*(D13+D59-D11)/D13</f>
        <v>1.3597501553855476</v>
      </c>
      <c r="E60" s="292">
        <f>4*(E13+E59-E11)/E13</f>
        <v>1.3597501553855476</v>
      </c>
      <c r="F60" s="330"/>
      <c r="G60" s="1"/>
      <c r="H60" s="291">
        <f>4*(H13+H59-H11)/H13</f>
        <v>1.3597501553855476</v>
      </c>
      <c r="I60" s="292">
        <f>4*(I13+I59-I11)/I13</f>
        <v>1.3597501553855476</v>
      </c>
      <c r="J60" s="330"/>
      <c r="K60" s="1"/>
      <c r="L60" s="291">
        <f>4*(L13+L59-L11)/L13</f>
        <v>1.3597501553855476</v>
      </c>
      <c r="M60" s="292">
        <f>4*(M13+M59-M11)/M13</f>
        <v>1.3597501553855476</v>
      </c>
      <c r="N60" s="330"/>
    </row>
    <row r="61" spans="1:14" x14ac:dyDescent="0.25">
      <c r="A61" s="296" t="s">
        <v>113</v>
      </c>
      <c r="B61" s="284" t="s">
        <v>116</v>
      </c>
      <c r="C61" s="68" t="s">
        <v>9</v>
      </c>
      <c r="D61" s="285">
        <f>D60*(D13+D59)*D58/D16</f>
        <v>0.50588755852412925</v>
      </c>
      <c r="E61" s="286">
        <f>E60*(E13+E59)*E58/E16</f>
        <v>0.50588755852412925</v>
      </c>
      <c r="F61" s="330"/>
      <c r="G61" s="1"/>
      <c r="H61" s="285">
        <f>H60*(H13+H59)*H58/H16</f>
        <v>0.50588755852412925</v>
      </c>
      <c r="I61" s="286">
        <f>I60*(I13+I59)*I58/I16</f>
        <v>0.50588755852412925</v>
      </c>
      <c r="J61" s="330"/>
      <c r="K61" s="1"/>
      <c r="L61" s="285">
        <f>L60*(L13+L59)*L58/L16</f>
        <v>0.50588755852412925</v>
      </c>
      <c r="M61" s="286">
        <f>M60*(M13+M59)*M58/M16</f>
        <v>0.50588755852412925</v>
      </c>
      <c r="N61" s="330"/>
    </row>
    <row r="62" spans="1:14" ht="30" x14ac:dyDescent="0.25">
      <c r="A62" s="296"/>
      <c r="B62" s="258" t="s">
        <v>117</v>
      </c>
      <c r="C62" s="68" t="s">
        <v>9</v>
      </c>
      <c r="D62" s="285">
        <f t="shared" ref="D62" si="3">D59-D61</f>
        <v>0.63280075724999596</v>
      </c>
      <c r="E62" s="286">
        <f t="shared" ref="E62" si="4">E59-E61</f>
        <v>0.63280075724999596</v>
      </c>
      <c r="F62" s="330"/>
      <c r="G62" s="1"/>
      <c r="H62" s="285">
        <f t="shared" ref="H62:I62" si="5">H59-H61</f>
        <v>0.63280075724999596</v>
      </c>
      <c r="I62" s="286">
        <f t="shared" si="5"/>
        <v>0.63280075724999596</v>
      </c>
      <c r="J62" s="330"/>
      <c r="K62" s="1"/>
      <c r="L62" s="285">
        <f t="shared" ref="L62:M62" si="6">L59-L61</f>
        <v>0.63280075724999596</v>
      </c>
      <c r="M62" s="286">
        <f t="shared" si="6"/>
        <v>0.63280075724999596</v>
      </c>
      <c r="N62" s="330"/>
    </row>
    <row r="63" spans="1:14" x14ac:dyDescent="0.25">
      <c r="A63" s="289"/>
      <c r="B63" s="258" t="s">
        <v>120</v>
      </c>
      <c r="C63" s="282"/>
      <c r="D63" s="283">
        <v>1</v>
      </c>
      <c r="E63" s="293">
        <v>0</v>
      </c>
      <c r="F63" s="331" t="s">
        <v>121</v>
      </c>
      <c r="G63" s="1"/>
      <c r="H63" s="283">
        <v>1</v>
      </c>
      <c r="I63" s="293">
        <v>0</v>
      </c>
      <c r="J63" s="331" t="s">
        <v>121</v>
      </c>
      <c r="K63" s="1"/>
      <c r="L63" s="283">
        <v>1</v>
      </c>
      <c r="M63" s="293">
        <v>0</v>
      </c>
      <c r="N63" s="331" t="s">
        <v>121</v>
      </c>
    </row>
    <row r="64" spans="1:14" ht="30" x14ac:dyDescent="0.25">
      <c r="A64" s="296"/>
      <c r="B64" s="284" t="s">
        <v>118</v>
      </c>
      <c r="C64" s="67" t="s">
        <v>9</v>
      </c>
      <c r="D64" s="285">
        <f>D13-D12</f>
        <v>1</v>
      </c>
      <c r="E64" s="286">
        <f>E13-E12</f>
        <v>1</v>
      </c>
      <c r="F64" s="330"/>
      <c r="G64" s="1"/>
      <c r="H64" s="285">
        <f>H13-H12</f>
        <v>1</v>
      </c>
      <c r="I64" s="286">
        <f>I13-I12</f>
        <v>1</v>
      </c>
      <c r="J64" s="330"/>
      <c r="K64" s="1"/>
      <c r="L64" s="285">
        <f>L13-L12</f>
        <v>1</v>
      </c>
      <c r="M64" s="286">
        <f>M13-M12</f>
        <v>1</v>
      </c>
      <c r="N64" s="330"/>
    </row>
    <row r="65" spans="1:14" ht="52.15" customHeight="1" x14ac:dyDescent="0.25">
      <c r="A65" s="296"/>
      <c r="B65" s="258" t="s">
        <v>119</v>
      </c>
      <c r="C65" s="68" t="s">
        <v>9</v>
      </c>
      <c r="D65" s="285">
        <f>IF(D63=0,D62,IF(D64&gt;0,MIN(D64*2,MAX(D62,D64)),MAX(D64*2,MIN(D62,D64))))</f>
        <v>1</v>
      </c>
      <c r="E65" s="286">
        <f>IF(E63=0,E62,IF(E64&gt;0,MIN(E64*2,MAX(E62,E64)),MAX(E64*2,MIN(E62,E64))))</f>
        <v>0.63280075724999596</v>
      </c>
      <c r="F65" s="330" t="s">
        <v>385</v>
      </c>
      <c r="G65" s="1"/>
      <c r="H65" s="285">
        <f>IF(H63=0,H62,IF(H64&gt;0,MIN(H64*2,MAX(H62,H64)),MAX(H64*2,MIN(H62,H64))))</f>
        <v>1</v>
      </c>
      <c r="I65" s="286">
        <f>IF(I63=0,I62,IF(I64&gt;0,MIN(I64*2,MAX(I62,I64)),MAX(I64*2,MIN(I62,I64))))</f>
        <v>0.63280075724999596</v>
      </c>
      <c r="J65" s="330" t="s">
        <v>385</v>
      </c>
      <c r="K65" s="1"/>
      <c r="L65" s="285">
        <f>IF(L63=0,L62,IF(L64&gt;0,MIN(L64*2,MAX(L62,L64)),MAX(L64*2,MIN(L62,L64))))</f>
        <v>1</v>
      </c>
      <c r="M65" s="286">
        <f>IF(M63=0,M62,IF(M64&gt;0,MIN(M64*2,MAX(M62,M64)),MAX(M64*2,MIN(M62,M64))))</f>
        <v>0.63280075724999596</v>
      </c>
      <c r="N65" s="330" t="s">
        <v>385</v>
      </c>
    </row>
    <row r="66" spans="1:14" ht="30" x14ac:dyDescent="0.25">
      <c r="A66" s="297"/>
      <c r="B66" s="298" t="s">
        <v>114</v>
      </c>
      <c r="C66" s="299" t="s">
        <v>63</v>
      </c>
      <c r="D66" s="287">
        <f>D16*D65/60</f>
        <v>33.333333333333336</v>
      </c>
      <c r="E66" s="288">
        <f>E16*E65/60</f>
        <v>21.093358574999865</v>
      </c>
      <c r="F66" s="332"/>
      <c r="G66" s="1"/>
      <c r="H66" s="287">
        <f>H16*H65/60</f>
        <v>33.333333333333336</v>
      </c>
      <c r="I66" s="288">
        <f>I16*I65/60</f>
        <v>21.093358574999865</v>
      </c>
      <c r="J66" s="332"/>
      <c r="K66" s="1"/>
      <c r="L66" s="287">
        <f>L16*L65/60</f>
        <v>33.333333333333336</v>
      </c>
      <c r="M66" s="288">
        <f>M16*M65/60</f>
        <v>21.093358574999865</v>
      </c>
      <c r="N66" s="332"/>
    </row>
    <row r="67" spans="1:14" x14ac:dyDescent="0.25">
      <c r="A67" s="44" t="s">
        <v>176</v>
      </c>
      <c r="B67" s="42"/>
      <c r="C67" s="192" t="s">
        <v>149</v>
      </c>
      <c r="D67" s="266">
        <f>D66*Notes!$C$15</f>
        <v>927.00000000000011</v>
      </c>
      <c r="E67" s="267">
        <f>E66*Notes!$C$15</f>
        <v>586.60630197074624</v>
      </c>
      <c r="F67" s="328"/>
      <c r="G67" s="1"/>
      <c r="H67" s="266">
        <f>H66*Notes!$C$15</f>
        <v>927.00000000000011</v>
      </c>
      <c r="I67" s="267">
        <f>I66*Notes!$C$15</f>
        <v>586.60630197074624</v>
      </c>
      <c r="J67" s="328"/>
      <c r="K67" s="1"/>
      <c r="L67" s="266">
        <f>L66*Notes!$C$15</f>
        <v>927.00000000000011</v>
      </c>
      <c r="M67" s="267">
        <f>M66*Notes!$C$15</f>
        <v>586.60630197074624</v>
      </c>
      <c r="N67" s="328"/>
    </row>
    <row r="68" spans="1:14" x14ac:dyDescent="0.25">
      <c r="A68" s="36" t="s">
        <v>176</v>
      </c>
      <c r="B68" s="43"/>
      <c r="C68" s="179" t="s">
        <v>182</v>
      </c>
      <c r="D68" s="180">
        <f>D67*Notes!$C$72</f>
        <v>231750.00000000003</v>
      </c>
      <c r="E68" s="181">
        <f>E67*Notes!$C$72</f>
        <v>146651.57549268656</v>
      </c>
      <c r="F68" s="326"/>
      <c r="G68" s="1"/>
      <c r="H68" s="180">
        <f>H67*Notes!$C$72</f>
        <v>231750.00000000003</v>
      </c>
      <c r="I68" s="181">
        <f>I67*Notes!$C$72</f>
        <v>146651.57549268656</v>
      </c>
      <c r="J68" s="326"/>
      <c r="K68" s="1"/>
      <c r="L68" s="180">
        <f>L67*Notes!$C$72</f>
        <v>231750.00000000003</v>
      </c>
      <c r="M68" s="181">
        <f>M67*Notes!$C$72</f>
        <v>146651.57549268656</v>
      </c>
      <c r="N68" s="326"/>
    </row>
    <row r="69" spans="1:14" x14ac:dyDescent="0.25">
      <c r="G69" s="1"/>
      <c r="K69" s="1"/>
    </row>
    <row r="70" spans="1:14" x14ac:dyDescent="0.25">
      <c r="A70" s="15" t="s">
        <v>133</v>
      </c>
      <c r="B70" s="16"/>
      <c r="C70" s="138"/>
      <c r="D70" s="165"/>
      <c r="E70" s="166"/>
      <c r="F70" s="321"/>
      <c r="H70" s="165"/>
      <c r="I70" s="166"/>
      <c r="J70" s="321"/>
      <c r="L70" s="165"/>
      <c r="M70" s="166"/>
      <c r="N70" s="321"/>
    </row>
    <row r="71" spans="1:14" ht="49.15" customHeight="1" x14ac:dyDescent="0.25">
      <c r="A71" s="4" t="s">
        <v>67</v>
      </c>
      <c r="B71" s="12" t="s">
        <v>17</v>
      </c>
      <c r="C71" s="201" t="s">
        <v>11</v>
      </c>
      <c r="D71" s="202">
        <v>0</v>
      </c>
      <c r="E71" s="276">
        <v>0</v>
      </c>
      <c r="F71" s="255" t="s">
        <v>364</v>
      </c>
      <c r="H71" s="202">
        <v>0</v>
      </c>
      <c r="I71" s="276">
        <v>0</v>
      </c>
      <c r="J71" s="255" t="s">
        <v>364</v>
      </c>
      <c r="L71" s="202">
        <v>0</v>
      </c>
      <c r="M71" s="276">
        <v>0</v>
      </c>
      <c r="N71" s="255" t="s">
        <v>364</v>
      </c>
    </row>
    <row r="72" spans="1:14" x14ac:dyDescent="0.25">
      <c r="A72" s="5"/>
      <c r="B72" s="9" t="s">
        <v>1</v>
      </c>
      <c r="C72" s="201" t="s">
        <v>11</v>
      </c>
      <c r="D72" s="168">
        <v>1250000</v>
      </c>
      <c r="E72" s="277">
        <v>1250000</v>
      </c>
      <c r="F72" s="259"/>
      <c r="H72" s="168">
        <v>1250000</v>
      </c>
      <c r="I72" s="277">
        <v>1250000</v>
      </c>
      <c r="J72" s="259"/>
      <c r="L72" s="168">
        <v>1250000</v>
      </c>
      <c r="M72" s="277">
        <v>1250000</v>
      </c>
      <c r="N72" s="259"/>
    </row>
    <row r="73" spans="1:14" ht="30" x14ac:dyDescent="0.25">
      <c r="A73" s="5"/>
      <c r="B73" s="9" t="s">
        <v>2</v>
      </c>
      <c r="C73" s="201" t="s">
        <v>11</v>
      </c>
      <c r="D73" s="203">
        <f>D72*0.2</f>
        <v>250000</v>
      </c>
      <c r="E73" s="278">
        <f>E72*0.2</f>
        <v>250000</v>
      </c>
      <c r="F73" s="259" t="s">
        <v>92</v>
      </c>
      <c r="H73" s="203">
        <f>H72*0.2</f>
        <v>250000</v>
      </c>
      <c r="I73" s="278">
        <f>I72*0.2</f>
        <v>250000</v>
      </c>
      <c r="J73" s="259" t="s">
        <v>92</v>
      </c>
      <c r="L73" s="203">
        <f>L72*0.2</f>
        <v>250000</v>
      </c>
      <c r="M73" s="278">
        <f>M72*0.2</f>
        <v>250000</v>
      </c>
      <c r="N73" s="259" t="s">
        <v>92</v>
      </c>
    </row>
    <row r="74" spans="1:14" x14ac:dyDescent="0.25">
      <c r="A74" s="5"/>
      <c r="B74" s="9" t="s">
        <v>183</v>
      </c>
      <c r="C74" s="201" t="s">
        <v>5</v>
      </c>
      <c r="D74" s="204">
        <v>0.06</v>
      </c>
      <c r="E74" s="279">
        <v>0.06</v>
      </c>
      <c r="F74" s="259" t="s">
        <v>290</v>
      </c>
      <c r="H74" s="204">
        <v>0.06</v>
      </c>
      <c r="I74" s="279">
        <v>0.06</v>
      </c>
      <c r="J74" s="259" t="s">
        <v>290</v>
      </c>
      <c r="L74" s="204">
        <v>0.06</v>
      </c>
      <c r="M74" s="279">
        <v>0.06</v>
      </c>
      <c r="N74" s="259" t="s">
        <v>290</v>
      </c>
    </row>
    <row r="75" spans="1:14" x14ac:dyDescent="0.25">
      <c r="A75" s="6"/>
      <c r="B75" s="19" t="s">
        <v>181</v>
      </c>
      <c r="C75" s="142" t="s">
        <v>126</v>
      </c>
      <c r="D75" s="205">
        <v>20</v>
      </c>
      <c r="E75" s="280">
        <v>20</v>
      </c>
      <c r="F75" s="64" t="s">
        <v>197</v>
      </c>
      <c r="H75" s="205">
        <v>20</v>
      </c>
      <c r="I75" s="280">
        <v>20</v>
      </c>
      <c r="J75" s="64" t="s">
        <v>197</v>
      </c>
      <c r="L75" s="205">
        <v>20</v>
      </c>
      <c r="M75" s="280">
        <v>20</v>
      </c>
      <c r="N75" s="64" t="s">
        <v>197</v>
      </c>
    </row>
    <row r="76" spans="1:14" x14ac:dyDescent="0.25">
      <c r="A76" s="40" t="s">
        <v>3</v>
      </c>
      <c r="B76" s="42"/>
      <c r="C76" s="192" t="s">
        <v>11</v>
      </c>
      <c r="D76" s="272">
        <f>SUM(D71:D73)</f>
        <v>1500000</v>
      </c>
      <c r="E76" s="273">
        <f>SUM(E71:E73)</f>
        <v>1500000</v>
      </c>
      <c r="F76" s="328"/>
      <c r="H76" s="272">
        <f>SUM(H71:H73)</f>
        <v>1500000</v>
      </c>
      <c r="I76" s="273">
        <f>SUM(I71:I73)</f>
        <v>1500000</v>
      </c>
      <c r="J76" s="328"/>
      <c r="L76" s="272">
        <f>SUM(L71:L73)</f>
        <v>1500000</v>
      </c>
      <c r="M76" s="273">
        <f>SUM(M71:M73)</f>
        <v>1500000</v>
      </c>
      <c r="N76" s="328"/>
    </row>
    <row r="77" spans="1:14" x14ac:dyDescent="0.25">
      <c r="A77" s="36" t="s">
        <v>215</v>
      </c>
      <c r="B77" s="37"/>
      <c r="C77" s="179" t="s">
        <v>205</v>
      </c>
      <c r="D77" s="274">
        <f>-PMT(D74,D75,D76,-D71)</f>
        <v>130776.83546527717</v>
      </c>
      <c r="E77" s="275">
        <f>-PMT(E74,E75,E76,-E71)</f>
        <v>130776.83546527717</v>
      </c>
      <c r="F77" s="326"/>
      <c r="H77" s="274">
        <f>-PMT(H74,H75,H76,-H71)</f>
        <v>130776.83546527717</v>
      </c>
      <c r="I77" s="275">
        <f>-PMT(I74,I75,I76,-I71)</f>
        <v>130776.83546527717</v>
      </c>
      <c r="J77" s="326"/>
      <c r="L77" s="274">
        <f>-PMT(L74,L75,L76,-L71)</f>
        <v>130776.83546527717</v>
      </c>
      <c r="M77" s="275">
        <f>-PMT(M74,M75,M76,-M71)</f>
        <v>130776.83546527717</v>
      </c>
      <c r="N77" s="326"/>
    </row>
    <row r="79" spans="1:14" x14ac:dyDescent="0.25">
      <c r="A79" s="15" t="s">
        <v>134</v>
      </c>
      <c r="B79" s="16"/>
      <c r="C79" s="138"/>
      <c r="D79" s="165"/>
      <c r="E79" s="166"/>
      <c r="F79" s="321"/>
      <c r="H79" s="165"/>
      <c r="I79" s="166"/>
      <c r="J79" s="321"/>
      <c r="L79" s="165"/>
      <c r="M79" s="166"/>
      <c r="N79" s="321"/>
    </row>
    <row r="80" spans="1:14" ht="45" x14ac:dyDescent="0.25">
      <c r="A80" s="239" t="s">
        <v>196</v>
      </c>
      <c r="B80" s="240" t="s">
        <v>195</v>
      </c>
      <c r="C80" s="268" t="s">
        <v>205</v>
      </c>
      <c r="D80" s="269">
        <v>25000</v>
      </c>
      <c r="E80" s="281">
        <v>25000</v>
      </c>
      <c r="F80" s="321" t="s">
        <v>365</v>
      </c>
      <c r="H80" s="269">
        <v>25000</v>
      </c>
      <c r="I80" s="281">
        <v>25000</v>
      </c>
      <c r="J80" s="321" t="s">
        <v>365</v>
      </c>
      <c r="L80" s="269">
        <v>25000</v>
      </c>
      <c r="M80" s="281">
        <v>25000</v>
      </c>
      <c r="N80" s="321" t="s">
        <v>365</v>
      </c>
    </row>
    <row r="81" spans="1:14" ht="30" x14ac:dyDescent="0.25">
      <c r="A81" s="4" t="s">
        <v>208</v>
      </c>
      <c r="B81" s="12" t="s">
        <v>363</v>
      </c>
      <c r="C81" s="139" t="s">
        <v>9</v>
      </c>
      <c r="D81" s="270">
        <f>D4*D42</f>
        <v>200</v>
      </c>
      <c r="E81" s="271">
        <f>E4*E42</f>
        <v>200</v>
      </c>
      <c r="F81" s="255" t="s">
        <v>362</v>
      </c>
      <c r="H81" s="270">
        <f>H4*H42</f>
        <v>200</v>
      </c>
      <c r="I81" s="271">
        <f>I4*I42</f>
        <v>200</v>
      </c>
      <c r="J81" s="255" t="s">
        <v>362</v>
      </c>
      <c r="L81" s="270">
        <f>L4*L42</f>
        <v>200</v>
      </c>
      <c r="M81" s="271">
        <f>M4*M42</f>
        <v>200</v>
      </c>
      <c r="N81" s="255" t="s">
        <v>362</v>
      </c>
    </row>
    <row r="82" spans="1:14" x14ac:dyDescent="0.25">
      <c r="A82" s="5"/>
      <c r="B82" s="9" t="s">
        <v>59</v>
      </c>
      <c r="C82" s="142" t="s">
        <v>0</v>
      </c>
      <c r="D82" s="170">
        <f>D81/60/D9</f>
        <v>1.6666666666666667</v>
      </c>
      <c r="E82" s="171">
        <f>E81/E9/60</f>
        <v>1.6666666666666667</v>
      </c>
      <c r="F82" s="259"/>
      <c r="H82" s="170">
        <f>H81/60/H9</f>
        <v>1.6666666666666667</v>
      </c>
      <c r="I82" s="171">
        <f>I81/I9/60</f>
        <v>1.6666666666666667</v>
      </c>
      <c r="J82" s="259"/>
      <c r="L82" s="170">
        <f>L81/60/L9</f>
        <v>1.6666666666666667</v>
      </c>
      <c r="M82" s="171">
        <f>M81/M9/60</f>
        <v>1.6666666666666667</v>
      </c>
      <c r="N82" s="259"/>
    </row>
    <row r="83" spans="1:14" x14ac:dyDescent="0.25">
      <c r="A83" s="6"/>
      <c r="B83" s="19" t="s">
        <v>109</v>
      </c>
      <c r="C83" s="145" t="s">
        <v>205</v>
      </c>
      <c r="D83" s="212">
        <f>(D81/60*Notes!$C$72*Notes!$C$29+Notes!$C$31*D82)</f>
        <v>105646.66666666669</v>
      </c>
      <c r="E83" s="213">
        <f>(E81/60*Notes!$C$72*Notes!$C$29+Notes!$C$31*E82)</f>
        <v>105646.66666666669</v>
      </c>
      <c r="F83" s="64"/>
      <c r="H83" s="212">
        <f>(H81/60*Notes!$C$72*Notes!$C$29+Notes!$C$31*H82)</f>
        <v>105646.66666666669</v>
      </c>
      <c r="I83" s="213">
        <f>(I81/60*Notes!$C$72*Notes!$C$29+Notes!$C$31*I82)</f>
        <v>105646.66666666669</v>
      </c>
      <c r="J83" s="64"/>
      <c r="L83" s="212">
        <f>(L81/60*Notes!$C$72*Notes!$C$29+Notes!$C$31*L82)</f>
        <v>105646.66666666669</v>
      </c>
      <c r="M83" s="213">
        <f>(M81/60*Notes!$C$72*Notes!$C$29+Notes!$C$31*M82)</f>
        <v>105646.66666666669</v>
      </c>
      <c r="N83" s="64"/>
    </row>
    <row r="84" spans="1:14" ht="30" x14ac:dyDescent="0.25">
      <c r="A84" s="4" t="s">
        <v>211</v>
      </c>
      <c r="B84" s="12" t="s">
        <v>344</v>
      </c>
      <c r="C84" s="139"/>
      <c r="D84" s="184" t="str">
        <f>IF(OR(D29=1,D29="Y"),"Y","N")</f>
        <v>Y</v>
      </c>
      <c r="E84" s="185" t="str">
        <f>IF(OR(E29=1,E29="Y"),"Y","N")</f>
        <v>Y</v>
      </c>
      <c r="F84" s="376" t="s">
        <v>345</v>
      </c>
      <c r="H84" s="184" t="str">
        <f>IF(OR(H29=1,H29="Y"),"Y","N")</f>
        <v>Y</v>
      </c>
      <c r="I84" s="185" t="str">
        <f>IF(OR(I29=1,I29="Y"),"Y","N")</f>
        <v>Y</v>
      </c>
      <c r="J84" s="376" t="s">
        <v>345</v>
      </c>
      <c r="L84" s="184" t="str">
        <f>IF(OR(L29=1,L29="Y"),"Y","N")</f>
        <v>Y</v>
      </c>
      <c r="M84" s="185" t="str">
        <f>IF(OR(M29=1,M29="Y"),"Y","N")</f>
        <v>Y</v>
      </c>
      <c r="N84" s="376" t="s">
        <v>345</v>
      </c>
    </row>
    <row r="85" spans="1:14" x14ac:dyDescent="0.25">
      <c r="A85" s="5"/>
      <c r="B85" s="9" t="s">
        <v>73</v>
      </c>
      <c r="C85" s="142" t="s">
        <v>0</v>
      </c>
      <c r="D85" s="170">
        <f>D46*(1-D55)</f>
        <v>89.627590985546988</v>
      </c>
      <c r="E85" s="171">
        <f>E46*(1-E55)</f>
        <v>89.627590985546988</v>
      </c>
      <c r="F85" s="259"/>
      <c r="H85" s="170">
        <f>H46*(1-H55)</f>
        <v>89.627590985546988</v>
      </c>
      <c r="I85" s="171">
        <f>I46*(1-I55)</f>
        <v>89.627590985546988</v>
      </c>
      <c r="J85" s="259"/>
      <c r="L85" s="170">
        <f>L46*(1-L55)</f>
        <v>89.627590985546988</v>
      </c>
      <c r="M85" s="171">
        <f>M46*(1-M55)</f>
        <v>89.627590985546988</v>
      </c>
      <c r="N85" s="259"/>
    </row>
    <row r="86" spans="1:14" x14ac:dyDescent="0.25">
      <c r="A86" s="5"/>
      <c r="B86" s="9" t="s">
        <v>66</v>
      </c>
      <c r="C86" s="142" t="s">
        <v>0</v>
      </c>
      <c r="D86" s="170">
        <f>2*(D14+5)/D10</f>
        <v>20</v>
      </c>
      <c r="E86" s="171">
        <f>2*(E14+5)/E10</f>
        <v>20</v>
      </c>
      <c r="F86" s="259"/>
      <c r="H86" s="170">
        <f>2*(H14+5)/H10</f>
        <v>20</v>
      </c>
      <c r="I86" s="171">
        <f>2*(I14+5)/I10</f>
        <v>20</v>
      </c>
      <c r="J86" s="259"/>
      <c r="L86" s="170">
        <f>2*(L14+5)/L10</f>
        <v>20</v>
      </c>
      <c r="M86" s="171">
        <f>2*(M14+5)/M10</f>
        <v>20</v>
      </c>
      <c r="N86" s="259"/>
    </row>
    <row r="87" spans="1:14" x14ac:dyDescent="0.25">
      <c r="A87" s="5"/>
      <c r="B87" s="9" t="s">
        <v>12</v>
      </c>
      <c r="C87" s="142" t="s">
        <v>11</v>
      </c>
      <c r="D87" s="156">
        <f>((D14*Notes!$C29/60+D7*Notes!$C30)*D4*2+D86*Notes!$C31/Notes!$C$73)/D6*D29</f>
        <v>3.1236197777777783</v>
      </c>
      <c r="E87" s="157">
        <f>((E14*Notes!$C29/60+E7*Notes!$C30)*E4*2+E86*Notes!$C31/Notes!$C$73)/E6*E29</f>
        <v>3.1236197777777783</v>
      </c>
      <c r="F87" s="259"/>
      <c r="H87" s="156">
        <f>((H14*Notes!$C29/60+H7*Notes!$C30)*H4*2+H86*Notes!$C31/Notes!$C$73)/H6*H29</f>
        <v>3.1236197777777783</v>
      </c>
      <c r="I87" s="157">
        <f>((I14*Notes!$C29/60+I7*Notes!$C30)*I4*2+I86*Notes!$C31/Notes!$C$73)/I6*I29</f>
        <v>3.1236197777777783</v>
      </c>
      <c r="J87" s="259"/>
      <c r="L87" s="156">
        <f>((L14*Notes!$C29/60+L7*Notes!$C30)*L4*2+L86*Notes!$C31/Notes!$C$73)/L6*L29</f>
        <v>3.1236197777777783</v>
      </c>
      <c r="M87" s="157">
        <f>((M14*Notes!$C29/60+M7*Notes!$C30)*M4*2+M86*Notes!$C31/Notes!$C$73)/M6*M29</f>
        <v>3.1236197777777783</v>
      </c>
      <c r="N87" s="259"/>
    </row>
    <row r="88" spans="1:14" x14ac:dyDescent="0.25">
      <c r="A88" s="5"/>
      <c r="B88" s="9" t="s">
        <v>190</v>
      </c>
      <c r="C88" s="142" t="s">
        <v>11</v>
      </c>
      <c r="D88" s="148">
        <v>2.06</v>
      </c>
      <c r="E88" s="149">
        <f>D88</f>
        <v>2.06</v>
      </c>
      <c r="F88" s="259" t="s">
        <v>209</v>
      </c>
      <c r="H88" s="148">
        <v>2.06</v>
      </c>
      <c r="I88" s="149">
        <f>H88</f>
        <v>2.06</v>
      </c>
      <c r="J88" s="259" t="s">
        <v>209</v>
      </c>
      <c r="L88" s="148">
        <v>2.06</v>
      </c>
      <c r="M88" s="149">
        <f>L88</f>
        <v>2.06</v>
      </c>
      <c r="N88" s="259" t="s">
        <v>209</v>
      </c>
    </row>
    <row r="89" spans="1:14" x14ac:dyDescent="0.25">
      <c r="A89" s="5"/>
      <c r="B89" s="9" t="s">
        <v>13</v>
      </c>
      <c r="C89" s="142" t="s">
        <v>205</v>
      </c>
      <c r="D89" s="256">
        <f>D85*D87*Notes!$C$72</f>
        <v>69990.628959257971</v>
      </c>
      <c r="E89" s="169">
        <f>E85*E87*Notes!$C$72</f>
        <v>69990.628959257971</v>
      </c>
      <c r="F89" s="259"/>
      <c r="H89" s="256">
        <f>H85*H87*Notes!$C$72</f>
        <v>69990.628959257971</v>
      </c>
      <c r="I89" s="169">
        <f>I85*I87*Notes!$C$72</f>
        <v>69990.628959257971</v>
      </c>
      <c r="J89" s="259"/>
      <c r="L89" s="256">
        <f>L85*L87*Notes!$C$72</f>
        <v>69990.628959257971</v>
      </c>
      <c r="M89" s="169">
        <f>M85*M87*Notes!$C$72</f>
        <v>69990.628959257971</v>
      </c>
      <c r="N89" s="259"/>
    </row>
    <row r="90" spans="1:14" x14ac:dyDescent="0.25">
      <c r="A90" s="5"/>
      <c r="B90" s="9" t="s">
        <v>14</v>
      </c>
      <c r="C90" s="142" t="s">
        <v>205</v>
      </c>
      <c r="D90" s="256">
        <f>D85*D88*Notes!$C$72</f>
        <v>46158.209357556698</v>
      </c>
      <c r="E90" s="169">
        <f>E85*E88*Notes!$C$72</f>
        <v>46158.209357556698</v>
      </c>
      <c r="F90" s="259"/>
      <c r="H90" s="256">
        <f>H85*H88*Notes!$C$72</f>
        <v>46158.209357556698</v>
      </c>
      <c r="I90" s="169">
        <f>I85*I88*Notes!$C$72</f>
        <v>46158.209357556698</v>
      </c>
      <c r="J90" s="259"/>
      <c r="L90" s="256">
        <f>L85*L88*Notes!$C$72</f>
        <v>46158.209357556698</v>
      </c>
      <c r="M90" s="169">
        <f>M85*M88*Notes!$C$72</f>
        <v>46158.209357556698</v>
      </c>
      <c r="N90" s="259"/>
    </row>
    <row r="91" spans="1:14" x14ac:dyDescent="0.25">
      <c r="A91" s="5"/>
      <c r="B91" s="9" t="s">
        <v>18</v>
      </c>
      <c r="C91" s="142" t="s">
        <v>205</v>
      </c>
      <c r="D91" s="256">
        <f>D89-D90</f>
        <v>23832.419601701273</v>
      </c>
      <c r="E91" s="169">
        <f>E89-E90</f>
        <v>23832.419601701273</v>
      </c>
      <c r="F91" s="259"/>
      <c r="H91" s="256">
        <f>H89-H90</f>
        <v>23832.419601701273</v>
      </c>
      <c r="I91" s="169">
        <f>I89-I90</f>
        <v>23832.419601701273</v>
      </c>
      <c r="J91" s="259"/>
      <c r="L91" s="256">
        <f>L89-L90</f>
        <v>23832.419601701273</v>
      </c>
      <c r="M91" s="169">
        <f>M89-M90</f>
        <v>23832.419601701273</v>
      </c>
      <c r="N91" s="259"/>
    </row>
    <row r="92" spans="1:14" x14ac:dyDescent="0.25">
      <c r="A92" s="30" t="s">
        <v>191</v>
      </c>
      <c r="B92" s="31"/>
      <c r="C92" s="215" t="s">
        <v>205</v>
      </c>
      <c r="D92" s="216">
        <f>D80+D83-D91</f>
        <v>106814.24706496541</v>
      </c>
      <c r="E92" s="217">
        <f>E80+E83-E91</f>
        <v>106814.24706496541</v>
      </c>
      <c r="F92" s="333"/>
      <c r="H92" s="216">
        <f>H80+H83-H91</f>
        <v>106814.24706496541</v>
      </c>
      <c r="I92" s="217">
        <f>I80+I83-I91</f>
        <v>106814.24706496541</v>
      </c>
      <c r="J92" s="333"/>
      <c r="L92" s="216">
        <f>L80+L83-L91</f>
        <v>106814.24706496541</v>
      </c>
      <c r="M92" s="217">
        <f>M80+M83-M91</f>
        <v>106814.24706496541</v>
      </c>
      <c r="N92" s="333"/>
    </row>
    <row r="94" spans="1:14" ht="30" x14ac:dyDescent="0.25">
      <c r="A94" s="243" t="s">
        <v>201</v>
      </c>
      <c r="B94" s="55"/>
      <c r="C94" s="55"/>
      <c r="D94" s="65" t="s">
        <v>217</v>
      </c>
      <c r="E94" s="66"/>
      <c r="H94" s="300" t="s">
        <v>217</v>
      </c>
      <c r="I94" s="66"/>
      <c r="L94" s="404" t="s">
        <v>217</v>
      </c>
      <c r="M94" s="66"/>
    </row>
    <row r="95" spans="1:14" x14ac:dyDescent="0.25">
      <c r="A95" s="244" t="s">
        <v>128</v>
      </c>
      <c r="B95" s="41"/>
      <c r="C95" s="41"/>
      <c r="D95" s="301"/>
      <c r="E95" s="302"/>
      <c r="H95" s="301"/>
      <c r="I95" s="302"/>
      <c r="L95" s="301"/>
      <c r="M95" s="302"/>
    </row>
    <row r="96" spans="1:14" x14ac:dyDescent="0.25">
      <c r="A96" s="245" t="s">
        <v>129</v>
      </c>
      <c r="B96" s="54"/>
      <c r="C96" s="54"/>
      <c r="D96" s="303">
        <f>(D22+E22)/1000</f>
        <v>546</v>
      </c>
      <c r="E96" s="304"/>
      <c r="H96" s="303">
        <f>(H22+I22)/1000</f>
        <v>546</v>
      </c>
      <c r="I96" s="304"/>
      <c r="L96" s="303">
        <f>(L22+M22)/1000</f>
        <v>546</v>
      </c>
      <c r="M96" s="304"/>
    </row>
    <row r="97" spans="1:13" x14ac:dyDescent="0.25">
      <c r="A97" s="245" t="s">
        <v>138</v>
      </c>
      <c r="B97" s="54"/>
      <c r="C97" s="54"/>
      <c r="D97" s="303" t="s">
        <v>171</v>
      </c>
      <c r="E97" s="304"/>
      <c r="H97" s="303" t="s">
        <v>171</v>
      </c>
      <c r="I97" s="304"/>
      <c r="L97" s="303" t="s">
        <v>171</v>
      </c>
      <c r="M97" s="304"/>
    </row>
    <row r="98" spans="1:13" x14ac:dyDescent="0.25">
      <c r="A98" s="245" t="s">
        <v>256</v>
      </c>
      <c r="B98" s="54"/>
      <c r="C98" s="54"/>
      <c r="D98" s="303" t="s">
        <v>171</v>
      </c>
      <c r="E98" s="304"/>
      <c r="H98" s="303" t="s">
        <v>171</v>
      </c>
      <c r="I98" s="304"/>
      <c r="L98" s="303" t="s">
        <v>171</v>
      </c>
      <c r="M98" s="304"/>
    </row>
    <row r="99" spans="1:13" x14ac:dyDescent="0.25">
      <c r="A99" s="245" t="s">
        <v>81</v>
      </c>
      <c r="B99" s="54"/>
      <c r="C99" s="54"/>
      <c r="D99" s="303">
        <f>(D28+E28)/1000</f>
        <v>136.5</v>
      </c>
      <c r="E99" s="304"/>
      <c r="H99" s="303">
        <f>(H28+I28)/1000</f>
        <v>136.5</v>
      </c>
      <c r="I99" s="304"/>
      <c r="L99" s="303">
        <f>(L28+M28)/1000</f>
        <v>136.5</v>
      </c>
      <c r="M99" s="304"/>
    </row>
    <row r="100" spans="1:13" x14ac:dyDescent="0.25">
      <c r="A100" s="245" t="s">
        <v>130</v>
      </c>
      <c r="B100" s="54"/>
      <c r="C100" s="54"/>
      <c r="D100" s="303">
        <f>(D33+E33)/1000</f>
        <v>196.55999999999997</v>
      </c>
      <c r="E100" s="304"/>
      <c r="H100" s="303">
        <f>(H33+I33)/1000</f>
        <v>196.55999999999997</v>
      </c>
      <c r="I100" s="304"/>
      <c r="L100" s="303">
        <f>(L33+M33)/1000</f>
        <v>196.55999999999997</v>
      </c>
      <c r="M100" s="304"/>
    </row>
    <row r="101" spans="1:13" x14ac:dyDescent="0.25">
      <c r="A101" s="245" t="s">
        <v>202</v>
      </c>
      <c r="B101" s="54"/>
      <c r="C101" s="54"/>
      <c r="D101" s="303" t="s">
        <v>171</v>
      </c>
      <c r="E101" s="304"/>
      <c r="H101" s="303" t="s">
        <v>171</v>
      </c>
      <c r="I101" s="304"/>
      <c r="L101" s="303" t="s">
        <v>171</v>
      </c>
      <c r="M101" s="304"/>
    </row>
    <row r="102" spans="1:13" x14ac:dyDescent="0.25">
      <c r="A102" s="246" t="s">
        <v>72</v>
      </c>
      <c r="B102" s="43"/>
      <c r="C102" s="43"/>
      <c r="D102" s="305"/>
      <c r="E102" s="306">
        <f>SUM(D96:D101)</f>
        <v>879.06</v>
      </c>
      <c r="H102" s="305"/>
      <c r="I102" s="306">
        <f>SUM(H96:H101)</f>
        <v>879.06</v>
      </c>
      <c r="L102" s="305"/>
      <c r="M102" s="306">
        <f>SUM(L96:L101)</f>
        <v>879.06</v>
      </c>
    </row>
    <row r="103" spans="1:13" x14ac:dyDescent="0.25">
      <c r="A103" s="247" t="s">
        <v>132</v>
      </c>
      <c r="B103" s="54"/>
      <c r="C103" s="54"/>
      <c r="D103" s="307"/>
      <c r="E103" s="308">
        <f>(D49+E49)/1000</f>
        <v>41.035432360289022</v>
      </c>
      <c r="H103" s="307"/>
      <c r="I103" s="308">
        <f>(H49+I49)/1000</f>
        <v>41.035432360289022</v>
      </c>
      <c r="L103" s="307"/>
      <c r="M103" s="308">
        <f>(L49+M49)/1000</f>
        <v>41.035432360289022</v>
      </c>
    </row>
    <row r="104" spans="1:13" x14ac:dyDescent="0.25">
      <c r="A104" s="247" t="s">
        <v>203</v>
      </c>
      <c r="B104" s="54"/>
      <c r="C104" s="54"/>
      <c r="D104" s="307"/>
      <c r="E104" s="308">
        <f>(D68+E68)/1000</f>
        <v>378.40157549268662</v>
      </c>
      <c r="H104" s="307"/>
      <c r="I104" s="308">
        <f>(H68+I68)/1000</f>
        <v>378.40157549268662</v>
      </c>
      <c r="L104" s="307"/>
      <c r="M104" s="308">
        <f>(L68+M68)/1000</f>
        <v>378.40157549268662</v>
      </c>
    </row>
    <row r="105" spans="1:13" x14ac:dyDescent="0.25">
      <c r="A105" s="247" t="s">
        <v>133</v>
      </c>
      <c r="B105" s="54"/>
      <c r="C105" s="54"/>
      <c r="D105" s="307"/>
      <c r="E105" s="308">
        <f>(D77+E77)/1000</f>
        <v>261.55367093055435</v>
      </c>
      <c r="H105" s="307"/>
      <c r="I105" s="308">
        <f>(H77+I77)/1000</f>
        <v>261.55367093055435</v>
      </c>
      <c r="L105" s="307"/>
      <c r="M105" s="308">
        <f>(L77+M77)/1000</f>
        <v>261.55367093055435</v>
      </c>
    </row>
    <row r="106" spans="1:13" x14ac:dyDescent="0.25">
      <c r="A106" s="248" t="s">
        <v>134</v>
      </c>
      <c r="B106" s="43"/>
      <c r="C106" s="43"/>
      <c r="D106" s="305"/>
      <c r="E106" s="309">
        <f>(D92+E92)/1000</f>
        <v>213.62849412993083</v>
      </c>
      <c r="H106" s="305"/>
      <c r="I106" s="309">
        <f>(H92+I92)/1000</f>
        <v>213.62849412993083</v>
      </c>
      <c r="L106" s="305"/>
      <c r="M106" s="309">
        <f>(L92+M92)/1000</f>
        <v>213.62849412993083</v>
      </c>
    </row>
    <row r="107" spans="1:13" x14ac:dyDescent="0.25">
      <c r="A107" s="44" t="s">
        <v>204</v>
      </c>
      <c r="B107" s="42"/>
      <c r="C107" s="42"/>
      <c r="D107" s="310"/>
      <c r="E107" s="45"/>
      <c r="H107" s="310"/>
      <c r="I107" s="45"/>
      <c r="L107" s="310"/>
      <c r="M107" s="45"/>
    </row>
    <row r="108" spans="1:13" x14ac:dyDescent="0.25">
      <c r="A108" s="249" t="s">
        <v>135</v>
      </c>
      <c r="B108" s="39"/>
      <c r="C108" s="39"/>
      <c r="D108" s="311"/>
      <c r="E108" s="312">
        <f>E102+E103+E104</f>
        <v>1298.4970078529757</v>
      </c>
      <c r="H108" s="311"/>
      <c r="I108" s="312">
        <f>I102+I103+I104</f>
        <v>1298.4970078529757</v>
      </c>
      <c r="L108" s="311"/>
      <c r="M108" s="312">
        <f>M102+M103+M104</f>
        <v>1298.4970078529757</v>
      </c>
    </row>
    <row r="109" spans="1:13" x14ac:dyDescent="0.25">
      <c r="A109" s="249" t="s">
        <v>136</v>
      </c>
      <c r="B109" s="39"/>
      <c r="C109" s="39"/>
      <c r="D109" s="311"/>
      <c r="E109" s="313">
        <f>E105+E106</f>
        <v>475.1821650604852</v>
      </c>
      <c r="H109" s="311"/>
      <c r="I109" s="313">
        <f>I105+I106</f>
        <v>475.1821650604852</v>
      </c>
      <c r="L109" s="311"/>
      <c r="M109" s="313">
        <f>M105+M106</f>
        <v>475.1821650604852</v>
      </c>
    </row>
    <row r="110" spans="1:13" x14ac:dyDescent="0.25">
      <c r="A110" s="249" t="s">
        <v>218</v>
      </c>
      <c r="B110" s="39"/>
      <c r="C110" s="39"/>
      <c r="D110" s="311"/>
      <c r="E110" s="312">
        <f>E108-E109</f>
        <v>823.31484279249048</v>
      </c>
      <c r="H110" s="311"/>
      <c r="I110" s="312">
        <f>I108-I109</f>
        <v>823.31484279249048</v>
      </c>
      <c r="L110" s="311"/>
      <c r="M110" s="312">
        <f>M108-M109</f>
        <v>823.31484279249048</v>
      </c>
    </row>
    <row r="111" spans="1:13" x14ac:dyDescent="0.25">
      <c r="A111" s="250" t="s">
        <v>137</v>
      </c>
      <c r="B111" s="37"/>
      <c r="C111" s="37"/>
      <c r="D111" s="314"/>
      <c r="E111" s="315">
        <f>E108/E109</f>
        <v>2.7326299329599038</v>
      </c>
      <c r="H111" s="314"/>
      <c r="I111" s="315">
        <f>I108/I109</f>
        <v>2.7326299329599038</v>
      </c>
      <c r="L111" s="314"/>
      <c r="M111" s="315">
        <f>M108/M109</f>
        <v>2.7326299329599038</v>
      </c>
    </row>
    <row r="135" spans="1:1" x14ac:dyDescent="0.25">
      <c r="A135" s="133"/>
    </row>
  </sheetData>
  <printOptions headings="1"/>
  <pageMargins left="0.11811023622047245" right="0.11811023622047245" top="0.15748031496062992" bottom="0.15748031496062992" header="0.11811023622047245" footer="0.11811023622047245"/>
  <pageSetup paperSize="8" scale="77" orientation="portrait" horizontalDpi="300" verticalDpi="300" r:id="rId1"/>
  <headerFooter>
    <oddFooter>&amp;L&amp;D &amp;T
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3"/>
  <sheetViews>
    <sheetView zoomScale="85" zoomScaleNormal="85" workbookViewId="0">
      <selection activeCell="D12" sqref="D12"/>
    </sheetView>
  </sheetViews>
  <sheetFormatPr defaultColWidth="8.85546875" defaultRowHeight="12" x14ac:dyDescent="0.2"/>
  <cols>
    <col min="1" max="1" width="10.28515625" style="70" customWidth="1"/>
    <col min="2" max="2" width="43.85546875" style="70" customWidth="1"/>
    <col min="3" max="6" width="13.140625" style="70" customWidth="1"/>
    <col min="7" max="8" width="12.85546875" style="70" customWidth="1"/>
    <col min="9" max="9" width="12.5703125" style="70" bestFit="1" customWidth="1"/>
    <col min="10" max="10" width="31.7109375" style="70" customWidth="1"/>
    <col min="11" max="11" width="19.28515625" style="70" customWidth="1"/>
    <col min="12" max="12" width="22.28515625" style="70" customWidth="1"/>
    <col min="13" max="13" width="32.7109375" style="70" customWidth="1"/>
    <col min="14" max="14" width="13.5703125" style="70" customWidth="1"/>
    <col min="15" max="16384" width="8.85546875" style="70"/>
  </cols>
  <sheetData>
    <row r="2" spans="1:13" x14ac:dyDescent="0.25">
      <c r="A2" s="380" t="s">
        <v>389</v>
      </c>
      <c r="B2" s="71" t="s">
        <v>312</v>
      </c>
      <c r="J2" s="71" t="s">
        <v>321</v>
      </c>
    </row>
    <row r="3" spans="1:13" ht="24" x14ac:dyDescent="0.25">
      <c r="A3" s="71"/>
      <c r="B3" s="114" t="s">
        <v>320</v>
      </c>
      <c r="C3" s="111" t="s">
        <v>313</v>
      </c>
      <c r="D3" s="112" t="s">
        <v>314</v>
      </c>
      <c r="E3" s="95" t="s">
        <v>316</v>
      </c>
      <c r="J3" s="71"/>
    </row>
    <row r="4" spans="1:13" x14ac:dyDescent="0.25">
      <c r="A4" s="71"/>
      <c r="B4" s="113" t="s">
        <v>318</v>
      </c>
      <c r="C4" s="406">
        <v>2010</v>
      </c>
      <c r="D4" s="115">
        <v>1.06</v>
      </c>
      <c r="E4" s="91" t="s">
        <v>319</v>
      </c>
      <c r="J4" s="381" t="s">
        <v>80</v>
      </c>
      <c r="K4" s="382"/>
      <c r="L4" s="382"/>
      <c r="M4" s="383"/>
    </row>
    <row r="5" spans="1:13" x14ac:dyDescent="0.25">
      <c r="A5" s="71"/>
      <c r="B5" s="97" t="s">
        <v>315</v>
      </c>
      <c r="C5" s="407">
        <v>37438</v>
      </c>
      <c r="D5" s="405">
        <v>1.4</v>
      </c>
      <c r="E5" s="76" t="s">
        <v>317</v>
      </c>
      <c r="J5" s="384" t="s">
        <v>274</v>
      </c>
      <c r="K5" s="385" t="s">
        <v>271</v>
      </c>
      <c r="L5" s="385" t="s">
        <v>272</v>
      </c>
      <c r="M5" s="386" t="s">
        <v>273</v>
      </c>
    </row>
    <row r="6" spans="1:13" x14ac:dyDescent="0.25">
      <c r="A6" s="71"/>
      <c r="B6" s="92" t="s">
        <v>399</v>
      </c>
      <c r="C6" s="116">
        <v>37438</v>
      </c>
      <c r="D6" s="117">
        <v>1.7</v>
      </c>
      <c r="E6" s="94"/>
      <c r="J6" s="74" t="s">
        <v>270</v>
      </c>
      <c r="K6" s="75"/>
      <c r="L6" s="75"/>
      <c r="M6" s="76"/>
    </row>
    <row r="7" spans="1:13" x14ac:dyDescent="0.25">
      <c r="A7" s="71"/>
      <c r="J7" s="77" t="s">
        <v>76</v>
      </c>
      <c r="K7" s="78">
        <v>23.85</v>
      </c>
      <c r="L7" s="78">
        <v>7.8</v>
      </c>
      <c r="M7" s="79">
        <v>6.9</v>
      </c>
    </row>
    <row r="8" spans="1:13" x14ac:dyDescent="0.25">
      <c r="A8" s="380" t="s">
        <v>390</v>
      </c>
      <c r="B8" s="71" t="s">
        <v>404</v>
      </c>
      <c r="J8" s="77" t="s">
        <v>77</v>
      </c>
      <c r="K8" s="78">
        <v>21.7</v>
      </c>
      <c r="L8" s="78">
        <v>5.85</v>
      </c>
      <c r="M8" s="79">
        <v>5.2</v>
      </c>
    </row>
    <row r="9" spans="1:13" x14ac:dyDescent="0.25">
      <c r="A9" s="71"/>
      <c r="B9" s="113" t="s">
        <v>401</v>
      </c>
      <c r="C9" s="120">
        <v>21.18</v>
      </c>
      <c r="D9" s="360"/>
      <c r="J9" s="77" t="s">
        <v>78</v>
      </c>
      <c r="K9" s="78">
        <v>21.7</v>
      </c>
      <c r="L9" s="78">
        <v>4.7</v>
      </c>
      <c r="M9" s="79">
        <v>3.05</v>
      </c>
    </row>
    <row r="10" spans="1:13" x14ac:dyDescent="0.25">
      <c r="A10" s="71"/>
      <c r="B10" s="97" t="s">
        <v>402</v>
      </c>
      <c r="C10" s="410">
        <v>5.43</v>
      </c>
      <c r="D10" s="360"/>
      <c r="I10" s="72"/>
      <c r="J10" s="77" t="s">
        <v>79</v>
      </c>
      <c r="K10" s="78">
        <v>21.7</v>
      </c>
      <c r="L10" s="78">
        <v>6.6</v>
      </c>
      <c r="M10" s="79">
        <v>4.25</v>
      </c>
    </row>
    <row r="11" spans="1:13" x14ac:dyDescent="0.25">
      <c r="A11" s="71"/>
      <c r="B11" s="97" t="s">
        <v>403</v>
      </c>
      <c r="C11" s="410">
        <v>1.37</v>
      </c>
      <c r="D11" s="360"/>
      <c r="I11" s="72"/>
      <c r="J11" s="74" t="s">
        <v>275</v>
      </c>
      <c r="K11" s="75"/>
      <c r="L11" s="75"/>
      <c r="M11" s="76"/>
    </row>
    <row r="12" spans="1:13" x14ac:dyDescent="0.25">
      <c r="A12" s="71"/>
      <c r="B12" s="97" t="s">
        <v>82</v>
      </c>
      <c r="C12" s="410">
        <v>1.94</v>
      </c>
      <c r="D12" s="360"/>
      <c r="I12" s="72"/>
      <c r="J12" s="77" t="s">
        <v>76</v>
      </c>
      <c r="K12" s="80">
        <v>3.15</v>
      </c>
      <c r="L12" s="81"/>
      <c r="M12" s="82">
        <v>2.75</v>
      </c>
    </row>
    <row r="13" spans="1:13" x14ac:dyDescent="0.25">
      <c r="A13" s="71"/>
      <c r="B13" s="97" t="s">
        <v>84</v>
      </c>
      <c r="C13" s="410">
        <v>0.16</v>
      </c>
      <c r="D13" s="360"/>
      <c r="I13" s="72"/>
      <c r="J13" s="85" t="s">
        <v>77</v>
      </c>
      <c r="K13" s="86">
        <v>2.35</v>
      </c>
      <c r="L13" s="87"/>
      <c r="M13" s="88">
        <v>2.0499999999999998</v>
      </c>
    </row>
    <row r="14" spans="1:13" x14ac:dyDescent="0.25">
      <c r="A14" s="71"/>
      <c r="B14" s="92" t="s">
        <v>83</v>
      </c>
      <c r="C14" s="379">
        <v>-2.27</v>
      </c>
      <c r="D14" s="360"/>
    </row>
    <row r="15" spans="1:13" ht="24" x14ac:dyDescent="0.2">
      <c r="A15" s="71"/>
      <c r="B15" s="409" t="s">
        <v>400</v>
      </c>
      <c r="C15" s="348">
        <f>SUM(C9:C14)</f>
        <v>27.810000000000002</v>
      </c>
      <c r="D15" s="360"/>
      <c r="I15" s="72"/>
      <c r="J15" s="387" t="s">
        <v>276</v>
      </c>
      <c r="K15" s="388"/>
      <c r="L15" s="389"/>
    </row>
    <row r="16" spans="1:13" ht="24" x14ac:dyDescent="0.2">
      <c r="A16" s="71"/>
      <c r="I16" s="72"/>
      <c r="J16" s="384" t="s">
        <v>281</v>
      </c>
      <c r="K16" s="385" t="s">
        <v>277</v>
      </c>
      <c r="L16" s="386" t="s">
        <v>278</v>
      </c>
    </row>
    <row r="17" spans="1:13" x14ac:dyDescent="0.2">
      <c r="A17" s="380" t="s">
        <v>391</v>
      </c>
      <c r="B17" s="83" t="s">
        <v>284</v>
      </c>
      <c r="C17" s="84"/>
      <c r="D17" s="84"/>
      <c r="I17" s="72"/>
      <c r="J17" s="89" t="s">
        <v>279</v>
      </c>
      <c r="K17" s="90"/>
      <c r="L17" s="91"/>
    </row>
    <row r="18" spans="1:13" x14ac:dyDescent="0.2">
      <c r="A18" s="71"/>
      <c r="B18" s="119" t="s">
        <v>282</v>
      </c>
      <c r="C18" s="120">
        <f>L7*D5</f>
        <v>10.92</v>
      </c>
      <c r="D18" s="84"/>
      <c r="I18" s="72"/>
      <c r="J18" s="92" t="s">
        <v>280</v>
      </c>
      <c r="K18" s="93">
        <v>15.13</v>
      </c>
      <c r="L18" s="94">
        <v>3.88</v>
      </c>
    </row>
    <row r="19" spans="1:13" x14ac:dyDescent="0.2">
      <c r="A19" s="71"/>
      <c r="B19" s="122" t="s">
        <v>283</v>
      </c>
      <c r="C19" s="408">
        <f>M7*D5</f>
        <v>9.66</v>
      </c>
      <c r="D19" s="84"/>
    </row>
    <row r="20" spans="1:13" x14ac:dyDescent="0.2">
      <c r="A20" s="71"/>
      <c r="C20" s="357"/>
      <c r="D20" s="357"/>
      <c r="J20" s="384" t="s">
        <v>307</v>
      </c>
      <c r="K20" s="390"/>
      <c r="L20" s="390"/>
      <c r="M20" s="391"/>
    </row>
    <row r="21" spans="1:13" x14ac:dyDescent="0.2">
      <c r="A21" s="71"/>
      <c r="B21" s="71" t="s">
        <v>322</v>
      </c>
      <c r="J21" s="384" t="s">
        <v>308</v>
      </c>
      <c r="K21" s="392" t="s">
        <v>309</v>
      </c>
      <c r="L21" s="392" t="s">
        <v>310</v>
      </c>
      <c r="M21" s="393" t="s">
        <v>311</v>
      </c>
    </row>
    <row r="22" spans="1:13" x14ac:dyDescent="0.2">
      <c r="A22" s="71" t="s">
        <v>392</v>
      </c>
      <c r="B22" s="119" t="s">
        <v>64</v>
      </c>
      <c r="C22" s="343">
        <v>1.4</v>
      </c>
      <c r="D22" s="70" t="s">
        <v>372</v>
      </c>
      <c r="J22" s="101" t="s">
        <v>291</v>
      </c>
      <c r="K22" s="102" t="s">
        <v>292</v>
      </c>
      <c r="L22" s="118">
        <v>22</v>
      </c>
      <c r="M22" s="103"/>
    </row>
    <row r="23" spans="1:13" ht="24" x14ac:dyDescent="0.2">
      <c r="A23" s="71"/>
      <c r="B23" s="122" t="s">
        <v>374</v>
      </c>
      <c r="C23" s="344">
        <v>2</v>
      </c>
      <c r="D23" s="345" t="s">
        <v>373</v>
      </c>
      <c r="E23" s="346"/>
      <c r="F23" s="346"/>
      <c r="J23" s="101" t="s">
        <v>293</v>
      </c>
      <c r="K23" s="102" t="s">
        <v>294</v>
      </c>
      <c r="L23" s="104">
        <v>0.42499999999999999</v>
      </c>
      <c r="M23" s="103" t="s">
        <v>295</v>
      </c>
    </row>
    <row r="24" spans="1:13" ht="36" x14ac:dyDescent="0.2">
      <c r="A24" s="71"/>
      <c r="J24" s="101" t="s">
        <v>296</v>
      </c>
      <c r="K24" s="102" t="s">
        <v>294</v>
      </c>
      <c r="L24" s="105">
        <v>0.45200000000000001</v>
      </c>
      <c r="M24" s="103" t="s">
        <v>297</v>
      </c>
    </row>
    <row r="25" spans="1:13" x14ac:dyDescent="0.2">
      <c r="A25" s="71" t="s">
        <v>393</v>
      </c>
      <c r="B25" s="71" t="s">
        <v>323</v>
      </c>
      <c r="J25" s="101" t="s">
        <v>298</v>
      </c>
      <c r="K25" s="102" t="s">
        <v>299</v>
      </c>
      <c r="L25" s="118">
        <v>5000</v>
      </c>
      <c r="M25" s="103"/>
    </row>
    <row r="26" spans="1:13" ht="24" x14ac:dyDescent="0.2">
      <c r="A26" s="71"/>
      <c r="B26" s="347" t="s">
        <v>249</v>
      </c>
      <c r="C26" s="348">
        <v>1.5</v>
      </c>
      <c r="D26" s="70" t="s">
        <v>375</v>
      </c>
      <c r="J26" s="101" t="s">
        <v>300</v>
      </c>
      <c r="K26" s="102" t="s">
        <v>301</v>
      </c>
      <c r="L26" s="106">
        <v>0.1</v>
      </c>
      <c r="M26" s="103"/>
    </row>
    <row r="27" spans="1:13" ht="24" x14ac:dyDescent="0.2">
      <c r="A27" s="71"/>
      <c r="J27" s="101" t="s">
        <v>302</v>
      </c>
      <c r="K27" s="102" t="s">
        <v>303</v>
      </c>
      <c r="L27" s="106">
        <v>0.05</v>
      </c>
      <c r="M27" s="103" t="s">
        <v>304</v>
      </c>
    </row>
    <row r="28" spans="1:13" ht="48" x14ac:dyDescent="0.2">
      <c r="A28" s="380" t="s">
        <v>394</v>
      </c>
      <c r="B28" s="71" t="s">
        <v>324</v>
      </c>
      <c r="J28" s="107" t="s">
        <v>305</v>
      </c>
      <c r="K28" s="108" t="s">
        <v>299</v>
      </c>
      <c r="L28" s="109">
        <v>36000</v>
      </c>
      <c r="M28" s="110" t="s">
        <v>306</v>
      </c>
    </row>
    <row r="29" spans="1:13" ht="15" x14ac:dyDescent="0.25">
      <c r="A29" s="380"/>
      <c r="B29" s="113" t="s">
        <v>69</v>
      </c>
      <c r="C29" s="123">
        <f>L22*(1+L26+L27)*D4</f>
        <v>26.818000000000005</v>
      </c>
      <c r="E29" s="9"/>
    </row>
    <row r="30" spans="1:13" x14ac:dyDescent="0.2">
      <c r="A30" s="71"/>
      <c r="B30" s="97" t="s">
        <v>70</v>
      </c>
      <c r="C30" s="124">
        <f>(L23+L24)*(1+L26+L27)*D4</f>
        <v>1.0690630000000001</v>
      </c>
    </row>
    <row r="31" spans="1:13" s="357" customFormat="1" x14ac:dyDescent="0.2">
      <c r="A31" s="71"/>
      <c r="B31" s="92" t="s">
        <v>71</v>
      </c>
      <c r="C31" s="125">
        <f>(L25+L28)*(1+L26+L27)*D4</f>
        <v>49979.000000000007</v>
      </c>
      <c r="D31" s="70"/>
      <c r="E31" s="70"/>
      <c r="F31" s="70"/>
      <c r="G31" s="70"/>
      <c r="H31" s="70"/>
      <c r="I31" s="70"/>
    </row>
    <row r="32" spans="1:13" s="357" customFormat="1" x14ac:dyDescent="0.2">
      <c r="A32" s="366"/>
      <c r="J32" s="359"/>
      <c r="K32" s="360"/>
    </row>
    <row r="33" spans="1:10" s="357" customFormat="1" x14ac:dyDescent="0.2">
      <c r="A33" s="366" t="s">
        <v>395</v>
      </c>
      <c r="B33" s="358" t="s">
        <v>381</v>
      </c>
      <c r="J33" s="361"/>
    </row>
    <row r="34" spans="1:10" s="357" customFormat="1" x14ac:dyDescent="0.2">
      <c r="A34" s="366"/>
      <c r="B34" s="357" t="s">
        <v>19</v>
      </c>
      <c r="J34" s="361"/>
    </row>
    <row r="35" spans="1:10" s="357" customFormat="1" x14ac:dyDescent="0.2">
      <c r="A35" s="366"/>
    </row>
    <row r="36" spans="1:10" s="357" customFormat="1" x14ac:dyDescent="0.2">
      <c r="A36" s="366"/>
      <c r="B36" s="362" t="s">
        <v>33</v>
      </c>
    </row>
    <row r="37" spans="1:10" s="357" customFormat="1" x14ac:dyDescent="0.2">
      <c r="A37" s="366"/>
      <c r="B37" s="357" t="s">
        <v>20</v>
      </c>
      <c r="C37" s="357" t="s">
        <v>21</v>
      </c>
      <c r="E37" s="357" t="s">
        <v>75</v>
      </c>
    </row>
    <row r="38" spans="1:10" s="357" customFormat="1" x14ac:dyDescent="0.2">
      <c r="A38" s="366"/>
      <c r="C38" s="357" t="s">
        <v>22</v>
      </c>
    </row>
    <row r="39" spans="1:10" s="357" customFormat="1" x14ac:dyDescent="0.2">
      <c r="A39" s="366"/>
      <c r="C39" s="357" t="s">
        <v>23</v>
      </c>
    </row>
    <row r="40" spans="1:10" s="357" customFormat="1" x14ac:dyDescent="0.2">
      <c r="A40" s="366"/>
      <c r="C40" s="357" t="s">
        <v>24</v>
      </c>
    </row>
    <row r="41" spans="1:10" s="357" customFormat="1" x14ac:dyDescent="0.2">
      <c r="A41" s="366"/>
      <c r="C41" s="357" t="s">
        <v>25</v>
      </c>
    </row>
    <row r="42" spans="1:10" s="357" customFormat="1" x14ac:dyDescent="0.2">
      <c r="A42" s="366"/>
    </row>
    <row r="43" spans="1:10" s="357" customFormat="1" x14ac:dyDescent="0.2">
      <c r="A43" s="366"/>
      <c r="C43" s="357" t="s">
        <v>26</v>
      </c>
      <c r="D43" s="357">
        <v>0.3</v>
      </c>
    </row>
    <row r="44" spans="1:10" s="357" customFormat="1" x14ac:dyDescent="0.2">
      <c r="A44" s="366"/>
      <c r="C44" s="357" t="s">
        <v>27</v>
      </c>
      <c r="D44" s="357">
        <v>10</v>
      </c>
      <c r="E44" s="357" t="s">
        <v>6</v>
      </c>
    </row>
    <row r="45" spans="1:10" s="357" customFormat="1" x14ac:dyDescent="0.2">
      <c r="A45" s="366"/>
      <c r="C45" s="357" t="s">
        <v>28</v>
      </c>
      <c r="D45" s="363">
        <f>C18</f>
        <v>10.92</v>
      </c>
      <c r="E45" s="357" t="s">
        <v>74</v>
      </c>
      <c r="G45" s="357" t="s">
        <v>34</v>
      </c>
    </row>
    <row r="46" spans="1:10" s="357" customFormat="1" x14ac:dyDescent="0.2">
      <c r="A46" s="366"/>
      <c r="C46" s="357" t="s">
        <v>29</v>
      </c>
      <c r="D46" s="363">
        <v>2</v>
      </c>
      <c r="G46" s="357" t="s">
        <v>30</v>
      </c>
    </row>
    <row r="47" spans="1:10" s="357" customFormat="1" ht="12.75" thickBot="1" x14ac:dyDescent="0.25">
      <c r="A47" s="366"/>
      <c r="C47" s="364" t="s">
        <v>31</v>
      </c>
      <c r="D47" s="365">
        <v>1</v>
      </c>
      <c r="E47" s="364"/>
      <c r="G47" s="362" t="s">
        <v>32</v>
      </c>
    </row>
    <row r="48" spans="1:10" s="357" customFormat="1" x14ac:dyDescent="0.2">
      <c r="A48" s="366"/>
      <c r="C48" s="366" t="s">
        <v>35</v>
      </c>
      <c r="D48" s="367">
        <f>D43*D44/60*D45*D46*D47</f>
        <v>1.0920000000000001</v>
      </c>
      <c r="E48" s="366" t="s">
        <v>36</v>
      </c>
    </row>
    <row r="49" spans="1:5" s="357" customFormat="1" x14ac:dyDescent="0.2">
      <c r="A49" s="366"/>
      <c r="E49" s="84"/>
    </row>
    <row r="50" spans="1:5" s="357" customFormat="1" x14ac:dyDescent="0.2">
      <c r="A50" s="366" t="s">
        <v>396</v>
      </c>
      <c r="B50" s="358" t="s">
        <v>380</v>
      </c>
    </row>
    <row r="51" spans="1:5" s="357" customFormat="1" x14ac:dyDescent="0.2">
      <c r="A51" s="366"/>
      <c r="B51" s="357" t="s">
        <v>37</v>
      </c>
      <c r="C51" s="357" t="s">
        <v>38</v>
      </c>
    </row>
    <row r="52" spans="1:5" s="357" customFormat="1" x14ac:dyDescent="0.2">
      <c r="A52" s="366"/>
    </row>
    <row r="53" spans="1:5" s="357" customFormat="1" x14ac:dyDescent="0.2">
      <c r="A53" s="366"/>
      <c r="B53" s="362" t="s">
        <v>39</v>
      </c>
    </row>
    <row r="54" spans="1:5" s="357" customFormat="1" x14ac:dyDescent="0.2">
      <c r="A54" s="366"/>
      <c r="B54" s="362" t="s">
        <v>53</v>
      </c>
    </row>
    <row r="55" spans="1:5" s="357" customFormat="1" x14ac:dyDescent="0.2">
      <c r="A55" s="366"/>
      <c r="B55" s="357" t="s">
        <v>20</v>
      </c>
      <c r="C55" s="357" t="s">
        <v>40</v>
      </c>
    </row>
    <row r="56" spans="1:5" s="357" customFormat="1" x14ac:dyDescent="0.2">
      <c r="A56" s="366"/>
      <c r="C56" s="357" t="s">
        <v>43</v>
      </c>
    </row>
    <row r="57" spans="1:5" s="357" customFormat="1" x14ac:dyDescent="0.2">
      <c r="A57" s="366"/>
      <c r="C57" s="357" t="s">
        <v>41</v>
      </c>
    </row>
    <row r="58" spans="1:5" s="357" customFormat="1" x14ac:dyDescent="0.2">
      <c r="A58" s="366"/>
      <c r="C58" s="357" t="s">
        <v>42</v>
      </c>
    </row>
    <row r="59" spans="1:5" s="357" customFormat="1" x14ac:dyDescent="0.2">
      <c r="A59" s="366"/>
      <c r="C59" s="357" t="s">
        <v>44</v>
      </c>
    </row>
    <row r="60" spans="1:5" s="357" customFormat="1" x14ac:dyDescent="0.2">
      <c r="A60" s="366"/>
      <c r="C60" s="357" t="s">
        <v>51</v>
      </c>
    </row>
    <row r="61" spans="1:5" s="357" customFormat="1" x14ac:dyDescent="0.2">
      <c r="A61" s="366"/>
      <c r="B61" s="357" t="s">
        <v>45</v>
      </c>
    </row>
    <row r="62" spans="1:5" s="357" customFormat="1" x14ac:dyDescent="0.2">
      <c r="A62" s="366"/>
      <c r="C62" s="357" t="s">
        <v>46</v>
      </c>
      <c r="D62" s="357">
        <v>250</v>
      </c>
    </row>
    <row r="63" spans="1:5" s="357" customFormat="1" x14ac:dyDescent="0.2">
      <c r="A63" s="366"/>
      <c r="C63" s="357" t="s">
        <v>47</v>
      </c>
      <c r="D63" s="357">
        <v>100</v>
      </c>
    </row>
    <row r="64" spans="1:5" s="357" customFormat="1" x14ac:dyDescent="0.2">
      <c r="A64" s="366"/>
      <c r="C64" s="357" t="s">
        <v>48</v>
      </c>
      <c r="D64" s="357">
        <v>200</v>
      </c>
    </row>
    <row r="65" spans="1:9" s="357" customFormat="1" x14ac:dyDescent="0.2">
      <c r="A65" s="366"/>
      <c r="C65" s="357" t="s">
        <v>49</v>
      </c>
      <c r="D65" s="357">
        <v>0.3</v>
      </c>
    </row>
    <row r="66" spans="1:9" s="357" customFormat="1" x14ac:dyDescent="0.2">
      <c r="A66" s="366"/>
      <c r="C66" s="357" t="s">
        <v>50</v>
      </c>
      <c r="D66" s="363">
        <v>5</v>
      </c>
      <c r="E66" s="357" t="s">
        <v>6</v>
      </c>
    </row>
    <row r="67" spans="1:9" s="357" customFormat="1" ht="12.75" thickBot="1" x14ac:dyDescent="0.25">
      <c r="A67" s="366"/>
      <c r="C67" s="364" t="s">
        <v>52</v>
      </c>
      <c r="D67" s="365">
        <f>C18*C22</f>
        <v>15.287999999999998</v>
      </c>
      <c r="E67" s="364" t="s">
        <v>74</v>
      </c>
      <c r="G67" s="357" t="s">
        <v>54</v>
      </c>
    </row>
    <row r="68" spans="1:9" s="357" customFormat="1" x14ac:dyDescent="0.2">
      <c r="A68" s="366"/>
      <c r="C68" s="366" t="s">
        <v>35</v>
      </c>
      <c r="D68" s="368">
        <f>(D67*60/100)*(D63*D65*(D66/60)/D64)*(D62+D64-D63*D65+0.5*D63)</f>
        <v>53.890199999999993</v>
      </c>
      <c r="E68" s="357" t="s">
        <v>55</v>
      </c>
    </row>
    <row r="69" spans="1:9" s="357" customFormat="1" x14ac:dyDescent="0.2">
      <c r="A69" s="366"/>
      <c r="D69" s="369">
        <f>D68/2</f>
        <v>26.945099999999996</v>
      </c>
      <c r="E69" s="370" t="s">
        <v>4</v>
      </c>
    </row>
    <row r="70" spans="1:9" x14ac:dyDescent="0.2">
      <c r="A70" s="366"/>
      <c r="B70" s="357"/>
      <c r="C70" s="357"/>
      <c r="D70" s="357"/>
      <c r="E70" s="357"/>
      <c r="F70" s="357"/>
      <c r="G70" s="357"/>
      <c r="H70" s="357"/>
      <c r="I70" s="357"/>
    </row>
    <row r="71" spans="1:9" x14ac:dyDescent="0.2">
      <c r="A71" s="71" t="s">
        <v>397</v>
      </c>
      <c r="B71" s="71" t="s">
        <v>85</v>
      </c>
    </row>
    <row r="72" spans="1:9" x14ac:dyDescent="0.2">
      <c r="A72" s="71"/>
      <c r="B72" s="70" t="s">
        <v>86</v>
      </c>
      <c r="C72" s="70">
        <v>250</v>
      </c>
    </row>
    <row r="73" spans="1:9" x14ac:dyDescent="0.2">
      <c r="A73" s="71"/>
      <c r="B73" s="70" t="s">
        <v>87</v>
      </c>
      <c r="C73" s="70">
        <v>500</v>
      </c>
    </row>
    <row r="74" spans="1:9" x14ac:dyDescent="0.2">
      <c r="A74" s="71"/>
      <c r="B74" s="70" t="s">
        <v>124</v>
      </c>
      <c r="C74" s="70">
        <v>310</v>
      </c>
    </row>
    <row r="75" spans="1:9" x14ac:dyDescent="0.2">
      <c r="A75" s="71"/>
      <c r="B75" s="70" t="s">
        <v>286</v>
      </c>
    </row>
    <row r="76" spans="1:9" x14ac:dyDescent="0.2">
      <c r="A76" s="71"/>
    </row>
    <row r="77" spans="1:9" x14ac:dyDescent="0.2">
      <c r="A77" s="71" t="s">
        <v>398</v>
      </c>
      <c r="B77" s="71" t="s">
        <v>285</v>
      </c>
    </row>
    <row r="78" spans="1:9" x14ac:dyDescent="0.2">
      <c r="A78" s="71"/>
    </row>
    <row r="79" spans="1:9" x14ac:dyDescent="0.2">
      <c r="A79" s="71"/>
      <c r="B79" s="89" t="s">
        <v>220</v>
      </c>
      <c r="C79" s="90"/>
      <c r="D79" s="90"/>
      <c r="E79" s="90"/>
      <c r="F79" s="90"/>
      <c r="G79" s="90"/>
      <c r="H79" s="91"/>
    </row>
    <row r="80" spans="1:9" x14ac:dyDescent="0.2">
      <c r="A80" s="71"/>
      <c r="B80" s="97" t="s">
        <v>227</v>
      </c>
      <c r="C80" s="75"/>
      <c r="D80" s="75"/>
      <c r="E80" s="75"/>
      <c r="F80" s="75"/>
      <c r="G80" s="75"/>
      <c r="H80" s="76"/>
    </row>
    <row r="81" spans="1:8" x14ac:dyDescent="0.2">
      <c r="A81" s="71"/>
      <c r="B81" s="97" t="s">
        <v>387</v>
      </c>
      <c r="C81" s="75"/>
      <c r="D81" s="75"/>
      <c r="E81" s="75"/>
      <c r="F81" s="75"/>
      <c r="G81" s="75"/>
      <c r="H81" s="76"/>
    </row>
    <row r="82" spans="1:8" x14ac:dyDescent="0.2">
      <c r="A82" s="71"/>
      <c r="B82" s="97" t="s">
        <v>228</v>
      </c>
      <c r="C82" s="75"/>
      <c r="D82" s="75"/>
      <c r="E82" s="75"/>
      <c r="F82" s="75"/>
      <c r="G82" s="75"/>
      <c r="H82" s="76"/>
    </row>
    <row r="83" spans="1:8" x14ac:dyDescent="0.2">
      <c r="A83" s="71"/>
      <c r="B83" s="97"/>
      <c r="C83" s="96" t="s">
        <v>265</v>
      </c>
      <c r="D83" s="96" t="s">
        <v>229</v>
      </c>
      <c r="E83" s="96" t="s">
        <v>230</v>
      </c>
      <c r="F83" s="96" t="s">
        <v>264</v>
      </c>
      <c r="G83" s="96" t="s">
        <v>231</v>
      </c>
      <c r="H83" s="98" t="s">
        <v>232</v>
      </c>
    </row>
    <row r="84" spans="1:8" x14ac:dyDescent="0.2">
      <c r="A84" s="71"/>
      <c r="B84" s="97" t="s">
        <v>221</v>
      </c>
      <c r="C84" s="96">
        <v>0</v>
      </c>
      <c r="D84" s="96">
        <v>13</v>
      </c>
      <c r="E84" s="96">
        <v>20</v>
      </c>
      <c r="F84" s="96">
        <v>25</v>
      </c>
      <c r="G84" s="96">
        <v>29</v>
      </c>
      <c r="H84" s="98">
        <v>31</v>
      </c>
    </row>
    <row r="85" spans="1:8" x14ac:dyDescent="0.2">
      <c r="A85" s="71"/>
      <c r="B85" s="97" t="s">
        <v>222</v>
      </c>
      <c r="C85" s="96">
        <v>0</v>
      </c>
      <c r="D85" s="96">
        <v>18</v>
      </c>
      <c r="E85" s="96">
        <v>30</v>
      </c>
      <c r="F85" s="96">
        <v>35</v>
      </c>
      <c r="G85" s="96">
        <v>40</v>
      </c>
      <c r="H85" s="98">
        <v>44</v>
      </c>
    </row>
    <row r="86" spans="1:8" x14ac:dyDescent="0.2">
      <c r="A86" s="71"/>
      <c r="B86" s="97" t="s">
        <v>223</v>
      </c>
      <c r="C86" s="96">
        <v>0</v>
      </c>
      <c r="D86" s="96">
        <v>6</v>
      </c>
      <c r="E86" s="96">
        <v>10</v>
      </c>
      <c r="F86" s="96">
        <v>12</v>
      </c>
      <c r="G86" s="96">
        <v>14</v>
      </c>
      <c r="H86" s="98">
        <v>15</v>
      </c>
    </row>
    <row r="87" spans="1:8" x14ac:dyDescent="0.2">
      <c r="A87" s="71"/>
      <c r="B87" s="97" t="s">
        <v>224</v>
      </c>
      <c r="C87" s="96">
        <v>0</v>
      </c>
      <c r="D87" s="96">
        <v>5</v>
      </c>
      <c r="E87" s="96">
        <v>8</v>
      </c>
      <c r="F87" s="96">
        <v>10</v>
      </c>
      <c r="G87" s="96">
        <v>12</v>
      </c>
      <c r="H87" s="98">
        <v>13</v>
      </c>
    </row>
    <row r="88" spans="1:8" x14ac:dyDescent="0.2">
      <c r="A88" s="71"/>
      <c r="B88" s="97" t="s">
        <v>225</v>
      </c>
      <c r="C88" s="96">
        <v>0</v>
      </c>
      <c r="D88" s="96">
        <v>10</v>
      </c>
      <c r="E88" s="96">
        <v>15</v>
      </c>
      <c r="F88" s="96">
        <v>19</v>
      </c>
      <c r="G88" s="96">
        <v>22</v>
      </c>
      <c r="H88" s="98">
        <v>24</v>
      </c>
    </row>
    <row r="89" spans="1:8" x14ac:dyDescent="0.2">
      <c r="A89" s="71"/>
      <c r="B89" s="92" t="s">
        <v>226</v>
      </c>
      <c r="C89" s="99">
        <v>0</v>
      </c>
      <c r="D89" s="99">
        <v>5</v>
      </c>
      <c r="E89" s="99">
        <v>8</v>
      </c>
      <c r="F89" s="99">
        <v>10</v>
      </c>
      <c r="G89" s="99">
        <v>12</v>
      </c>
      <c r="H89" s="100">
        <v>13</v>
      </c>
    </row>
    <row r="90" spans="1:8" ht="24.6" customHeight="1" x14ac:dyDescent="0.2">
      <c r="A90" s="71"/>
      <c r="B90" s="114" t="s">
        <v>388</v>
      </c>
      <c r="C90" s="377">
        <f t="shared" ref="C90:H90" si="0">SUM(C84:C89)</f>
        <v>0</v>
      </c>
      <c r="D90" s="377">
        <f t="shared" si="0"/>
        <v>57</v>
      </c>
      <c r="E90" s="377">
        <f t="shared" si="0"/>
        <v>91</v>
      </c>
      <c r="F90" s="377">
        <f t="shared" si="0"/>
        <v>111</v>
      </c>
      <c r="G90" s="377">
        <f t="shared" si="0"/>
        <v>129</v>
      </c>
      <c r="H90" s="378">
        <f t="shared" si="0"/>
        <v>140</v>
      </c>
    </row>
    <row r="91" spans="1:8" x14ac:dyDescent="0.2">
      <c r="A91" s="71"/>
    </row>
    <row r="92" spans="1:8" x14ac:dyDescent="0.2">
      <c r="A92" s="71"/>
      <c r="B92" s="73" t="s">
        <v>260</v>
      </c>
      <c r="C92" s="126" t="s">
        <v>258</v>
      </c>
      <c r="D92" s="126" t="s">
        <v>259</v>
      </c>
      <c r="E92" s="126" t="s">
        <v>261</v>
      </c>
      <c r="F92" s="127" t="s">
        <v>262</v>
      </c>
    </row>
    <row r="93" spans="1:8" x14ac:dyDescent="0.2">
      <c r="A93" s="71"/>
      <c r="B93" s="97" t="s">
        <v>327</v>
      </c>
      <c r="C93" s="104" t="s">
        <v>265</v>
      </c>
      <c r="D93" s="104" t="s">
        <v>265</v>
      </c>
      <c r="E93" s="104">
        <v>1</v>
      </c>
      <c r="F93" s="128">
        <v>1</v>
      </c>
    </row>
    <row r="94" spans="1:8" x14ac:dyDescent="0.2">
      <c r="A94" s="71"/>
      <c r="B94" s="97" t="s">
        <v>328</v>
      </c>
      <c r="C94" s="104" t="s">
        <v>265</v>
      </c>
      <c r="D94" s="104" t="s">
        <v>229</v>
      </c>
      <c r="E94" s="104">
        <v>1</v>
      </c>
      <c r="F94" s="128">
        <v>2</v>
      </c>
    </row>
    <row r="95" spans="1:8" x14ac:dyDescent="0.2">
      <c r="A95" s="71"/>
      <c r="B95" s="97" t="s">
        <v>329</v>
      </c>
      <c r="C95" s="104" t="s">
        <v>265</v>
      </c>
      <c r="D95" s="104" t="s">
        <v>230</v>
      </c>
      <c r="E95" s="104">
        <v>1</v>
      </c>
      <c r="F95" s="128">
        <v>3</v>
      </c>
    </row>
    <row r="96" spans="1:8" x14ac:dyDescent="0.2">
      <c r="A96" s="71"/>
      <c r="B96" s="97" t="s">
        <v>330</v>
      </c>
      <c r="C96" s="104" t="s">
        <v>265</v>
      </c>
      <c r="D96" s="104" t="s">
        <v>264</v>
      </c>
      <c r="E96" s="104">
        <v>1</v>
      </c>
      <c r="F96" s="128">
        <v>4</v>
      </c>
    </row>
    <row r="97" spans="1:6" x14ac:dyDescent="0.2">
      <c r="A97" s="71"/>
      <c r="B97" s="97" t="s">
        <v>331</v>
      </c>
      <c r="C97" s="104" t="s">
        <v>265</v>
      </c>
      <c r="D97" s="104" t="s">
        <v>231</v>
      </c>
      <c r="E97" s="104">
        <v>1</v>
      </c>
      <c r="F97" s="128">
        <v>5</v>
      </c>
    </row>
    <row r="98" spans="1:6" x14ac:dyDescent="0.2">
      <c r="A98" s="71"/>
      <c r="B98" s="97" t="s">
        <v>332</v>
      </c>
      <c r="C98" s="104" t="s">
        <v>265</v>
      </c>
      <c r="D98" s="104" t="s">
        <v>232</v>
      </c>
      <c r="E98" s="104">
        <v>1</v>
      </c>
      <c r="F98" s="128">
        <v>6</v>
      </c>
    </row>
    <row r="99" spans="1:6" x14ac:dyDescent="0.2">
      <c r="A99" s="71"/>
      <c r="B99" s="97" t="s">
        <v>333</v>
      </c>
      <c r="C99" s="104" t="s">
        <v>229</v>
      </c>
      <c r="D99" s="104" t="s">
        <v>229</v>
      </c>
      <c r="E99" s="104">
        <v>2</v>
      </c>
      <c r="F99" s="128">
        <v>2</v>
      </c>
    </row>
    <row r="100" spans="1:6" x14ac:dyDescent="0.2">
      <c r="A100" s="71"/>
      <c r="B100" s="97" t="s">
        <v>334</v>
      </c>
      <c r="C100" s="104" t="s">
        <v>229</v>
      </c>
      <c r="D100" s="104" t="s">
        <v>230</v>
      </c>
      <c r="E100" s="104">
        <v>2</v>
      </c>
      <c r="F100" s="128">
        <v>3</v>
      </c>
    </row>
    <row r="101" spans="1:6" x14ac:dyDescent="0.2">
      <c r="A101" s="71"/>
      <c r="B101" s="97" t="s">
        <v>335</v>
      </c>
      <c r="C101" s="104" t="s">
        <v>229</v>
      </c>
      <c r="D101" s="104" t="s">
        <v>264</v>
      </c>
      <c r="E101" s="104">
        <v>2</v>
      </c>
      <c r="F101" s="128">
        <v>4</v>
      </c>
    </row>
    <row r="102" spans="1:6" x14ac:dyDescent="0.2">
      <c r="A102" s="71"/>
      <c r="B102" s="97" t="s">
        <v>336</v>
      </c>
      <c r="C102" s="104" t="s">
        <v>229</v>
      </c>
      <c r="D102" s="104" t="s">
        <v>231</v>
      </c>
      <c r="E102" s="104">
        <v>2</v>
      </c>
      <c r="F102" s="128">
        <v>5</v>
      </c>
    </row>
    <row r="103" spans="1:6" x14ac:dyDescent="0.2">
      <c r="A103" s="71"/>
      <c r="B103" s="97" t="s">
        <v>326</v>
      </c>
      <c r="C103" s="104" t="s">
        <v>229</v>
      </c>
      <c r="D103" s="104" t="s">
        <v>232</v>
      </c>
      <c r="E103" s="104">
        <v>2</v>
      </c>
      <c r="F103" s="128">
        <v>6</v>
      </c>
    </row>
    <row r="104" spans="1:6" x14ac:dyDescent="0.2">
      <c r="A104" s="71"/>
      <c r="B104" s="97" t="s">
        <v>337</v>
      </c>
      <c r="C104" s="104" t="s">
        <v>230</v>
      </c>
      <c r="D104" s="104" t="s">
        <v>230</v>
      </c>
      <c r="E104" s="104">
        <v>3</v>
      </c>
      <c r="F104" s="128">
        <v>3</v>
      </c>
    </row>
    <row r="105" spans="1:6" x14ac:dyDescent="0.2">
      <c r="A105" s="71"/>
      <c r="B105" s="97" t="s">
        <v>338</v>
      </c>
      <c r="C105" s="104" t="s">
        <v>230</v>
      </c>
      <c r="D105" s="104" t="s">
        <v>264</v>
      </c>
      <c r="E105" s="104">
        <v>3</v>
      </c>
      <c r="F105" s="128">
        <v>4</v>
      </c>
    </row>
    <row r="106" spans="1:6" x14ac:dyDescent="0.2">
      <c r="A106" s="71"/>
      <c r="B106" s="97" t="s">
        <v>325</v>
      </c>
      <c r="C106" s="104" t="s">
        <v>230</v>
      </c>
      <c r="D106" s="104" t="s">
        <v>231</v>
      </c>
      <c r="E106" s="104">
        <v>3</v>
      </c>
      <c r="F106" s="128">
        <v>5</v>
      </c>
    </row>
    <row r="107" spans="1:6" x14ac:dyDescent="0.2">
      <c r="A107" s="71"/>
      <c r="B107" s="97" t="s">
        <v>267</v>
      </c>
      <c r="C107" s="104" t="s">
        <v>230</v>
      </c>
      <c r="D107" s="104" t="s">
        <v>232</v>
      </c>
      <c r="E107" s="104">
        <v>3</v>
      </c>
      <c r="F107" s="128">
        <v>6</v>
      </c>
    </row>
    <row r="108" spans="1:6" x14ac:dyDescent="0.2">
      <c r="A108" s="71"/>
      <c r="B108" s="97" t="s">
        <v>266</v>
      </c>
      <c r="C108" s="104" t="s">
        <v>264</v>
      </c>
      <c r="D108" s="104" t="s">
        <v>264</v>
      </c>
      <c r="E108" s="104">
        <v>4</v>
      </c>
      <c r="F108" s="128">
        <v>4</v>
      </c>
    </row>
    <row r="109" spans="1:6" x14ac:dyDescent="0.2">
      <c r="A109" s="71"/>
      <c r="B109" s="97" t="s">
        <v>339</v>
      </c>
      <c r="C109" s="104" t="s">
        <v>264</v>
      </c>
      <c r="D109" s="104" t="s">
        <v>231</v>
      </c>
      <c r="E109" s="104">
        <v>4</v>
      </c>
      <c r="F109" s="128">
        <v>5</v>
      </c>
    </row>
    <row r="110" spans="1:6" x14ac:dyDescent="0.2">
      <c r="A110" s="71"/>
      <c r="B110" s="97" t="s">
        <v>340</v>
      </c>
      <c r="C110" s="104" t="s">
        <v>264</v>
      </c>
      <c r="D110" s="104" t="s">
        <v>232</v>
      </c>
      <c r="E110" s="104">
        <v>4</v>
      </c>
      <c r="F110" s="128">
        <v>6</v>
      </c>
    </row>
    <row r="111" spans="1:6" x14ac:dyDescent="0.2">
      <c r="A111" s="71"/>
      <c r="B111" s="97" t="s">
        <v>341</v>
      </c>
      <c r="C111" s="104" t="s">
        <v>231</v>
      </c>
      <c r="D111" s="104" t="s">
        <v>231</v>
      </c>
      <c r="E111" s="104">
        <v>5</v>
      </c>
      <c r="F111" s="128">
        <v>5</v>
      </c>
    </row>
    <row r="112" spans="1:6" x14ac:dyDescent="0.2">
      <c r="A112" s="71"/>
      <c r="B112" s="97" t="s">
        <v>342</v>
      </c>
      <c r="C112" s="104" t="s">
        <v>231</v>
      </c>
      <c r="D112" s="104" t="s">
        <v>232</v>
      </c>
      <c r="E112" s="104">
        <v>5</v>
      </c>
      <c r="F112" s="128">
        <v>6</v>
      </c>
    </row>
    <row r="113" spans="1:6" x14ac:dyDescent="0.2">
      <c r="A113" s="71"/>
      <c r="B113" s="92" t="s">
        <v>343</v>
      </c>
      <c r="C113" s="129" t="s">
        <v>232</v>
      </c>
      <c r="D113" s="129" t="s">
        <v>232</v>
      </c>
      <c r="E113" s="129">
        <v>6</v>
      </c>
      <c r="F113" s="130">
        <v>6</v>
      </c>
    </row>
  </sheetData>
  <pageMargins left="0.31496062992125984" right="0.31496062992125984" top="0.74803149606299213" bottom="0.74803149606299213" header="0.31496062992125984" footer="0.31496062992125984"/>
  <pageSetup paperSize="9" scale="61" orientation="portrait" horizontalDpi="300" verticalDpi="300" r:id="rId1"/>
  <headerFooter>
    <oddFooter>&amp;L&amp;D &amp;T
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page</vt:lpstr>
      <vt:lpstr>Stops</vt:lpstr>
      <vt:lpstr>Priority</vt:lpstr>
      <vt:lpstr>Notes</vt:lpstr>
      <vt:lpstr>Notes!Print_Area</vt:lpstr>
      <vt:lpstr>Priority!Print_Area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Wallis</dc:creator>
  <cp:lastModifiedBy>Heather</cp:lastModifiedBy>
  <cp:lastPrinted>2014-12-01T06:00:47Z</cp:lastPrinted>
  <dcterms:created xsi:type="dcterms:W3CDTF">2014-03-09T23:02:06Z</dcterms:created>
  <dcterms:modified xsi:type="dcterms:W3CDTF">2014-12-01T06:02:23Z</dcterms:modified>
</cp:coreProperties>
</file>