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drawings/drawing3.xml" ContentType="application/vnd.openxmlformats-officedocument.drawing+xml"/>
  <Override PartName="/xl/comments4.xml" ContentType="application/vnd.openxmlformats-officedocument.spreadsheetml.comments+xml"/>
  <Override PartName="/xl/drawings/drawing4.xml" ContentType="application/vnd.openxmlformats-officedocument.drawing+xml"/>
  <Override PartName="/xl/comments5.xml" ContentType="application/vnd.openxmlformats-officedocument.spreadsheetml.comments+xml"/>
  <Override PartName="/xl/drawings/drawing5.xml" ContentType="application/vnd.openxmlformats-officedocument.drawing+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showInkAnnotation="0" codeName="ThisWorkbook" autoCompressPictures="0"/>
  <mc:AlternateContent xmlns:mc="http://schemas.openxmlformats.org/markup-compatibility/2006">
    <mc:Choice Requires="x15">
      <x15ac:absPath xmlns:x15ac="http://schemas.microsoft.com/office/spreadsheetml/2010/11/ac" url="C:\Users\wentaoy\AppData\Roaming\OpenText\OTEdit\EC_infohub\c49222404\"/>
    </mc:Choice>
  </mc:AlternateContent>
  <xr:revisionPtr revIDLastSave="0" documentId="13_ncr:1_{3B722DFB-7D6C-4279-8172-B0FA451D31ED}" xr6:coauthVersionLast="47" xr6:coauthVersionMax="47" xr10:uidLastSave="{00000000-0000-0000-0000-000000000000}"/>
  <workbookProtection workbookAlgorithmName="SHA-512" workbookHashValue="r4Fr7cQhu6WzWTD1fqNsU2CPEyNKa3uc/dnuQPtzEjX855e680TZpaLEsRjxIxAFgQ39FWqetKRU8A2Ntb5ing==" workbookSaltValue="PTbUoYsDOAzeQhQURNs7hg==" workbookSpinCount="100000" lockStructure="1"/>
  <bookViews>
    <workbookView xWindow="-108" yWindow="-108" windowWidth="30936" windowHeight="16776" tabRatio="733" activeTab="4" xr2:uid="{00000000-000D-0000-FFFF-FFFF00000000}"/>
  </bookViews>
  <sheets>
    <sheet name="AST" sheetId="2" r:id="rId1"/>
    <sheet name="Benefits Framework" sheetId="3" state="hidden" r:id="rId2"/>
    <sheet name="W1 - Summary_Upload" sheetId="67" state="hidden" r:id="rId3"/>
    <sheet name="overview &amp; guide" sheetId="68" r:id="rId4"/>
    <sheet name="SP5-1" sheetId="69" r:id="rId5"/>
    <sheet name="SP5-2" sheetId="70" r:id="rId6"/>
    <sheet name="SP5-3 (1)" sheetId="71" r:id="rId7"/>
    <sheet name="SP5-3 (2)" sheetId="84" r:id="rId8"/>
    <sheet name="SP5-3 (3)" sheetId="85" r:id="rId9"/>
    <sheet name="SP5-4" sheetId="75" r:id="rId10"/>
    <sheet name="SP5-5" sheetId="76" r:id="rId11"/>
    <sheet name="SP5-6" sheetId="77" r:id="rId12"/>
    <sheet name="SP5-7" sheetId="78" r:id="rId13"/>
    <sheet name="Tables" sheetId="62" state="hidden" r:id="rId14"/>
    <sheet name="Cost Estimates" sheetId="80" r:id="rId15"/>
    <sheet name="Sensitivity" sheetId="81" r:id="rId16"/>
    <sheet name="Working" sheetId="82" r:id="rId17"/>
    <sheet name="Notes" sheetId="83" r:id="rId18"/>
  </sheets>
  <definedNames>
    <definedName name="_sp111">#REF!</definedName>
    <definedName name="_sp112">#REF!</definedName>
    <definedName name="_sp1131">#REF!</definedName>
    <definedName name="_sp1132">#REF!</definedName>
    <definedName name="_sp1133">#REF!</definedName>
    <definedName name="_sp114">#REF!</definedName>
    <definedName name="_sp115">#REF!</definedName>
    <definedName name="_sp116">#REF!</definedName>
    <definedName name="_sp117">#REF!</definedName>
    <definedName name="_sp118">#REF!</definedName>
    <definedName name="_sp31">#REF!</definedName>
    <definedName name="_sp32">#REF!</definedName>
    <definedName name="_sp331">#REF!</definedName>
    <definedName name="_sp332">#REF!</definedName>
    <definedName name="_sp333">#REF!</definedName>
    <definedName name="_sp34">#REF!</definedName>
    <definedName name="_sp35">#REF!</definedName>
    <definedName name="_sp36">#REF!</definedName>
    <definedName name="_sp37">#REF!</definedName>
    <definedName name="_sp51">'SP5-1'!$C$7</definedName>
    <definedName name="_sp52">'SP5-2'!$Q$8</definedName>
    <definedName name="_sp531" localSheetId="7">'SP5-3 (2)'!$K$7</definedName>
    <definedName name="_sp531" localSheetId="8">'SP5-3 (3)'!$K$7</definedName>
    <definedName name="_sp531">'SP5-3 (1)'!$K$7</definedName>
    <definedName name="_sp532">#REF!</definedName>
    <definedName name="_sp533">#REF!</definedName>
    <definedName name="_sp534">#REF!</definedName>
    <definedName name="_sp54">'SP5-4'!$K$8</definedName>
    <definedName name="_sp55">'SP5-5'!$J$13</definedName>
    <definedName name="_sp56">'SP5-6'!$E$8</definedName>
    <definedName name="_sp57">'SP5-7'!$E$10</definedName>
    <definedName name="_Toc149723404" localSheetId="13">Tables!$A$55</definedName>
    <definedName name="_Toc149723405" localSheetId="13">Tables!$A$91</definedName>
    <definedName name="_Toc149723406" localSheetId="13">Tables!$A$122</definedName>
    <definedName name="_Toc149723407" localSheetId="13">Tables!$A$158</definedName>
    <definedName name="_Toc149723408" localSheetId="13">Tables!$A$194</definedName>
    <definedName name="_Toc149723409" localSheetId="13">Tables!$A$229</definedName>
    <definedName name="_Toc18127489" localSheetId="13">Tables!$A$56</definedName>
    <definedName name="_Toc18207243" localSheetId="13">Tables!$B$56</definedName>
    <definedName name="_Toc18207244" localSheetId="13">Tables!$A$73</definedName>
    <definedName name="_Toc18207246" localSheetId="13">Tables!$A$108</definedName>
    <definedName name="_Toc18207247" localSheetId="13">Tables!$A$109</definedName>
    <definedName name="_Toc18207248" localSheetId="13">Tables!$A$123</definedName>
    <definedName name="_Toc18207249" localSheetId="13">Tables!$A$140</definedName>
    <definedName name="_Toc18207251" localSheetId="13">Tables!$A$176</definedName>
    <definedName name="_Toc18207253" localSheetId="13">Tables!$A$211</definedName>
    <definedName name="_Toc18207255" localSheetId="13">Tables!$A$246</definedName>
    <definedName name="OG">#REF!</definedName>
    <definedName name="_xlnm.Print_Area" localSheetId="3">'overview &amp; guide'!$B$2:$O$29</definedName>
    <definedName name="_xlnm.Print_Area" localSheetId="4">'SP5-1'!$A$2:$O$43</definedName>
    <definedName name="_xlnm.Print_Area" localSheetId="5">'SP5-2'!$A$2:$T$34</definedName>
    <definedName name="_xlnm.Print_Area" localSheetId="6">'SP5-3 (1)'!$A$2:$T$28</definedName>
    <definedName name="_xlnm.Print_Area" localSheetId="7">'SP5-3 (2)'!$A$2:$T$28</definedName>
    <definedName name="_xlnm.Print_Area" localSheetId="8">'SP5-3 (3)'!$A$2:$T$28</definedName>
    <definedName name="_xlnm.Print_Area" localSheetId="9">'SP5-4'!$A$2:$O$24</definedName>
    <definedName name="_xlnm.Print_Area" localSheetId="10">'SP5-5'!$A$2:$O$21</definedName>
    <definedName name="_xlnm.Print_Area" localSheetId="11">'SP5-6'!$A$2:$R$42</definedName>
    <definedName name="_xlnm.Print_Area" localSheetId="12">'SP5-7'!$A$2:$I$29</definedName>
    <definedName name="_xlnm.Print_Area" localSheetId="2">'W1 - Summary_Upload'!$D$1:$J$92</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N2" i="68" l="1"/>
  <c r="E74" i="77" l="1"/>
  <c r="C74" i="77"/>
  <c r="K17" i="76"/>
  <c r="L17" i="76"/>
  <c r="M17" i="76"/>
  <c r="N17" i="76"/>
  <c r="J17" i="76"/>
  <c r="K20" i="75"/>
  <c r="L20" i="75"/>
  <c r="M20" i="75"/>
  <c r="N20" i="75"/>
  <c r="J20" i="75"/>
  <c r="N15" i="85"/>
  <c r="N16" i="85"/>
  <c r="N17" i="85"/>
  <c r="N18" i="85"/>
  <c r="N19" i="85"/>
  <c r="N20" i="85"/>
  <c r="N21" i="85"/>
  <c r="N15" i="84"/>
  <c r="N16" i="84"/>
  <c r="N17" i="84"/>
  <c r="N18" i="84"/>
  <c r="N19" i="84"/>
  <c r="N20" i="84"/>
  <c r="N21" i="84"/>
  <c r="R25" i="62"/>
  <c r="R26" i="62"/>
  <c r="R27" i="62"/>
  <c r="R28" i="62"/>
  <c r="R29" i="62"/>
  <c r="R30" i="62"/>
  <c r="R31" i="62"/>
  <c r="R32" i="62"/>
  <c r="N22" i="85" s="1"/>
  <c r="R24" i="62"/>
  <c r="N14" i="85" s="1"/>
  <c r="Q25" i="62"/>
  <c r="Q26" i="62"/>
  <c r="Q27" i="62"/>
  <c r="Q28" i="62"/>
  <c r="Q29" i="62"/>
  <c r="Q30" i="62"/>
  <c r="Q31" i="62"/>
  <c r="Q32" i="62"/>
  <c r="N22" i="84" s="1"/>
  <c r="Q24" i="62"/>
  <c r="N14" i="84" s="1"/>
  <c r="O7" i="85"/>
  <c r="O7" i="84"/>
  <c r="N15" i="71"/>
  <c r="N17" i="71"/>
  <c r="N18" i="71"/>
  <c r="N20" i="71"/>
  <c r="N21" i="71"/>
  <c r="P25" i="62"/>
  <c r="P26" i="62"/>
  <c r="N16" i="71" s="1"/>
  <c r="P27" i="62"/>
  <c r="P28" i="62"/>
  <c r="P29" i="62"/>
  <c r="N19" i="71" s="1"/>
  <c r="P30" i="62"/>
  <c r="P31" i="62"/>
  <c r="P32" i="62"/>
  <c r="N22" i="71" s="1"/>
  <c r="P24" i="62"/>
  <c r="N14" i="71" s="1"/>
  <c r="O7" i="71"/>
  <c r="O25" i="62"/>
  <c r="N20" i="70" s="1"/>
  <c r="O26" i="62"/>
  <c r="N21" i="70" s="1"/>
  <c r="O27" i="62"/>
  <c r="O28" i="62"/>
  <c r="N23" i="70" s="1"/>
  <c r="O29" i="62"/>
  <c r="O30" i="62"/>
  <c r="N25" i="70" s="1"/>
  <c r="O31" i="62"/>
  <c r="N26" i="70" s="1"/>
  <c r="O32" i="62"/>
  <c r="N27" i="70" s="1"/>
  <c r="O24" i="62"/>
  <c r="N19" i="70" s="1"/>
  <c r="N22" i="70"/>
  <c r="N24" i="70"/>
  <c r="E56" i="69"/>
  <c r="C56" i="69"/>
  <c r="O13" i="62"/>
  <c r="O11" i="62"/>
  <c r="O6" i="62"/>
  <c r="O12" i="62" s="1"/>
  <c r="O5" i="62"/>
  <c r="O14" i="62" l="1"/>
  <c r="F74" i="77" s="1"/>
  <c r="D56" i="69"/>
  <c r="D74" i="77"/>
  <c r="O10" i="84"/>
  <c r="O10" i="71"/>
  <c r="O14" i="70"/>
  <c r="O10" i="85"/>
  <c r="F56" i="69"/>
  <c r="H262" i="62"/>
  <c r="G262" i="62"/>
  <c r="F262" i="62"/>
  <c r="E262" i="62"/>
  <c r="D262" i="62"/>
  <c r="C262" i="62"/>
  <c r="H261" i="62"/>
  <c r="G261" i="62"/>
  <c r="F261" i="62"/>
  <c r="E261" i="62"/>
  <c r="D261" i="62"/>
  <c r="C261" i="62"/>
  <c r="H260" i="62"/>
  <c r="G260" i="62"/>
  <c r="F260" i="62"/>
  <c r="E260" i="62"/>
  <c r="D260" i="62"/>
  <c r="C260" i="62"/>
  <c r="H259" i="62"/>
  <c r="G259" i="62"/>
  <c r="F259" i="62"/>
  <c r="E259" i="62"/>
  <c r="D259" i="62"/>
  <c r="C259" i="62"/>
  <c r="H258" i="62"/>
  <c r="G258" i="62"/>
  <c r="F258" i="62"/>
  <c r="E258" i="62"/>
  <c r="D258" i="62"/>
  <c r="C258" i="62"/>
  <c r="H257" i="62"/>
  <c r="G257" i="62"/>
  <c r="F257" i="62"/>
  <c r="E257" i="62"/>
  <c r="D257" i="62"/>
  <c r="C257" i="62"/>
  <c r="H256" i="62"/>
  <c r="G256" i="62"/>
  <c r="F256" i="62"/>
  <c r="E256" i="62"/>
  <c r="D256" i="62"/>
  <c r="C256" i="62"/>
  <c r="H255" i="62"/>
  <c r="G255" i="62"/>
  <c r="F255" i="62"/>
  <c r="E255" i="62"/>
  <c r="D255" i="62"/>
  <c r="C255" i="62"/>
  <c r="H254" i="62"/>
  <c r="G254" i="62"/>
  <c r="F254" i="62"/>
  <c r="E254" i="62"/>
  <c r="D254" i="62"/>
  <c r="C254" i="62"/>
  <c r="H253" i="62"/>
  <c r="G253" i="62"/>
  <c r="F253" i="62"/>
  <c r="E253" i="62"/>
  <c r="D253" i="62"/>
  <c r="C253" i="62"/>
  <c r="H252" i="62"/>
  <c r="G252" i="62"/>
  <c r="F252" i="62"/>
  <c r="E252" i="62"/>
  <c r="D252" i="62"/>
  <c r="C252" i="62"/>
  <c r="H251" i="62"/>
  <c r="G251" i="62"/>
  <c r="F251" i="62"/>
  <c r="E251" i="62"/>
  <c r="D251" i="62"/>
  <c r="C251" i="62"/>
  <c r="H250" i="62"/>
  <c r="G250" i="62"/>
  <c r="F250" i="62"/>
  <c r="E250" i="62"/>
  <c r="D250" i="62"/>
  <c r="C250" i="62"/>
  <c r="A250" i="62" a="1"/>
  <c r="A250" i="62" s="1"/>
  <c r="A249" i="62" a="1"/>
  <c r="A249" i="62" s="1"/>
  <c r="A248" i="62"/>
  <c r="B247" i="62"/>
  <c r="H245" i="62"/>
  <c r="G245" i="62"/>
  <c r="F245" i="62"/>
  <c r="E245" i="62"/>
  <c r="D245" i="62"/>
  <c r="C245" i="62"/>
  <c r="H244" i="62"/>
  <c r="G244" i="62"/>
  <c r="F244" i="62"/>
  <c r="E244" i="62"/>
  <c r="D244" i="62"/>
  <c r="C244" i="62"/>
  <c r="H243" i="62"/>
  <c r="G243" i="62"/>
  <c r="F243" i="62"/>
  <c r="E243" i="62"/>
  <c r="D243" i="62"/>
  <c r="C243" i="62"/>
  <c r="H242" i="62"/>
  <c r="G242" i="62"/>
  <c r="F242" i="62"/>
  <c r="E242" i="62"/>
  <c r="D242" i="62"/>
  <c r="C242" i="62"/>
  <c r="H241" i="62"/>
  <c r="G241" i="62"/>
  <c r="F241" i="62"/>
  <c r="E241" i="62"/>
  <c r="D241" i="62"/>
  <c r="C241" i="62"/>
  <c r="H240" i="62"/>
  <c r="G240" i="62"/>
  <c r="F240" i="62"/>
  <c r="E240" i="62"/>
  <c r="D240" i="62"/>
  <c r="C240" i="62"/>
  <c r="H239" i="62"/>
  <c r="G239" i="62"/>
  <c r="F239" i="62"/>
  <c r="E239" i="62"/>
  <c r="D239" i="62"/>
  <c r="C239" i="62"/>
  <c r="H238" i="62"/>
  <c r="G238" i="62"/>
  <c r="F238" i="62"/>
  <c r="E238" i="62"/>
  <c r="D238" i="62"/>
  <c r="C238" i="62"/>
  <c r="H237" i="62"/>
  <c r="G237" i="62"/>
  <c r="F237" i="62"/>
  <c r="E237" i="62"/>
  <c r="D237" i="62"/>
  <c r="C237" i="62"/>
  <c r="H236" i="62"/>
  <c r="G236" i="62"/>
  <c r="F236" i="62"/>
  <c r="E236" i="62"/>
  <c r="D236" i="62"/>
  <c r="C236" i="62"/>
  <c r="H235" i="62"/>
  <c r="G235" i="62"/>
  <c r="F235" i="62"/>
  <c r="E235" i="62"/>
  <c r="D235" i="62"/>
  <c r="C235" i="62"/>
  <c r="H234" i="62"/>
  <c r="G234" i="62"/>
  <c r="F234" i="62"/>
  <c r="E234" i="62"/>
  <c r="D234" i="62"/>
  <c r="C234" i="62"/>
  <c r="H233" i="62"/>
  <c r="G233" i="62"/>
  <c r="F233" i="62"/>
  <c r="E233" i="62"/>
  <c r="D233" i="62"/>
  <c r="C233" i="62"/>
  <c r="A233" i="62" a="1"/>
  <c r="A233" i="62" s="1"/>
  <c r="A232" i="62" a="1"/>
  <c r="A232" i="62" s="1"/>
  <c r="A231" i="62"/>
  <c r="B230" i="62"/>
  <c r="H227" i="62"/>
  <c r="G227" i="62"/>
  <c r="F227" i="62"/>
  <c r="E227" i="62"/>
  <c r="D227" i="62"/>
  <c r="C227" i="62"/>
  <c r="H226" i="62"/>
  <c r="G226" i="62"/>
  <c r="F226" i="62"/>
  <c r="E226" i="62"/>
  <c r="D226" i="62"/>
  <c r="C226" i="62"/>
  <c r="H225" i="62"/>
  <c r="G225" i="62"/>
  <c r="F225" i="62"/>
  <c r="E225" i="62"/>
  <c r="D225" i="62"/>
  <c r="C225" i="62"/>
  <c r="H224" i="62"/>
  <c r="G224" i="62"/>
  <c r="F224" i="62"/>
  <c r="E224" i="62"/>
  <c r="D224" i="62"/>
  <c r="C224" i="62"/>
  <c r="H223" i="62"/>
  <c r="G223" i="62"/>
  <c r="F223" i="62"/>
  <c r="E223" i="62"/>
  <c r="D223" i="62"/>
  <c r="C223" i="62"/>
  <c r="H222" i="62"/>
  <c r="G222" i="62"/>
  <c r="F222" i="62"/>
  <c r="E222" i="62"/>
  <c r="D222" i="62"/>
  <c r="C222" i="62"/>
  <c r="H221" i="62"/>
  <c r="G221" i="62"/>
  <c r="F221" i="62"/>
  <c r="E221" i="62"/>
  <c r="D221" i="62"/>
  <c r="C221" i="62"/>
  <c r="H220" i="62"/>
  <c r="G220" i="62"/>
  <c r="F220" i="62"/>
  <c r="E220" i="62"/>
  <c r="D220" i="62"/>
  <c r="C220" i="62"/>
  <c r="H219" i="62"/>
  <c r="G219" i="62"/>
  <c r="F219" i="62"/>
  <c r="E219" i="62"/>
  <c r="D219" i="62"/>
  <c r="C219" i="62"/>
  <c r="H218" i="62"/>
  <c r="G218" i="62"/>
  <c r="F218" i="62"/>
  <c r="E218" i="62"/>
  <c r="D218" i="62"/>
  <c r="C218" i="62"/>
  <c r="H217" i="62"/>
  <c r="G217" i="62"/>
  <c r="F217" i="62"/>
  <c r="E217" i="62"/>
  <c r="D217" i="62"/>
  <c r="C217" i="62"/>
  <c r="H216" i="62"/>
  <c r="G216" i="62"/>
  <c r="F216" i="62"/>
  <c r="E216" i="62"/>
  <c r="D216" i="62"/>
  <c r="C216" i="62"/>
  <c r="H215" i="62"/>
  <c r="G215" i="62"/>
  <c r="F215" i="62"/>
  <c r="E215" i="62"/>
  <c r="D215" i="62"/>
  <c r="C215" i="62"/>
  <c r="A215" i="62" a="1"/>
  <c r="A215" i="62" s="1"/>
  <c r="A214" i="62" a="1"/>
  <c r="A214" i="62" s="1"/>
  <c r="A213" i="62"/>
  <c r="B212" i="62"/>
  <c r="H210" i="62"/>
  <c r="G210" i="62"/>
  <c r="F210" i="62"/>
  <c r="E210" i="62"/>
  <c r="D210" i="62"/>
  <c r="C210" i="62"/>
  <c r="H209" i="62"/>
  <c r="G209" i="62"/>
  <c r="F209" i="62"/>
  <c r="E209" i="62"/>
  <c r="D209" i="62"/>
  <c r="C209" i="62"/>
  <c r="H208" i="62"/>
  <c r="G208" i="62"/>
  <c r="F208" i="62"/>
  <c r="E208" i="62"/>
  <c r="D208" i="62"/>
  <c r="C208" i="62"/>
  <c r="H207" i="62"/>
  <c r="G207" i="62"/>
  <c r="F207" i="62"/>
  <c r="E207" i="62"/>
  <c r="D207" i="62"/>
  <c r="C207" i="62"/>
  <c r="H206" i="62"/>
  <c r="G206" i="62"/>
  <c r="F206" i="62"/>
  <c r="E206" i="62"/>
  <c r="D206" i="62"/>
  <c r="C206" i="62"/>
  <c r="H205" i="62"/>
  <c r="G205" i="62"/>
  <c r="F205" i="62"/>
  <c r="E205" i="62"/>
  <c r="D205" i="62"/>
  <c r="C205" i="62"/>
  <c r="H204" i="62"/>
  <c r="G204" i="62"/>
  <c r="F204" i="62"/>
  <c r="E204" i="62"/>
  <c r="D204" i="62"/>
  <c r="C204" i="62"/>
  <c r="H203" i="62"/>
  <c r="G203" i="62"/>
  <c r="F203" i="62"/>
  <c r="E203" i="62"/>
  <c r="D203" i="62"/>
  <c r="C203" i="62"/>
  <c r="H202" i="62"/>
  <c r="G202" i="62"/>
  <c r="F202" i="62"/>
  <c r="E202" i="62"/>
  <c r="D202" i="62"/>
  <c r="C202" i="62"/>
  <c r="H201" i="62"/>
  <c r="G201" i="62"/>
  <c r="F201" i="62"/>
  <c r="E201" i="62"/>
  <c r="D201" i="62"/>
  <c r="C201" i="62"/>
  <c r="H200" i="62"/>
  <c r="G200" i="62"/>
  <c r="F200" i="62"/>
  <c r="E200" i="62"/>
  <c r="D200" i="62"/>
  <c r="C200" i="62"/>
  <c r="H199" i="62"/>
  <c r="G199" i="62"/>
  <c r="F199" i="62"/>
  <c r="E199" i="62"/>
  <c r="D199" i="62"/>
  <c r="C199" i="62"/>
  <c r="H198" i="62"/>
  <c r="G198" i="62"/>
  <c r="F198" i="62"/>
  <c r="E198" i="62"/>
  <c r="D198" i="62"/>
  <c r="C198" i="62"/>
  <c r="A198" i="62" a="1"/>
  <c r="A198" i="62" s="1"/>
  <c r="A197" i="62" a="1"/>
  <c r="A197" i="62" s="1"/>
  <c r="A196" i="62"/>
  <c r="B195" i="62"/>
  <c r="H192" i="62"/>
  <c r="G192" i="62"/>
  <c r="F192" i="62"/>
  <c r="E192" i="62"/>
  <c r="D192" i="62"/>
  <c r="C192" i="62"/>
  <c r="H191" i="62"/>
  <c r="G191" i="62"/>
  <c r="F191" i="62"/>
  <c r="E191" i="62"/>
  <c r="D191" i="62"/>
  <c r="C191" i="62"/>
  <c r="H190" i="62"/>
  <c r="G190" i="62"/>
  <c r="F190" i="62"/>
  <c r="E190" i="62"/>
  <c r="D190" i="62"/>
  <c r="C190" i="62"/>
  <c r="H189" i="62"/>
  <c r="G189" i="62"/>
  <c r="F189" i="62"/>
  <c r="E189" i="62"/>
  <c r="D189" i="62"/>
  <c r="C189" i="62"/>
  <c r="H188" i="62"/>
  <c r="G188" i="62"/>
  <c r="F188" i="62"/>
  <c r="E188" i="62"/>
  <c r="D188" i="62"/>
  <c r="C188" i="62"/>
  <c r="H187" i="62"/>
  <c r="G187" i="62"/>
  <c r="F187" i="62"/>
  <c r="E187" i="62"/>
  <c r="D187" i="62"/>
  <c r="C187" i="62"/>
  <c r="H186" i="62"/>
  <c r="G186" i="62"/>
  <c r="F186" i="62"/>
  <c r="E186" i="62"/>
  <c r="D186" i="62"/>
  <c r="C186" i="62"/>
  <c r="H185" i="62"/>
  <c r="G185" i="62"/>
  <c r="F185" i="62"/>
  <c r="E185" i="62"/>
  <c r="D185" i="62"/>
  <c r="C185" i="62"/>
  <c r="H184" i="62"/>
  <c r="G184" i="62"/>
  <c r="F184" i="62"/>
  <c r="E184" i="62"/>
  <c r="D184" i="62"/>
  <c r="C184" i="62"/>
  <c r="H183" i="62"/>
  <c r="G183" i="62"/>
  <c r="F183" i="62"/>
  <c r="E183" i="62"/>
  <c r="D183" i="62"/>
  <c r="C183" i="62"/>
  <c r="H182" i="62"/>
  <c r="G182" i="62"/>
  <c r="F182" i="62"/>
  <c r="E182" i="62"/>
  <c r="D182" i="62"/>
  <c r="C182" i="62"/>
  <c r="H181" i="62"/>
  <c r="G181" i="62"/>
  <c r="F181" i="62"/>
  <c r="E181" i="62"/>
  <c r="D181" i="62"/>
  <c r="C181" i="62"/>
  <c r="H180" i="62"/>
  <c r="G180" i="62"/>
  <c r="F180" i="62"/>
  <c r="E180" i="62"/>
  <c r="D180" i="62"/>
  <c r="C180" i="62"/>
  <c r="A180" i="62" a="1"/>
  <c r="A180" i="62" s="1"/>
  <c r="A179" i="62" a="1"/>
  <c r="A179" i="62" s="1"/>
  <c r="A178" i="62"/>
  <c r="B177" i="62"/>
  <c r="H175" i="62"/>
  <c r="G175" i="62"/>
  <c r="F175" i="62"/>
  <c r="E175" i="62"/>
  <c r="D175" i="62"/>
  <c r="C175" i="62"/>
  <c r="H174" i="62"/>
  <c r="G174" i="62"/>
  <c r="F174" i="62"/>
  <c r="E174" i="62"/>
  <c r="D174" i="62"/>
  <c r="C174" i="62"/>
  <c r="H173" i="62"/>
  <c r="G173" i="62"/>
  <c r="F173" i="62"/>
  <c r="E173" i="62"/>
  <c r="D173" i="62"/>
  <c r="C173" i="62"/>
  <c r="H172" i="62"/>
  <c r="G172" i="62"/>
  <c r="F172" i="62"/>
  <c r="E172" i="62"/>
  <c r="D172" i="62"/>
  <c r="C172" i="62"/>
  <c r="H171" i="62"/>
  <c r="G171" i="62"/>
  <c r="F171" i="62"/>
  <c r="E171" i="62"/>
  <c r="D171" i="62"/>
  <c r="C171" i="62"/>
  <c r="H170" i="62"/>
  <c r="G170" i="62"/>
  <c r="F170" i="62"/>
  <c r="E170" i="62"/>
  <c r="D170" i="62"/>
  <c r="C170" i="62"/>
  <c r="H169" i="62"/>
  <c r="G169" i="62"/>
  <c r="F169" i="62"/>
  <c r="E169" i="62"/>
  <c r="D169" i="62"/>
  <c r="C169" i="62"/>
  <c r="H168" i="62"/>
  <c r="G168" i="62"/>
  <c r="F168" i="62"/>
  <c r="E168" i="62"/>
  <c r="D168" i="62"/>
  <c r="C168" i="62"/>
  <c r="H167" i="62"/>
  <c r="G167" i="62"/>
  <c r="F167" i="62"/>
  <c r="E167" i="62"/>
  <c r="D167" i="62"/>
  <c r="C167" i="62"/>
  <c r="H166" i="62"/>
  <c r="G166" i="62"/>
  <c r="F166" i="62"/>
  <c r="E166" i="62"/>
  <c r="D166" i="62"/>
  <c r="C166" i="62"/>
  <c r="H165" i="62"/>
  <c r="G165" i="62"/>
  <c r="F165" i="62"/>
  <c r="E165" i="62"/>
  <c r="D165" i="62"/>
  <c r="C165" i="62"/>
  <c r="H164" i="62"/>
  <c r="G164" i="62"/>
  <c r="F164" i="62"/>
  <c r="E164" i="62"/>
  <c r="D164" i="62"/>
  <c r="C164" i="62"/>
  <c r="H163" i="62"/>
  <c r="G163" i="62"/>
  <c r="F163" i="62"/>
  <c r="E163" i="62"/>
  <c r="D163" i="62"/>
  <c r="C163" i="62"/>
  <c r="A163" i="62" a="1"/>
  <c r="A163" i="62" s="1"/>
  <c r="A162" i="62" a="1"/>
  <c r="A162" i="62" s="1"/>
  <c r="A160" i="62"/>
  <c r="B159" i="62"/>
  <c r="H156" i="62"/>
  <c r="G156" i="62"/>
  <c r="F156" i="62"/>
  <c r="E156" i="62"/>
  <c r="D156" i="62"/>
  <c r="C156" i="62"/>
  <c r="H155" i="62"/>
  <c r="G155" i="62"/>
  <c r="F155" i="62"/>
  <c r="E155" i="62"/>
  <c r="D155" i="62"/>
  <c r="C155" i="62"/>
  <c r="H154" i="62"/>
  <c r="G154" i="62"/>
  <c r="F154" i="62"/>
  <c r="E154" i="62"/>
  <c r="D154" i="62"/>
  <c r="C154" i="62"/>
  <c r="H153" i="62"/>
  <c r="G153" i="62"/>
  <c r="F153" i="62"/>
  <c r="E153" i="62"/>
  <c r="D153" i="62"/>
  <c r="C153" i="62"/>
  <c r="H152" i="62"/>
  <c r="G152" i="62"/>
  <c r="F152" i="62"/>
  <c r="E152" i="62"/>
  <c r="D152" i="62"/>
  <c r="C152" i="62"/>
  <c r="H151" i="62"/>
  <c r="G151" i="62"/>
  <c r="F151" i="62"/>
  <c r="E151" i="62"/>
  <c r="D151" i="62"/>
  <c r="C151" i="62"/>
  <c r="H150" i="62"/>
  <c r="G150" i="62"/>
  <c r="F150" i="62"/>
  <c r="E150" i="62"/>
  <c r="D150" i="62"/>
  <c r="C150" i="62"/>
  <c r="H149" i="62"/>
  <c r="G149" i="62"/>
  <c r="F149" i="62"/>
  <c r="E149" i="62"/>
  <c r="D149" i="62"/>
  <c r="C149" i="62"/>
  <c r="H148" i="62"/>
  <c r="G148" i="62"/>
  <c r="F148" i="62"/>
  <c r="E148" i="62"/>
  <c r="D148" i="62"/>
  <c r="C148" i="62"/>
  <c r="H147" i="62"/>
  <c r="G147" i="62"/>
  <c r="F147" i="62"/>
  <c r="E147" i="62"/>
  <c r="D147" i="62"/>
  <c r="C147" i="62"/>
  <c r="H146" i="62"/>
  <c r="G146" i="62"/>
  <c r="F146" i="62"/>
  <c r="E146" i="62"/>
  <c r="D146" i="62"/>
  <c r="C146" i="62"/>
  <c r="H145" i="62"/>
  <c r="G145" i="62"/>
  <c r="F145" i="62"/>
  <c r="E145" i="62"/>
  <c r="D145" i="62"/>
  <c r="C145" i="62"/>
  <c r="H144" i="62"/>
  <c r="G144" i="62"/>
  <c r="F144" i="62"/>
  <c r="E144" i="62"/>
  <c r="D144" i="62"/>
  <c r="C144" i="62"/>
  <c r="A144" i="62" a="1"/>
  <c r="A144" i="62" s="1"/>
  <c r="A143" i="62" a="1"/>
  <c r="A143" i="62" s="1"/>
  <c r="A142" i="62"/>
  <c r="B141" i="62"/>
  <c r="H139" i="62"/>
  <c r="G139" i="62"/>
  <c r="F139" i="62"/>
  <c r="E139" i="62"/>
  <c r="D139" i="62"/>
  <c r="C139" i="62"/>
  <c r="H138" i="62"/>
  <c r="G138" i="62"/>
  <c r="F138" i="62"/>
  <c r="E138" i="62"/>
  <c r="D138" i="62"/>
  <c r="C138" i="62"/>
  <c r="H137" i="62"/>
  <c r="G137" i="62"/>
  <c r="F137" i="62"/>
  <c r="E137" i="62"/>
  <c r="D137" i="62"/>
  <c r="C137" i="62"/>
  <c r="H136" i="62"/>
  <c r="G136" i="62"/>
  <c r="F136" i="62"/>
  <c r="E136" i="62"/>
  <c r="D136" i="62"/>
  <c r="C136" i="62"/>
  <c r="H135" i="62"/>
  <c r="G135" i="62"/>
  <c r="F135" i="62"/>
  <c r="E135" i="62"/>
  <c r="D135" i="62"/>
  <c r="C135" i="62"/>
  <c r="H134" i="62"/>
  <c r="G134" i="62"/>
  <c r="F134" i="62"/>
  <c r="E134" i="62"/>
  <c r="D134" i="62"/>
  <c r="C134" i="62"/>
  <c r="H133" i="62"/>
  <c r="G133" i="62"/>
  <c r="F133" i="62"/>
  <c r="E133" i="62"/>
  <c r="D133" i="62"/>
  <c r="C133" i="62"/>
  <c r="H132" i="62"/>
  <c r="G132" i="62"/>
  <c r="F132" i="62"/>
  <c r="E132" i="62"/>
  <c r="D132" i="62"/>
  <c r="C132" i="62"/>
  <c r="H131" i="62"/>
  <c r="G131" i="62"/>
  <c r="F131" i="62"/>
  <c r="E131" i="62"/>
  <c r="D131" i="62"/>
  <c r="C131" i="62"/>
  <c r="H130" i="62"/>
  <c r="G130" i="62"/>
  <c r="F130" i="62"/>
  <c r="E130" i="62"/>
  <c r="D130" i="62"/>
  <c r="C130" i="62"/>
  <c r="H129" i="62"/>
  <c r="G129" i="62"/>
  <c r="F129" i="62"/>
  <c r="E129" i="62"/>
  <c r="D129" i="62"/>
  <c r="C129" i="62"/>
  <c r="H128" i="62"/>
  <c r="G128" i="62"/>
  <c r="F128" i="62"/>
  <c r="E128" i="62"/>
  <c r="D128" i="62"/>
  <c r="C128" i="62"/>
  <c r="H127" i="62"/>
  <c r="G127" i="62"/>
  <c r="F127" i="62"/>
  <c r="E127" i="62"/>
  <c r="D127" i="62"/>
  <c r="C127" i="62"/>
  <c r="A127" i="62" a="1"/>
  <c r="A127" i="62" s="1"/>
  <c r="A125" i="62"/>
  <c r="A125" i="62" a="1"/>
  <c r="A124" i="62"/>
  <c r="B123" i="62"/>
  <c r="J36" i="77"/>
  <c r="J26" i="77"/>
  <c r="L37" i="77"/>
  <c r="N37" i="77"/>
  <c r="P37" i="77"/>
  <c r="J37" i="77"/>
  <c r="L27" i="77"/>
  <c r="N27" i="77"/>
  <c r="P27" i="77"/>
  <c r="O15" i="62"/>
  <c r="I24" i="2" l="1"/>
  <c r="F10" i="2"/>
  <c r="D68" i="77" l="1"/>
  <c r="D70" i="77"/>
  <c r="C70" i="77"/>
  <c r="F270" i="62"/>
  <c r="J127" i="62"/>
  <c r="N18" i="77"/>
  <c r="F8" i="2"/>
  <c r="F12" i="2" s="1"/>
  <c r="G323" i="62"/>
  <c r="H323" i="62" s="1"/>
  <c r="G331" i="62"/>
  <c r="H331" i="62" s="1"/>
  <c r="H330" i="62"/>
  <c r="G330" i="62"/>
  <c r="G329" i="62"/>
  <c r="H329" i="62" s="1"/>
  <c r="G328" i="62"/>
  <c r="H328" i="62" s="1"/>
  <c r="G327" i="62"/>
  <c r="H327" i="62" s="1"/>
  <c r="H326" i="62"/>
  <c r="G326" i="62"/>
  <c r="G325" i="62"/>
  <c r="H325" i="62" s="1"/>
  <c r="G324" i="62"/>
  <c r="H324" i="62" s="1"/>
  <c r="F324" i="62"/>
  <c r="F325" i="62"/>
  <c r="F326" i="62"/>
  <c r="F327" i="62"/>
  <c r="F328" i="62"/>
  <c r="F329" i="62"/>
  <c r="F330" i="62"/>
  <c r="F331" i="62"/>
  <c r="F323" i="62"/>
  <c r="M127" i="62"/>
  <c r="I128" i="62"/>
  <c r="I127" i="62"/>
  <c r="I129" i="62" l="1"/>
  <c r="J128" i="62" s="1"/>
  <c r="J25" i="77" s="1"/>
  <c r="H270" i="62"/>
  <c r="L17" i="77" s="1"/>
  <c r="G270" i="62"/>
  <c r="J17" i="77" l="1"/>
  <c r="J18" i="77" s="1"/>
  <c r="J19" i="77" s="1"/>
  <c r="B52" i="62"/>
  <c r="A52" i="62"/>
  <c r="C46" i="62"/>
  <c r="A32" i="62"/>
  <c r="E3" i="2"/>
  <c r="G25" i="85"/>
  <c r="Q12" i="85"/>
  <c r="G10" i="85"/>
  <c r="Q7" i="85"/>
  <c r="Q2" i="85"/>
  <c r="G25" i="84"/>
  <c r="Q12" i="84"/>
  <c r="G10" i="84"/>
  <c r="Q7" i="84"/>
  <c r="Q2" i="84"/>
  <c r="Q7" i="71"/>
  <c r="G58" i="67" s="1"/>
  <c r="C60" i="67" s="1"/>
  <c r="P32" i="77"/>
  <c r="N32" i="77"/>
  <c r="L32" i="77"/>
  <c r="J32" i="77"/>
  <c r="J35" i="77"/>
  <c r="N19" i="77"/>
  <c r="P18" i="77"/>
  <c r="P19" i="77" s="1"/>
  <c r="L18" i="77"/>
  <c r="L19" i="77" s="1"/>
  <c r="I28" i="78"/>
  <c r="H28" i="78"/>
  <c r="G28" i="78"/>
  <c r="I27" i="78"/>
  <c r="H27" i="78"/>
  <c r="G27" i="78"/>
  <c r="H26" i="78"/>
  <c r="G26" i="78"/>
  <c r="I26" i="78" s="1"/>
  <c r="H25" i="78"/>
  <c r="G25" i="78"/>
  <c r="I25" i="78" s="1"/>
  <c r="H19" i="78"/>
  <c r="G19" i="78"/>
  <c r="I17" i="78"/>
  <c r="I19" i="78" s="1"/>
  <c r="H17" i="78"/>
  <c r="G17" i="78"/>
  <c r="F17" i="78"/>
  <c r="F19" i="78" s="1"/>
  <c r="E17" i="78"/>
  <c r="I13" i="78"/>
  <c r="H13" i="78"/>
  <c r="G13" i="78"/>
  <c r="F13" i="78"/>
  <c r="E13" i="78"/>
  <c r="D6" i="78"/>
  <c r="D5" i="78"/>
  <c r="H2" i="78"/>
  <c r="N10" i="77"/>
  <c r="O2" i="77"/>
  <c r="N16" i="76"/>
  <c r="M16" i="76"/>
  <c r="L16" i="76"/>
  <c r="K16" i="76"/>
  <c r="J16" i="76"/>
  <c r="M2" i="76"/>
  <c r="N19" i="75"/>
  <c r="M19" i="75"/>
  <c r="L19" i="75"/>
  <c r="K19" i="75"/>
  <c r="J19" i="75"/>
  <c r="M2" i="75"/>
  <c r="G25" i="71"/>
  <c r="Q12" i="71"/>
  <c r="G10" i="71"/>
  <c r="Q2" i="71"/>
  <c r="Q16" i="70"/>
  <c r="Q2" i="70"/>
  <c r="K56" i="69"/>
  <c r="C111" i="67"/>
  <c r="C110" i="67"/>
  <c r="C109" i="67"/>
  <c r="C108" i="67"/>
  <c r="C107" i="67"/>
  <c r="C106" i="67"/>
  <c r="C105" i="67"/>
  <c r="C104" i="67"/>
  <c r="C103" i="67"/>
  <c r="C102" i="67"/>
  <c r="C101" i="67"/>
  <c r="C100" i="67"/>
  <c r="C99" i="67"/>
  <c r="C98" i="67"/>
  <c r="C97" i="67"/>
  <c r="C90" i="67"/>
  <c r="C89" i="67"/>
  <c r="C87" i="67"/>
  <c r="C84" i="67"/>
  <c r="C83" i="67"/>
  <c r="C82" i="67"/>
  <c r="C81" i="67"/>
  <c r="C80" i="67"/>
  <c r="C79" i="67"/>
  <c r="C78" i="67"/>
  <c r="C77" i="67"/>
  <c r="C76" i="67"/>
  <c r="C75" i="67"/>
  <c r="C74" i="67"/>
  <c r="C73" i="67"/>
  <c r="C72" i="67"/>
  <c r="C71" i="67"/>
  <c r="C70" i="67"/>
  <c r="C66" i="67"/>
  <c r="C65" i="67"/>
  <c r="C59" i="67"/>
  <c r="C57" i="67"/>
  <c r="G56" i="67"/>
  <c r="C58" i="67" s="1"/>
  <c r="C56" i="67"/>
  <c r="C55" i="67"/>
  <c r="C54" i="67"/>
  <c r="I47" i="67"/>
  <c r="C45" i="67" s="1"/>
  <c r="H47" i="67"/>
  <c r="C44" i="67" s="1"/>
  <c r="G47" i="67"/>
  <c r="C43" i="67" s="1"/>
  <c r="F47" i="67"/>
  <c r="C42" i="67" s="1"/>
  <c r="C41" i="67"/>
  <c r="C40" i="67"/>
  <c r="C39" i="67"/>
  <c r="C38" i="67"/>
  <c r="C37" i="67"/>
  <c r="C36" i="67"/>
  <c r="C35" i="67"/>
  <c r="F34" i="67"/>
  <c r="C27" i="67" s="1"/>
  <c r="C34" i="67"/>
  <c r="C33" i="67"/>
  <c r="C32" i="67"/>
  <c r="C31" i="67"/>
  <c r="F30" i="67"/>
  <c r="C24" i="67" s="1"/>
  <c r="C30" i="67"/>
  <c r="C29" i="67"/>
  <c r="C28" i="67"/>
  <c r="C26" i="67"/>
  <c r="C25" i="67"/>
  <c r="C23" i="67"/>
  <c r="G22" i="67"/>
  <c r="C6" i="67" s="1"/>
  <c r="F22" i="67"/>
  <c r="C5" i="67" s="1"/>
  <c r="C22" i="67"/>
  <c r="C21" i="67"/>
  <c r="C20" i="67"/>
  <c r="F19" i="67"/>
  <c r="C19" i="67"/>
  <c r="F18" i="67"/>
  <c r="C18" i="67"/>
  <c r="C17" i="67"/>
  <c r="F16" i="67"/>
  <c r="C16" i="67"/>
  <c r="F15" i="67"/>
  <c r="C15" i="67"/>
  <c r="F14" i="67"/>
  <c r="C14" i="67"/>
  <c r="C13" i="67"/>
  <c r="F12" i="67"/>
  <c r="C4" i="67" s="1"/>
  <c r="C12" i="67"/>
  <c r="F11" i="67"/>
  <c r="C11" i="67"/>
  <c r="F10" i="67"/>
  <c r="C3" i="67" s="1"/>
  <c r="C10" i="67"/>
  <c r="C9" i="67"/>
  <c r="F8" i="67"/>
  <c r="C2" i="67" s="1"/>
  <c r="C8" i="67"/>
  <c r="F7" i="67"/>
  <c r="C7" i="67"/>
  <c r="F6" i="67"/>
  <c r="F4" i="67"/>
  <c r="F3" i="67"/>
  <c r="D71" i="77" l="1"/>
  <c r="G74" i="77" s="1"/>
  <c r="J20" i="77"/>
  <c r="G28" i="75"/>
  <c r="D49" i="69" s="1"/>
  <c r="H66" i="67" s="1"/>
  <c r="J21" i="77"/>
  <c r="J23" i="77" s="1"/>
  <c r="G25" i="76"/>
  <c r="D50" i="69" s="1"/>
  <c r="G29" i="75" l="1"/>
  <c r="H49" i="69" s="1"/>
  <c r="I53" i="67" s="1"/>
  <c r="C93" i="67" s="1"/>
  <c r="J33" i="77"/>
  <c r="L21" i="77"/>
  <c r="L23" i="77" s="1"/>
  <c r="L33" i="77" s="1"/>
  <c r="F48" i="67"/>
  <c r="C46" i="67" s="1"/>
  <c r="X38" i="69"/>
  <c r="I52" i="67"/>
  <c r="C92" i="67" s="1"/>
  <c r="H67" i="67"/>
  <c r="C95" i="67" s="1"/>
  <c r="C94" i="67"/>
  <c r="G24" i="2"/>
  <c r="D65" i="77" l="1"/>
  <c r="H51" i="69" s="1"/>
  <c r="I51" i="67" s="1"/>
  <c r="C91" i="67" s="1"/>
  <c r="F49" i="67"/>
  <c r="C50" i="67" s="1"/>
  <c r="X36" i="69"/>
  <c r="X37" i="69"/>
  <c r="H56" i="69"/>
  <c r="Q27" i="70" l="1"/>
  <c r="Q26" i="70"/>
  <c r="Q25" i="70"/>
  <c r="Q24" i="70"/>
  <c r="Q20" i="70"/>
  <c r="B37" i="62"/>
  <c r="Q19" i="85" l="1"/>
  <c r="Q19" i="84"/>
  <c r="Q19" i="71"/>
  <c r="Q14" i="84"/>
  <c r="Q14" i="71"/>
  <c r="Q14" i="85"/>
  <c r="B372" i="62"/>
  <c r="Q16" i="85"/>
  <c r="Q16" i="71"/>
  <c r="Q16" i="84"/>
  <c r="Q18" i="85"/>
  <c r="Q18" i="84"/>
  <c r="Q18" i="71"/>
  <c r="Q20" i="84"/>
  <c r="Q20" i="71"/>
  <c r="Q20" i="85"/>
  <c r="Q22" i="71"/>
  <c r="Q22" i="85"/>
  <c r="Q22" i="84"/>
  <c r="Q17" i="85"/>
  <c r="Q17" i="71"/>
  <c r="Q17" i="84"/>
  <c r="Q21" i="84"/>
  <c r="Q21" i="71"/>
  <c r="Q21" i="85"/>
  <c r="Q15" i="71"/>
  <c r="Q15" i="84"/>
  <c r="Q15" i="85"/>
  <c r="C11" i="62"/>
  <c r="J145" i="62"/>
  <c r="L25" i="77" s="1"/>
  <c r="J164" i="62"/>
  <c r="N25" i="77" s="1"/>
  <c r="C12" i="62"/>
  <c r="J234" i="62"/>
  <c r="N24" i="77" s="1"/>
  <c r="Q23" i="70"/>
  <c r="Q22" i="70"/>
  <c r="Q21" i="70"/>
  <c r="Q19" i="70"/>
  <c r="C52" i="62"/>
  <c r="J251" i="62"/>
  <c r="P24" i="77" s="1"/>
  <c r="J216" i="62"/>
  <c r="L24" i="77" s="1"/>
  <c r="J199" i="62"/>
  <c r="J24" i="77" s="1"/>
  <c r="J181" i="62"/>
  <c r="P25" i="77" s="1"/>
  <c r="Q28" i="70" l="1"/>
  <c r="P35" i="77"/>
  <c r="I49" i="67" s="1"/>
  <c r="C53" i="67" s="1"/>
  <c r="I48" i="67"/>
  <c r="C49" i="67" s="1"/>
  <c r="P34" i="77"/>
  <c r="N35" i="77"/>
  <c r="H49" i="67" s="1"/>
  <c r="C52" i="67" s="1"/>
  <c r="H48" i="67"/>
  <c r="C48" i="67" s="1"/>
  <c r="N34" i="77"/>
  <c r="L35" i="77"/>
  <c r="G49" i="67" s="1"/>
  <c r="C51" i="67" s="1"/>
  <c r="G48" i="67"/>
  <c r="C47" i="67" s="1"/>
  <c r="L34" i="77"/>
  <c r="L28" i="77"/>
  <c r="J34" i="77"/>
  <c r="J38" i="77" s="1"/>
  <c r="J27" i="77"/>
  <c r="J28" i="77" s="1"/>
  <c r="N21" i="77"/>
  <c r="N23" i="77" s="1"/>
  <c r="Q23" i="85"/>
  <c r="Q23" i="71"/>
  <c r="Q23" i="84"/>
  <c r="M20" i="76"/>
  <c r="I22" i="2" s="1"/>
  <c r="M23" i="75" l="1"/>
  <c r="E37" i="69" s="1"/>
  <c r="L38" i="77"/>
  <c r="P21" i="77"/>
  <c r="P23" i="77" s="1"/>
  <c r="P33" i="77" s="1"/>
  <c r="E38" i="69"/>
  <c r="M38" i="69" s="1"/>
  <c r="F67" i="67" s="1"/>
  <c r="C68" i="67" s="1"/>
  <c r="O30" i="70"/>
  <c r="Q30" i="70" s="1"/>
  <c r="Q14" i="70"/>
  <c r="O25" i="84"/>
  <c r="Q25" i="84" s="1"/>
  <c r="Q10" i="84"/>
  <c r="O25" i="85"/>
  <c r="Q25" i="85" s="1"/>
  <c r="Q10" i="85"/>
  <c r="H58" i="69"/>
  <c r="O25" i="71"/>
  <c r="Q25" i="71" s="1"/>
  <c r="Q10" i="71"/>
  <c r="N28" i="77"/>
  <c r="N33" i="77"/>
  <c r="O8" i="62"/>
  <c r="O7" i="62"/>
  <c r="M37" i="69" l="1"/>
  <c r="F66" i="67" s="1"/>
  <c r="C67" i="67" s="1"/>
  <c r="I21" i="2"/>
  <c r="N38" i="77"/>
  <c r="P38" i="77"/>
  <c r="Q27" i="85"/>
  <c r="P28" i="77"/>
  <c r="J29" i="77" s="1"/>
  <c r="Q27" i="84"/>
  <c r="Q33" i="70"/>
  <c r="M34" i="69" s="1"/>
  <c r="G59" i="67"/>
  <c r="C62" i="67" s="1"/>
  <c r="Q27" i="71"/>
  <c r="F60" i="67" l="1"/>
  <c r="C63" i="67" s="1"/>
  <c r="X34" i="69"/>
  <c r="J39" i="77"/>
  <c r="J40" i="77" s="1"/>
  <c r="F59" i="67"/>
  <c r="C61" i="67" s="1"/>
  <c r="X35" i="69"/>
  <c r="M35" i="69"/>
  <c r="M42" i="69" s="1"/>
  <c r="J41" i="77" l="1"/>
  <c r="I17" i="2" s="1"/>
  <c r="D51" i="69"/>
  <c r="H68" i="67" s="1"/>
  <c r="C96" i="67" s="1"/>
  <c r="G60" i="67"/>
  <c r="C64" i="67" s="1"/>
  <c r="J41" i="69"/>
  <c r="F90" i="67"/>
  <c r="C88" i="67" s="1"/>
  <c r="E39" i="69" l="1"/>
  <c r="M39" i="69" s="1"/>
  <c r="J40" i="69" s="1"/>
  <c r="I8" i="2" s="1"/>
  <c r="M40" i="69"/>
  <c r="I11" i="2" s="1"/>
  <c r="I10" i="2"/>
  <c r="H84" i="67"/>
  <c r="C112" i="67" s="1"/>
  <c r="F68" i="67" l="1"/>
  <c r="C69" i="67" s="1"/>
  <c r="F88" i="67"/>
  <c r="C86" i="67" s="1"/>
  <c r="C3" i="2"/>
  <c r="F84" i="67" l="1"/>
  <c r="C85" i="67"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Sara Kilonback</author>
    <author>Shan Lu</author>
  </authors>
  <commentList>
    <comment ref="B4" authorId="0" shapeId="0" xr:uid="{00000000-0006-0000-0000-000001000000}">
      <text>
        <r>
          <rPr>
            <sz val="10"/>
            <color indexed="9"/>
            <rFont val="Calibri"/>
            <family val="2"/>
          </rPr>
          <t>Problem/opportunity statement as defined by the business case.</t>
        </r>
      </text>
    </comment>
    <comment ref="D4" authorId="0" shapeId="0" xr:uid="{00000000-0006-0000-0000-000002000000}">
      <text>
        <r>
          <rPr>
            <sz val="10"/>
            <color indexed="9"/>
            <rFont val="Calibri"/>
            <family val="2"/>
          </rPr>
          <t>The intended outcomes or goals of an investment.</t>
        </r>
      </text>
    </comment>
    <comment ref="F4" authorId="0" shapeId="0" xr:uid="{00000000-0006-0000-0000-000003000000}">
      <text>
        <r>
          <rPr>
            <sz val="10"/>
            <color indexed="9"/>
            <rFont val="Calibri"/>
            <family val="2"/>
          </rPr>
          <t>Summary of how a project gives effect to GPS priorities (high level outcome).</t>
        </r>
      </text>
    </comment>
    <comment ref="H4" authorId="0" shapeId="0" xr:uid="{00000000-0006-0000-0000-000004000000}">
      <text>
        <r>
          <rPr>
            <sz val="10"/>
            <color indexed="9"/>
            <rFont val="Calibri"/>
            <family val="2"/>
          </rPr>
          <t>Summary of how a project gives effect to local community outcomes.</t>
        </r>
      </text>
    </comment>
    <comment ref="B7" authorId="0" shapeId="0" xr:uid="{00000000-0006-0000-0000-000014000000}">
      <text>
        <r>
          <rPr>
            <sz val="10"/>
            <color theme="0"/>
            <rFont val="Calibri"/>
            <family val="2"/>
          </rPr>
          <t>Aggregate description of non-monetised impacts of this option, including quantative and qualitative description.</t>
        </r>
        <r>
          <rPr>
            <sz val="11"/>
            <color theme="0"/>
            <rFont val="Calibri"/>
            <family val="2"/>
          </rPr>
          <t xml:space="preserve">
</t>
        </r>
      </text>
    </comment>
    <comment ref="E7" authorId="0" shapeId="0" xr:uid="{00000000-0006-0000-0000-000015000000}">
      <text>
        <r>
          <rPr>
            <sz val="10"/>
            <color indexed="9"/>
            <rFont val="Calibri"/>
            <family val="2"/>
          </rPr>
          <t xml:space="preserve">Total dollars in nominal, non-discounted terms provided for context only ahead of financial case.
</t>
        </r>
      </text>
    </comment>
    <comment ref="G7" authorId="0" shapeId="0" xr:uid="{00000000-0006-0000-0000-000016000000}">
      <text>
        <r>
          <rPr>
            <sz val="10"/>
            <color indexed="9"/>
            <rFont val="Calibri"/>
            <family val="2"/>
          </rPr>
          <t>Summary of monetised option benefits to provide context for economic case. Total dollars in discounted terms Figures should be consistent with information within the main body of the table.</t>
        </r>
      </text>
    </comment>
    <comment ref="E8" authorId="0" shapeId="0" xr:uid="{00000000-0006-0000-0000-000017000000}">
      <text>
        <r>
          <rPr>
            <sz val="10"/>
            <color indexed="9"/>
            <rFont val="Calibri"/>
            <family val="2"/>
          </rPr>
          <t>Costs of building / developing the asset. They include all costs incurred from the project planning phase until the implementation phase. Typically, investigation costs prior to planning are not capitalised, and neither are the costs incurred after implementation (e.g. training).</t>
        </r>
      </text>
    </comment>
    <comment ref="G8" authorId="0" shapeId="0" xr:uid="{00000000-0006-0000-0000-000018000000}">
      <text>
        <r>
          <rPr>
            <sz val="10"/>
            <color indexed="9"/>
            <rFont val="Calibri"/>
            <family val="2"/>
          </rPr>
          <t xml:space="preserve">Total Monetised benefits are the standard monetised benefits as per the MBCM.
</t>
        </r>
      </text>
    </comment>
    <comment ref="E10" authorId="0" shapeId="0" xr:uid="{00000000-0006-0000-0000-000019000000}">
      <text>
        <r>
          <rPr>
            <sz val="10"/>
            <color theme="0"/>
            <rFont val="Calibri"/>
            <family val="2"/>
          </rPr>
          <t xml:space="preserve"> In the life-cycle of an asset, they are the costs that precede the project planning, design and  “build” (e.g. investigation costs) and those that are incurred after implementation (training, operating and / or maintenance costs). </t>
        </r>
        <r>
          <rPr>
            <sz val="11"/>
            <color theme="0"/>
            <rFont val="Calibri"/>
            <family val="2"/>
          </rPr>
          <t xml:space="preserve">
</t>
        </r>
      </text>
    </comment>
    <comment ref="G11" authorId="0" shapeId="0" xr:uid="{00000000-0006-0000-0000-00001A000000}">
      <text>
        <r>
          <rPr>
            <sz val="10"/>
            <color theme="0"/>
            <rFont val="Calibri"/>
            <family val="2"/>
          </rPr>
          <t>Benefit Cost Ratios (BCRs) represent present value of total benefits divided by present value of total costs.</t>
        </r>
        <r>
          <rPr>
            <sz val="11"/>
            <color theme="0"/>
            <rFont val="Calibri"/>
            <family val="2"/>
          </rPr>
          <t xml:space="preserve">  
</t>
        </r>
      </text>
    </comment>
    <comment ref="E12" authorId="0" shapeId="0" xr:uid="{00000000-0006-0000-0000-00001B000000}">
      <text>
        <r>
          <rPr>
            <sz val="10"/>
            <color theme="0"/>
            <rFont val="Calibri"/>
            <family val="2"/>
          </rPr>
          <t>Total Costs of the summation of Capital and Operating costs.</t>
        </r>
        <r>
          <rPr>
            <sz val="11"/>
            <color theme="0"/>
            <rFont val="Calibri"/>
            <family val="2"/>
          </rPr>
          <t xml:space="preserve">
</t>
        </r>
      </text>
    </comment>
    <comment ref="B14" authorId="0" shapeId="0" xr:uid="{00000000-0006-0000-0000-000005000000}">
      <text>
        <r>
          <rPr>
            <sz val="10"/>
            <color indexed="9"/>
            <rFont val="Calibri"/>
            <family val="2"/>
          </rPr>
          <t xml:space="preserve">The Waka Kotahi benefits framework is constructed around five key outcomes for transport, as identified in the Ministry of Transport's Outcomes Framework, that is: healthy and safe people, resilience and security, economic prosperity, environmental sustainability and inclusive access.  The transport sector outcomes are the first level of the benefit framework structure.  
</t>
        </r>
      </text>
    </comment>
    <comment ref="B15" authorId="0" shapeId="0" xr:uid="{00000000-0006-0000-0000-000006000000}">
      <text>
        <r>
          <rPr>
            <sz val="10"/>
            <color indexed="9"/>
            <rFont val="Calibri"/>
            <family val="2"/>
          </rPr>
          <t xml:space="preserve">Name of benefit as per the benefits framework.  Each benefit begins with the word ‘impact’ to reflect the multi-directional flow of benefits which could be positive or negative.  Benefits outside of the benefits framework should have previously been agreed by Waka Kotahi. 
</t>
        </r>
      </text>
    </comment>
    <comment ref="D15" authorId="0" shapeId="0" xr:uid="{00000000-0006-0000-0000-000007000000}">
      <text>
        <r>
          <rPr>
            <sz val="10"/>
            <color indexed="9"/>
            <rFont val="Calibri"/>
            <family val="2"/>
          </rPr>
          <t xml:space="preserve">Number and name of the quantitative or qualitative measure as per the Benefits Framework.   Waka Kotahi will accept measures outside the benefits framework with good explanation and evidence to support these being included.  
</t>
        </r>
      </text>
    </comment>
    <comment ref="E15" authorId="0" shapeId="0" xr:uid="{00000000-0006-0000-0000-000008000000}">
      <text>
        <r>
          <rPr>
            <sz val="10"/>
            <color indexed="9"/>
            <rFont val="Calibri"/>
            <family val="2"/>
          </rPr>
          <t xml:space="preserve">Baseline quantitative result, using the latest data available, or qualitative description of measure at year zero of the assessment period. 
</t>
        </r>
      </text>
    </comment>
    <comment ref="F15" authorId="0" shapeId="0" xr:uid="{00000000-0006-0000-0000-000009000000}">
      <text>
        <r>
          <rPr>
            <sz val="10"/>
            <color indexed="9"/>
            <rFont val="Calibri"/>
            <family val="2"/>
          </rPr>
          <t xml:space="preserve">Forecast expected change over time if there was no intervention or investment beyond the do minimum.  Using forecast data or qualitative description.
</t>
        </r>
      </text>
    </comment>
    <comment ref="G15" authorId="0" shapeId="0" xr:uid="{00000000-0006-0000-0000-00000A000000}">
      <text>
        <r>
          <rPr>
            <sz val="10"/>
            <color indexed="9"/>
            <rFont val="Calibri"/>
            <family val="2"/>
          </rPr>
          <t>Forecast of expected change over time, should the option be implemented.  Using forecast data or qualitative description.  
Accumulated impacts</t>
        </r>
      </text>
    </comment>
    <comment ref="H15" authorId="0" shapeId="0" xr:uid="{00000000-0006-0000-0000-00000B000000}">
      <text>
        <r>
          <rPr>
            <sz val="10"/>
            <color indexed="9"/>
            <rFont val="Calibri"/>
            <family val="2"/>
          </rPr>
          <t xml:space="preserve">Forecast expected change of monetised impacts over time if there was no intervention or investment beyond the do minimum.   
</t>
        </r>
      </text>
    </comment>
    <comment ref="I15" authorId="0" shapeId="0" xr:uid="{00000000-0006-0000-0000-00000C000000}">
      <text>
        <r>
          <rPr>
            <sz val="10"/>
            <color indexed="9"/>
            <rFont val="Calibri"/>
            <family val="2"/>
          </rPr>
          <t xml:space="preserve">Positive or negative benefit in dollar terms, non-discounted to allow comparison with the do minimum.  
</t>
        </r>
      </text>
    </comment>
    <comment ref="B17" authorId="1" shapeId="0" xr:uid="{C85D740D-6FE4-43F3-9BB1-E4789620A299}">
      <text>
        <r>
          <rPr>
            <sz val="10"/>
            <color indexed="9"/>
            <rFont val="Calibri"/>
            <family val="2"/>
          </rPr>
          <t>1.1 Impact on spcial cost and incidents of crashes measure 1.1.3 Deaths and serious injuries is mandatory</t>
        </r>
        <r>
          <rPr>
            <sz val="12"/>
            <color indexed="9"/>
            <rFont val="Calibri"/>
            <family val="2"/>
          </rPr>
          <t>.</t>
        </r>
      </text>
    </comment>
    <comment ref="D19" authorId="0" shapeId="0" xr:uid="{F9D5B861-87A8-46E1-9FE0-CB07AE28E388}">
      <text>
        <r>
          <rPr>
            <sz val="10"/>
            <color indexed="9"/>
            <rFont val="Calibri"/>
            <family val="2"/>
          </rPr>
          <t>Measures can be selected from anywhere in the benefits framework.</t>
        </r>
        <r>
          <rPr>
            <b/>
            <sz val="12"/>
            <color indexed="9"/>
            <rFont val="Calibri"/>
            <family val="2"/>
          </rPr>
          <t xml:space="preserve">
</t>
        </r>
      </text>
    </comment>
    <comment ref="D21" authorId="0" shapeId="0" xr:uid="{7FD248A2-2BF2-414E-93D7-F4F7DE6C46A4}">
      <text>
        <r>
          <rPr>
            <sz val="10"/>
            <color indexed="9"/>
            <rFont val="Calibri"/>
            <family val="2"/>
          </rPr>
          <t>Measures can be selected from anywhere in the benefits framework.</t>
        </r>
        <r>
          <rPr>
            <b/>
            <sz val="12"/>
            <color indexed="9"/>
            <rFont val="Calibri"/>
            <family val="2"/>
          </rPr>
          <t xml:space="preserve">
</t>
        </r>
      </text>
    </comment>
    <comment ref="D22" authorId="0" shapeId="0" xr:uid="{1B6508C4-2C19-49B2-A2A3-7A43362E073B}">
      <text>
        <r>
          <rPr>
            <sz val="10"/>
            <color indexed="9"/>
            <rFont val="Calibri"/>
            <family val="2"/>
          </rPr>
          <t>Measures can be selected from anywhere in the benefits framework.</t>
        </r>
        <r>
          <rPr>
            <b/>
            <sz val="12"/>
            <color indexed="9"/>
            <rFont val="Calibri"/>
            <family val="2"/>
          </rPr>
          <t xml:space="preserve">
</t>
        </r>
      </text>
    </comment>
    <comment ref="B24" authorId="1" shapeId="0" xr:uid="{F866F04F-A570-4505-903F-F2DD3373F2BE}">
      <text>
        <r>
          <rPr>
            <sz val="10"/>
            <color indexed="9"/>
            <rFont val="Calibri"/>
            <family val="2"/>
          </rPr>
          <t>8.1 Impact on greenhouse gas emissions measure 8.1.1 CO2 emissions is mandatory</t>
        </r>
        <r>
          <rPr>
            <sz val="12"/>
            <color indexed="9"/>
            <rFont val="Calibri"/>
            <family val="2"/>
          </rPr>
          <t>.</t>
        </r>
      </text>
    </comment>
    <comment ref="D25" authorId="0" shapeId="0" xr:uid="{B6C610E4-99B4-4947-8DCE-5D9BBB734A97}">
      <text>
        <r>
          <rPr>
            <sz val="10"/>
            <color indexed="9"/>
            <rFont val="Calibri"/>
            <family val="2"/>
          </rPr>
          <t>Measures can be selected from anywhere in the benefits framework.</t>
        </r>
      </text>
    </comment>
    <comment ref="D26" authorId="0" shapeId="0" xr:uid="{CC1F544B-22F9-4F61-95A1-FC46075A45E6}">
      <text>
        <r>
          <rPr>
            <sz val="10"/>
            <color indexed="9"/>
            <rFont val="Calibri"/>
            <family val="2"/>
          </rPr>
          <t>Measures can be selected from anywhere in the benefits framework.</t>
        </r>
      </text>
    </comment>
    <comment ref="B28" authorId="1" shapeId="0" xr:uid="{6EEF9DF9-28CE-4D78-B346-03510045CCA1}">
      <text>
        <r>
          <rPr>
            <sz val="10"/>
            <color indexed="9"/>
            <rFont val="Calibri"/>
            <family val="2"/>
          </rPr>
          <t>12.1 Impact on Te Ao Māori benefit / name of benefit measure 12.1.1 Te Ao Māori is mandatory.</t>
        </r>
      </text>
    </comment>
    <comment ref="D29" authorId="0" shapeId="0" xr:uid="{87CBD3EA-DBA7-4F48-8312-12C64C7BEB7E}">
      <text>
        <r>
          <rPr>
            <sz val="10"/>
            <color indexed="9"/>
            <rFont val="Calibri"/>
            <family val="2"/>
          </rPr>
          <t>Measures can be selected from anywhere in the benefits framework.</t>
        </r>
      </text>
    </comment>
    <comment ref="B31" authorId="0" shapeId="0" xr:uid="{00000000-0006-0000-0000-00001D000000}">
      <text>
        <r>
          <rPr>
            <sz val="10"/>
            <color theme="0"/>
            <rFont val="Calibri"/>
            <family val="2"/>
          </rPr>
          <t>Reason why the option was not selected or why preferred option was chosen. i.e. consideration of non-monetised impacts reasons for best performing. Groups or individuals impacted by positive and negative externalities. Include results of incremental analysis and first year rate of return.</t>
        </r>
        <r>
          <rPr>
            <sz val="11"/>
            <color theme="0"/>
            <rFont val="Calibri"/>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7" authorId="0" shapeId="0" xr:uid="{E5530BFC-0344-49C6-84DF-79BC78692430}">
      <text>
        <r>
          <rPr>
            <sz val="8"/>
            <color indexed="81"/>
            <rFont val="Verdana"/>
            <family val="2"/>
          </rPr>
          <t>1. Enter the full name, contact details, name of organisation, office location of the evaluator(s) and reviewer(s).</t>
        </r>
      </text>
    </comment>
    <comment ref="B9" authorId="0" shapeId="0" xr:uid="{313EF2B6-8DF8-4732-BB93-32113DB7721D}">
      <text>
        <r>
          <rPr>
            <sz val="8"/>
            <color indexed="81"/>
            <rFont val="Verdana"/>
            <family val="2"/>
          </rPr>
          <t>2. Provide a general description of the activity and package/programme (where relevant). Describe the issues with the existing intersection.</t>
        </r>
      </text>
    </comment>
    <comment ref="B15" authorId="0" shapeId="0" xr:uid="{552846B1-16E1-4C94-9BB4-D37F715F4BEC}">
      <text>
        <r>
          <rPr>
            <sz val="8"/>
            <color indexed="81"/>
            <rFont val="Verdana"/>
            <family val="2"/>
          </rPr>
          <t>3. Provide a brief description of the activity location including page references to route map and layout plan within the documentation, used as the foundation of the economics.</t>
        </r>
      </text>
    </comment>
    <comment ref="B17" authorId="0" shapeId="0" xr:uid="{BB78BB75-7268-4151-AC32-D61128A7A6A1}">
      <text>
        <r>
          <rPr>
            <sz val="8"/>
            <color indexed="81"/>
            <rFont val="Verdana"/>
            <family val="2"/>
          </rPr>
          <t>4. Describe the do-minimum, which is usually the least cost option to maintain the intersection in an unimproved state. Describe the options assessed and how the preferred option will improve the intersection.</t>
        </r>
      </text>
    </comment>
    <comment ref="B20" authorId="0" shapeId="0" xr:uid="{393B1038-760E-49B7-96B2-516AD5CA235C}">
      <text>
        <r>
          <rPr>
            <sz val="8"/>
            <color indexed="81"/>
            <rFont val="Verdana"/>
            <family val="2"/>
          </rPr>
          <t>5. For purposes of the economic efficiency evaluation, the construction start is assumed to be 1 July of the financial year in which the activity is submitted for a commitment to funding.</t>
        </r>
      </text>
    </comment>
    <comment ref="B25" authorId="0" shapeId="0" xr:uid="{AAB441CB-E79E-4F13-B280-4FDD1F367DFD}">
      <text>
        <r>
          <rPr>
            <sz val="8"/>
            <color indexed="81"/>
            <rFont val="Verdana"/>
            <family val="2"/>
          </rPr>
          <t>6. Enter the timeframe information, road and traffic data, posted speed limit and traffic volume entering the intersection.</t>
        </r>
      </text>
    </comment>
    <comment ref="B34" authorId="0" shapeId="0" xr:uid="{5F39EBCD-0D22-4FA7-8B4F-0D7597BA78F3}">
      <text>
        <r>
          <rPr>
            <sz val="8"/>
            <color indexed="81"/>
            <rFont val="Verdana"/>
            <family val="2"/>
          </rPr>
          <t>7. Use worksheet 2 to calculate the PV cost of the do-minimum. This should be the lowest cost option that will keep the road in service. It will provide no improvements.</t>
        </r>
      </text>
    </comment>
    <comment ref="B35" authorId="0" shapeId="0" xr:uid="{D8FF10DD-0EEB-4BA1-8E53-7073AE5A0143}">
      <text>
        <r>
          <rPr>
            <sz val="8"/>
            <color indexed="81"/>
            <rFont val="Verdana"/>
            <family val="2"/>
          </rPr>
          <t>8. Use worksheet 3 to estimate the preferred option PV cost.</t>
        </r>
      </text>
    </comment>
    <comment ref="B36" authorId="0" shapeId="0" xr:uid="{4ACFE5F0-3607-4BE5-BB1F-6D11261E02B4}">
      <text>
        <r>
          <rPr>
            <sz val="8"/>
            <color indexed="81"/>
            <rFont val="Verdana"/>
            <family val="2"/>
          </rPr>
          <t>9. Enter the benefits values from worksheets 4 (travel time cost savings), 5 (vehicle operating cost savings) and 6 crash cost savings). To bring the benefits up to the base date values, use the appropriate update factors supplied on the MBCM web page. The base VOC incorporates the CO</t>
        </r>
        <r>
          <rPr>
            <vertAlign val="subscript"/>
            <sz val="8"/>
            <color indexed="81"/>
            <rFont val="Verdana"/>
            <family val="2"/>
          </rPr>
          <t>2</t>
        </r>
        <r>
          <rPr>
            <sz val="8"/>
            <color indexed="81"/>
            <rFont val="Verdana"/>
            <family val="2"/>
          </rPr>
          <t xml:space="preserve"> costs and no separate adjustment is required.</t>
        </r>
      </text>
    </comment>
    <comment ref="B40" authorId="0" shapeId="0" xr:uid="{7B6FEA26-E5C5-48E1-9D6B-AAADDA04071F}">
      <text>
        <r>
          <rPr>
            <sz val="8"/>
            <color indexed="81"/>
            <rFont val="Verdana"/>
            <family val="2"/>
          </rPr>
          <t>10. The BCR</t>
        </r>
        <r>
          <rPr>
            <vertAlign val="subscript"/>
            <sz val="8"/>
            <color indexed="81"/>
            <rFont val="Verdana"/>
            <family val="2"/>
          </rPr>
          <t>N</t>
        </r>
        <r>
          <rPr>
            <sz val="8"/>
            <color indexed="81"/>
            <rFont val="Verdana"/>
            <family val="2"/>
          </rPr>
          <t xml:space="preserve"> is calculated by dividing the PV of the net benefits (PV benefits of the do-minimum subtracted from the PV benefits of the option) by PV of the net costs (PV costs of the do-minimum subtracted from the PV costs of the option).</t>
        </r>
      </text>
    </comment>
    <comment ref="B42" authorId="0" shapeId="0" xr:uid="{0CE19FDB-EE4A-4E3B-BDC5-97CFAB80A450}">
      <text>
        <r>
          <rPr>
            <sz val="8"/>
            <color indexed="81"/>
            <rFont val="Verdana"/>
            <family val="2"/>
          </rPr>
          <t xml:space="preserve">11. First year rate of return is calculated as the benefits in the first full year following completion divided by the activity costs. The first year benefits are calculated by dividing the totals at </t>
        </r>
        <r>
          <rPr>
            <b/>
            <sz val="8"/>
            <color indexed="81"/>
            <rFont val="Verdana"/>
            <family val="2"/>
          </rPr>
          <t>W</t>
        </r>
        <r>
          <rPr>
            <sz val="8"/>
            <color indexed="81"/>
            <rFont val="Verdana"/>
            <family val="2"/>
          </rPr>
          <t xml:space="preserve">, </t>
        </r>
        <r>
          <rPr>
            <b/>
            <sz val="8"/>
            <color indexed="81"/>
            <rFont val="Verdana"/>
            <family val="2"/>
          </rPr>
          <t>Y</t>
        </r>
        <r>
          <rPr>
            <sz val="8"/>
            <color indexed="81"/>
            <rFont val="Verdana"/>
            <family val="2"/>
          </rPr>
          <t xml:space="preserve"> and </t>
        </r>
        <r>
          <rPr>
            <b/>
            <sz val="8"/>
            <color indexed="81"/>
            <rFont val="Verdana"/>
            <family val="2"/>
          </rPr>
          <t>Z</t>
        </r>
        <r>
          <rPr>
            <sz val="8"/>
            <color indexed="81"/>
            <rFont val="Verdana"/>
            <family val="2"/>
          </rPr>
          <t xml:space="preserve"> by the discount factors for travel time cost, VOC and crashes respectively. Then multiplying by 0.98 to get the PV.
</t>
        </r>
        <r>
          <rPr>
            <b/>
            <sz val="8"/>
            <color indexed="81"/>
            <rFont val="Verdana"/>
            <family val="2"/>
          </rPr>
          <t>Note:</t>
        </r>
        <r>
          <rPr>
            <sz val="8"/>
            <color indexed="81"/>
            <rFont val="Verdana"/>
            <family val="2"/>
          </rPr>
          <t xml:space="preserve"> The discount factor for crashes (see explanation for worksheet 6) is different to the discount factor for VOC and travel time cost (see explanation for worksheets 4 and 5).</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7" authorId="0" shapeId="0" xr:uid="{7565084C-3DC7-4100-82FB-6F1AF85A9DED}">
      <text>
        <r>
          <rPr>
            <sz val="8"/>
            <color indexed="81"/>
            <rFont val="Verdana"/>
            <family val="2"/>
          </rPr>
          <t>1. Enter the historic maintenance cost data. The annual and periodic maintenance costs should be obtained from maintenance records and resealing records.</t>
        </r>
      </text>
    </comment>
    <comment ref="B13" authorId="0" shapeId="0" xr:uid="{4A07CC0F-FEB5-4317-85C6-3F56E35D82F3}">
      <text>
        <r>
          <rPr>
            <sz val="8"/>
            <color indexed="81"/>
            <rFont val="Verdana"/>
            <family val="2"/>
          </rPr>
          <t xml:space="preserve">2. Calculate the PV of annual maintenance costs </t>
        </r>
        <r>
          <rPr>
            <b/>
            <sz val="8"/>
            <color indexed="81"/>
            <rFont val="Verdana"/>
            <family val="2"/>
          </rPr>
          <t>(a)</t>
        </r>
        <r>
          <rPr>
            <sz val="8"/>
            <color indexed="81"/>
            <rFont val="Verdana"/>
            <family val="2"/>
          </rPr>
          <t xml:space="preserve"> for the do-minimum by multiplying the annual cost by the discount factor.</t>
        </r>
      </text>
    </comment>
    <comment ref="B15" authorId="0" shapeId="0" xr:uid="{160FCBF6-D549-4444-AA0C-9BB719771DE1}">
      <text>
        <r>
          <rPr>
            <sz val="8"/>
            <color indexed="81"/>
            <rFont val="Verdana"/>
            <family val="2"/>
          </rPr>
          <t xml:space="preserve">3. Schedule any periodic maintenance, according to the year in which this work is expected to be undertaken. Apply the appropriate SPPWF to determine the PV at time zero. Sum the PV of the periodic costs to determine the PV of total periodic maintenance costs </t>
        </r>
        <r>
          <rPr>
            <b/>
            <sz val="8"/>
            <color indexed="81"/>
            <rFont val="Verdana"/>
            <family val="2"/>
          </rPr>
          <t>(b)</t>
        </r>
        <r>
          <rPr>
            <sz val="8"/>
            <color indexed="81"/>
            <rFont val="Verdana"/>
            <family val="2"/>
          </rPr>
          <t>.</t>
        </r>
      </text>
    </comment>
    <comment ref="B29" authorId="0" shapeId="0" xr:uid="{F67B2606-1878-4F5E-BA55-79CE77C54117}">
      <text>
        <r>
          <rPr>
            <sz val="8"/>
            <color indexed="81"/>
            <rFont val="Verdana"/>
            <family val="2"/>
          </rPr>
          <t xml:space="preserve">4. Calculate the PV of the annual costs associated with operating the intersection </t>
        </r>
        <r>
          <rPr>
            <b/>
            <sz val="8"/>
            <color indexed="81"/>
            <rFont val="Verdana"/>
            <family val="2"/>
          </rPr>
          <t xml:space="preserve">(c) </t>
        </r>
        <r>
          <rPr>
            <sz val="8"/>
            <color indexed="81"/>
            <rFont val="Verdana"/>
            <family val="2"/>
          </rPr>
          <t xml:space="preserve">for the do-minimum by multiplying the annual cost by the discount factor. 
</t>
        </r>
        <r>
          <rPr>
            <b/>
            <sz val="8"/>
            <color indexed="81"/>
            <rFont val="Verdana"/>
            <family val="2"/>
          </rPr>
          <t>Note:</t>
        </r>
        <r>
          <rPr>
            <sz val="8"/>
            <color indexed="81"/>
            <rFont val="Verdana"/>
            <family val="2"/>
          </rPr>
          <t xml:space="preserve"> Operating costs must be distinct from, and in addition to, maintenance costs.</t>
        </r>
      </text>
    </comment>
    <comment ref="B32" authorId="0" shapeId="0" xr:uid="{E211EC9B-CBD2-4604-9915-15F837CBEDB5}">
      <text>
        <r>
          <rPr>
            <sz val="8"/>
            <color indexed="81"/>
            <rFont val="Verdana"/>
            <family val="2"/>
          </rPr>
          <t xml:space="preserve">5. Calculate the PV total costs of the do-minimum by adding </t>
        </r>
        <r>
          <rPr>
            <b/>
            <sz val="8"/>
            <color indexed="81"/>
            <rFont val="Verdana"/>
            <family val="2"/>
          </rPr>
          <t>(a)</t>
        </r>
        <r>
          <rPr>
            <sz val="8"/>
            <color indexed="81"/>
            <rFont val="Verdana"/>
            <family val="2"/>
          </rPr>
          <t xml:space="preserve"> + </t>
        </r>
        <r>
          <rPr>
            <b/>
            <sz val="8"/>
            <color indexed="81"/>
            <rFont val="Verdana"/>
            <family val="2"/>
          </rPr>
          <t>(b)</t>
        </r>
        <r>
          <rPr>
            <sz val="8"/>
            <color indexed="81"/>
            <rFont val="Verdana"/>
            <family val="2"/>
          </rPr>
          <t xml:space="preserve"> + </t>
        </r>
        <r>
          <rPr>
            <b/>
            <sz val="8"/>
            <color indexed="81"/>
            <rFont val="Verdana"/>
            <family val="2"/>
          </rPr>
          <t>(c)</t>
        </r>
        <r>
          <rPr>
            <sz val="8"/>
            <color indexed="81"/>
            <rFont val="Verdana"/>
            <family val="2"/>
          </rPr>
          <t xml:space="preserve">. Transfer the PV cost of the do-minimum </t>
        </r>
        <r>
          <rPr>
            <b/>
            <sz val="8"/>
            <color indexed="81"/>
            <rFont val="Verdana"/>
            <family val="2"/>
          </rPr>
          <t>A</t>
        </r>
        <r>
          <rPr>
            <sz val="8"/>
            <color indexed="81"/>
            <rFont val="Verdana"/>
            <family val="2"/>
          </rPr>
          <t xml:space="preserve">, to </t>
        </r>
        <r>
          <rPr>
            <b/>
            <sz val="8"/>
            <color indexed="81"/>
            <rFont val="Verdana"/>
            <family val="2"/>
          </rPr>
          <t>A</t>
        </r>
        <r>
          <rPr>
            <sz val="8"/>
            <color indexed="81"/>
            <rFont val="Verdana"/>
            <family val="2"/>
          </rPr>
          <t xml:space="preserve"> on worksheet 1.</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6" authorId="0" shapeId="0" xr:uid="{AB63E811-1924-49CE-AA15-07C212D05620}">
      <text>
        <r>
          <rPr>
            <sz val="8"/>
            <color indexed="81"/>
            <rFont val="Verdana"/>
            <family val="2"/>
          </rPr>
          <t>1. Enter the capital cost (including professional services for design and supervision) of the proposed option. The cost is estimated separately on an estimate sheet, which should be attached to this worksheet. Where construction items have an estimated life of less than 40 years, the cost of the item should be multiplied by the factor (MF) given in table 1 to obtain the total cost for that item over 40 years. Add the cost of the works together, including the adjusted capital items costs. Multiply the cost by the discount factor 0.96 and enter at</t>
        </r>
        <r>
          <rPr>
            <b/>
            <sz val="8"/>
            <color indexed="81"/>
            <rFont val="Verdana"/>
            <family val="2"/>
          </rPr>
          <t xml:space="preserve"> (a)</t>
        </r>
        <r>
          <rPr>
            <sz val="8"/>
            <color indexed="81"/>
            <rFont val="Verdana"/>
            <family val="2"/>
          </rPr>
          <t>.</t>
        </r>
      </text>
    </comment>
    <comment ref="B8" authorId="0" shapeId="0" xr:uid="{602D9C31-2015-41C6-ABAB-C138A3390544}">
      <text>
        <r>
          <rPr>
            <sz val="8"/>
            <color indexed="81"/>
            <rFont val="Verdana"/>
            <family val="2"/>
          </rPr>
          <t xml:space="preserve">2. Enter the cost of maintenance for year 1 at </t>
        </r>
        <r>
          <rPr>
            <b/>
            <sz val="8"/>
            <color indexed="81"/>
            <rFont val="Verdana"/>
            <family val="2"/>
          </rPr>
          <t>(b)</t>
        </r>
        <r>
          <rPr>
            <sz val="8"/>
            <color indexed="81"/>
            <rFont val="Verdana"/>
            <family val="2"/>
          </rPr>
          <t>. As this is assumed to be the year that the proposed option works are carried out, this cost will commonly be the same as that for the existing maintenance strategy, as per step 2 on worksheet 2.</t>
        </r>
      </text>
    </comment>
    <comment ref="B9" authorId="0" shapeId="0" xr:uid="{0E4F6A49-DA45-4631-9634-7C31EA61DE4A}">
      <text>
        <r>
          <rPr>
            <sz val="8"/>
            <color indexed="81"/>
            <rFont val="Verdana"/>
            <family val="2"/>
          </rPr>
          <t xml:space="preserve">3. Enter the cost for annual maintenance following completion of the works. Where periodic renewal of capital items (including traffic signs, delineation, spray plastic and road markings) have been included in the cost of works at </t>
        </r>
        <r>
          <rPr>
            <b/>
            <sz val="8"/>
            <color indexed="81"/>
            <rFont val="Verdana"/>
            <family val="2"/>
          </rPr>
          <t>(a)</t>
        </r>
        <r>
          <rPr>
            <sz val="8"/>
            <color indexed="81"/>
            <rFont val="Verdana"/>
            <family val="2"/>
          </rPr>
          <t xml:space="preserve">, these should be excluded from the maintenance cost stream. Multiply the annual maintenance costs by the present worth factor to get the PV of annual maintenance costs </t>
        </r>
        <r>
          <rPr>
            <b/>
            <sz val="8"/>
            <color indexed="81"/>
            <rFont val="Verdana"/>
            <family val="2"/>
          </rPr>
          <t>(c)</t>
        </r>
        <r>
          <rPr>
            <sz val="8"/>
            <color indexed="81"/>
            <rFont val="Verdana"/>
            <family val="2"/>
          </rPr>
          <t xml:space="preserve"> for years two to 40 inclusive.</t>
        </r>
      </text>
    </comment>
    <comment ref="B11" authorId="0" shapeId="0" xr:uid="{FAD09401-A4C0-4A42-B18C-B2187941F14E}">
      <text>
        <r>
          <rPr>
            <sz val="8"/>
            <color indexed="81"/>
            <rFont val="Verdana"/>
            <family val="2"/>
          </rPr>
          <t xml:space="preserve">4. Enter the costs of periodic maintenance. Determine which years this maintenance will be required (if at all) and enter the year, estimated cost and SPPWF. Calculate the PV (estimated cost x SPPWF) for each type of cost and sum these to obtain the PV of the total periodic maintenance cost </t>
        </r>
        <r>
          <rPr>
            <b/>
            <sz val="8"/>
            <color indexed="81"/>
            <rFont val="Verdana"/>
            <family val="2"/>
          </rPr>
          <t>(d)</t>
        </r>
        <r>
          <rPr>
            <sz val="8"/>
            <color indexed="81"/>
            <rFont val="Verdana"/>
            <family val="2"/>
          </rPr>
          <t>.</t>
        </r>
      </text>
    </comment>
    <comment ref="B24" authorId="0" shapeId="0" xr:uid="{28C4D25F-9EDF-4808-9FCD-F63E4FEF8A49}">
      <text>
        <r>
          <rPr>
            <sz val="8"/>
            <color indexed="81"/>
            <rFont val="Verdana"/>
            <family val="2"/>
          </rPr>
          <t xml:space="preserve">5. Calculate the PV of the annual costs associated with operating the intersection </t>
        </r>
        <r>
          <rPr>
            <b/>
            <sz val="8"/>
            <color indexed="81"/>
            <rFont val="Verdana"/>
            <family val="2"/>
          </rPr>
          <t>(e)</t>
        </r>
        <r>
          <rPr>
            <sz val="8"/>
            <color indexed="81"/>
            <rFont val="Verdana"/>
            <family val="2"/>
          </rPr>
          <t xml:space="preserve"> for the option by multiplying the annual cost by the discount factor.
</t>
        </r>
        <r>
          <rPr>
            <b/>
            <sz val="8"/>
            <color indexed="81"/>
            <rFont val="Verdana"/>
            <family val="2"/>
          </rPr>
          <t>Note:</t>
        </r>
        <r>
          <rPr>
            <sz val="8"/>
            <color indexed="81"/>
            <rFont val="Verdana"/>
            <family val="2"/>
          </rPr>
          <t xml:space="preserve"> Operating costs must be distinct from, and in addition to, maintenance costs.</t>
        </r>
      </text>
    </comment>
    <comment ref="B26" authorId="0" shapeId="0" xr:uid="{9A46F32D-2EB7-4D4D-82F0-D34CE42AF8A1}">
      <text>
        <r>
          <rPr>
            <sz val="8"/>
            <color indexed="81"/>
            <rFont val="Verdana"/>
            <family val="2"/>
          </rPr>
          <t xml:space="preserve">6. The sum of </t>
        </r>
        <r>
          <rPr>
            <b/>
            <sz val="8"/>
            <color indexed="81"/>
            <rFont val="Verdana"/>
            <family val="2"/>
          </rPr>
          <t>(a)</t>
        </r>
        <r>
          <rPr>
            <sz val="8"/>
            <color indexed="81"/>
            <rFont val="Verdana"/>
            <family val="2"/>
          </rPr>
          <t xml:space="preserve"> + </t>
        </r>
        <r>
          <rPr>
            <b/>
            <sz val="8"/>
            <color indexed="81"/>
            <rFont val="Verdana"/>
            <family val="2"/>
          </rPr>
          <t>(b)</t>
        </r>
        <r>
          <rPr>
            <sz val="8"/>
            <color indexed="81"/>
            <rFont val="Verdana"/>
            <family val="2"/>
          </rPr>
          <t xml:space="preserve"> + </t>
        </r>
        <r>
          <rPr>
            <b/>
            <sz val="8"/>
            <color indexed="81"/>
            <rFont val="Verdana"/>
            <family val="2"/>
          </rPr>
          <t>(c)</t>
        </r>
        <r>
          <rPr>
            <sz val="8"/>
            <color indexed="81"/>
            <rFont val="Verdana"/>
            <family val="2"/>
          </rPr>
          <t xml:space="preserve"> + </t>
        </r>
        <r>
          <rPr>
            <b/>
            <sz val="8"/>
            <color indexed="81"/>
            <rFont val="Verdana"/>
            <family val="2"/>
          </rPr>
          <t>(d)</t>
        </r>
        <r>
          <rPr>
            <sz val="8"/>
            <color indexed="81"/>
            <rFont val="Verdana"/>
            <family val="2"/>
          </rPr>
          <t xml:space="preserve"> + </t>
        </r>
        <r>
          <rPr>
            <b/>
            <sz val="8"/>
            <color indexed="81"/>
            <rFont val="Verdana"/>
            <family val="2"/>
          </rPr>
          <t>(e)</t>
        </r>
        <r>
          <rPr>
            <sz val="8"/>
            <color indexed="81"/>
            <rFont val="Verdana"/>
            <family val="2"/>
          </rPr>
          <t xml:space="preserve"> gives the PV cost of the preferred option </t>
        </r>
        <r>
          <rPr>
            <b/>
            <sz val="8"/>
            <color indexed="81"/>
            <rFont val="Verdana"/>
            <family val="2"/>
          </rPr>
          <t>B</t>
        </r>
        <r>
          <rPr>
            <sz val="8"/>
            <color indexed="81"/>
            <rFont val="Verdana"/>
            <family val="2"/>
          </rPr>
          <t xml:space="preserve">. Transfer </t>
        </r>
        <r>
          <rPr>
            <b/>
            <sz val="8"/>
            <color indexed="81"/>
            <rFont val="Verdana"/>
            <family val="2"/>
          </rPr>
          <t>B</t>
        </r>
        <r>
          <rPr>
            <sz val="8"/>
            <color indexed="81"/>
            <rFont val="Verdana"/>
            <family val="2"/>
          </rPr>
          <t xml:space="preserve"> for the preferred option to worksheet 1.</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6" authorId="0" shapeId="0" xr:uid="{5E49FD6C-27E3-4F83-8BBD-8BD150EDFC1D}">
      <text>
        <r>
          <rPr>
            <sz val="8"/>
            <color indexed="81"/>
            <rFont val="Verdana"/>
            <family val="2"/>
          </rPr>
          <t>1. Enter the capital cost (including professional services for design and supervision) of the proposed option. The cost is estimated separately on an estimate sheet, which should be attached to this worksheet. Where construction items have an estimated life of less than 40 years, the cost of the item should be multiplied by the factor (MF) given in table 1 to obtain the total cost for that item over 40 years. Add the cost of the works together, including the adjusted capital items costs. Multiply the cost by the discount factor 0.98 and enter at</t>
        </r>
        <r>
          <rPr>
            <b/>
            <sz val="8"/>
            <color indexed="81"/>
            <rFont val="Verdana"/>
            <family val="2"/>
          </rPr>
          <t xml:space="preserve"> (a)</t>
        </r>
        <r>
          <rPr>
            <sz val="8"/>
            <color indexed="81"/>
            <rFont val="Verdana"/>
            <family val="2"/>
          </rPr>
          <t>.</t>
        </r>
      </text>
    </comment>
    <comment ref="B8" authorId="0" shapeId="0" xr:uid="{0885F9D7-3E83-4F40-95CB-EF1FC36F4698}">
      <text>
        <r>
          <rPr>
            <sz val="8"/>
            <color indexed="81"/>
            <rFont val="Verdana"/>
            <family val="2"/>
          </rPr>
          <t xml:space="preserve">2. Enter the cost of maintenance for year 1 at </t>
        </r>
        <r>
          <rPr>
            <b/>
            <sz val="8"/>
            <color indexed="81"/>
            <rFont val="Verdana"/>
            <family val="2"/>
          </rPr>
          <t>(b)</t>
        </r>
        <r>
          <rPr>
            <sz val="8"/>
            <color indexed="81"/>
            <rFont val="Verdana"/>
            <family val="2"/>
          </rPr>
          <t>. As this is assumed to be the year that the proposed option works are carried out, this cost will commonly be the same as that for the existing maintenance strategy, as per step 2 on worksheet 2.</t>
        </r>
      </text>
    </comment>
    <comment ref="B9" authorId="0" shapeId="0" xr:uid="{3B8ED0D1-002E-4A9E-A235-73A792687E6E}">
      <text>
        <r>
          <rPr>
            <sz val="8"/>
            <color indexed="81"/>
            <rFont val="Verdana"/>
            <family val="2"/>
          </rPr>
          <t xml:space="preserve">3. Enter the cost for annual maintenance following completion of the works. Where periodic renewal of capital items (including traffic signs, delineation, spray plastic and road markings) have been included in the cost of works at </t>
        </r>
        <r>
          <rPr>
            <b/>
            <sz val="8"/>
            <color indexed="81"/>
            <rFont val="Verdana"/>
            <family val="2"/>
          </rPr>
          <t>(a)</t>
        </r>
        <r>
          <rPr>
            <sz val="8"/>
            <color indexed="81"/>
            <rFont val="Verdana"/>
            <family val="2"/>
          </rPr>
          <t xml:space="preserve">, these should be excluded from the maintenance cost stream. Multiply the annual maintenance costs by the present worth factor to get the PV of annual maintenance costs </t>
        </r>
        <r>
          <rPr>
            <b/>
            <sz val="8"/>
            <color indexed="81"/>
            <rFont val="Verdana"/>
            <family val="2"/>
          </rPr>
          <t>(c)</t>
        </r>
        <r>
          <rPr>
            <sz val="8"/>
            <color indexed="81"/>
            <rFont val="Verdana"/>
            <family val="2"/>
          </rPr>
          <t xml:space="preserve"> for years two to 40 inclusive.</t>
        </r>
      </text>
    </comment>
    <comment ref="B11" authorId="0" shapeId="0" xr:uid="{6BA1D8C6-2B7E-4DA9-BDA6-3BF48E074AAD}">
      <text>
        <r>
          <rPr>
            <sz val="8"/>
            <color indexed="81"/>
            <rFont val="Verdana"/>
            <family val="2"/>
          </rPr>
          <t xml:space="preserve">4. Enter the costs of periodic maintenance. Determine which years this maintenance will be required (if at all) and enter the year, estimated cost and SPPWF. Calculate the PV (estimated cost x SPPWF) for each type of cost and sum these to obtain the PV of the total periodic maintenance cost </t>
        </r>
        <r>
          <rPr>
            <b/>
            <sz val="8"/>
            <color indexed="81"/>
            <rFont val="Verdana"/>
            <family val="2"/>
          </rPr>
          <t>(d)</t>
        </r>
        <r>
          <rPr>
            <sz val="8"/>
            <color indexed="81"/>
            <rFont val="Verdana"/>
            <family val="2"/>
          </rPr>
          <t>.</t>
        </r>
      </text>
    </comment>
    <comment ref="B24" authorId="0" shapeId="0" xr:uid="{6507B6F3-A81B-460E-848D-B0A7ABF953A0}">
      <text>
        <r>
          <rPr>
            <sz val="8"/>
            <color indexed="81"/>
            <rFont val="Verdana"/>
            <family val="2"/>
          </rPr>
          <t xml:space="preserve">5. Calculate the PV of the annual costs associated with operating the intersection </t>
        </r>
        <r>
          <rPr>
            <b/>
            <sz val="8"/>
            <color indexed="81"/>
            <rFont val="Verdana"/>
            <family val="2"/>
          </rPr>
          <t>(e)</t>
        </r>
        <r>
          <rPr>
            <sz val="8"/>
            <color indexed="81"/>
            <rFont val="Verdana"/>
            <family val="2"/>
          </rPr>
          <t xml:space="preserve"> for the option by multiplying the annual cost by the discount factor.
</t>
        </r>
        <r>
          <rPr>
            <b/>
            <sz val="8"/>
            <color indexed="81"/>
            <rFont val="Verdana"/>
            <family val="2"/>
          </rPr>
          <t>Note:</t>
        </r>
        <r>
          <rPr>
            <sz val="8"/>
            <color indexed="81"/>
            <rFont val="Verdana"/>
            <family val="2"/>
          </rPr>
          <t xml:space="preserve"> Operating costs must be distinct from, and in addition to, maintenance costs.</t>
        </r>
      </text>
    </comment>
    <comment ref="B26" authorId="0" shapeId="0" xr:uid="{9819F6C3-2803-4856-BD53-1BFC7CF32DCE}">
      <text>
        <r>
          <rPr>
            <sz val="8"/>
            <color indexed="81"/>
            <rFont val="Verdana"/>
            <family val="2"/>
          </rPr>
          <t xml:space="preserve">6. The sum of </t>
        </r>
        <r>
          <rPr>
            <b/>
            <sz val="8"/>
            <color indexed="81"/>
            <rFont val="Verdana"/>
            <family val="2"/>
          </rPr>
          <t>(a)</t>
        </r>
        <r>
          <rPr>
            <sz val="8"/>
            <color indexed="81"/>
            <rFont val="Verdana"/>
            <family val="2"/>
          </rPr>
          <t xml:space="preserve"> + </t>
        </r>
        <r>
          <rPr>
            <b/>
            <sz val="8"/>
            <color indexed="81"/>
            <rFont val="Verdana"/>
            <family val="2"/>
          </rPr>
          <t>(b)</t>
        </r>
        <r>
          <rPr>
            <sz val="8"/>
            <color indexed="81"/>
            <rFont val="Verdana"/>
            <family val="2"/>
          </rPr>
          <t xml:space="preserve"> + </t>
        </r>
        <r>
          <rPr>
            <b/>
            <sz val="8"/>
            <color indexed="81"/>
            <rFont val="Verdana"/>
            <family val="2"/>
          </rPr>
          <t>(c)</t>
        </r>
        <r>
          <rPr>
            <sz val="8"/>
            <color indexed="81"/>
            <rFont val="Verdana"/>
            <family val="2"/>
          </rPr>
          <t xml:space="preserve"> + </t>
        </r>
        <r>
          <rPr>
            <b/>
            <sz val="8"/>
            <color indexed="81"/>
            <rFont val="Verdana"/>
            <family val="2"/>
          </rPr>
          <t>(d)</t>
        </r>
        <r>
          <rPr>
            <sz val="8"/>
            <color indexed="81"/>
            <rFont val="Verdana"/>
            <family val="2"/>
          </rPr>
          <t xml:space="preserve"> + </t>
        </r>
        <r>
          <rPr>
            <b/>
            <sz val="8"/>
            <color indexed="81"/>
            <rFont val="Verdana"/>
            <family val="2"/>
          </rPr>
          <t>(e)</t>
        </r>
        <r>
          <rPr>
            <sz val="8"/>
            <color indexed="81"/>
            <rFont val="Verdana"/>
            <family val="2"/>
          </rPr>
          <t xml:space="preserve"> gives the PV cost of the preferred option </t>
        </r>
        <r>
          <rPr>
            <b/>
            <sz val="8"/>
            <color indexed="81"/>
            <rFont val="Verdana"/>
            <family val="2"/>
          </rPr>
          <t>B</t>
        </r>
        <r>
          <rPr>
            <sz val="8"/>
            <color indexed="81"/>
            <rFont val="Verdana"/>
            <family val="2"/>
          </rPr>
          <t xml:space="preserve">. Transfer </t>
        </r>
        <r>
          <rPr>
            <b/>
            <sz val="8"/>
            <color indexed="81"/>
            <rFont val="Verdana"/>
            <family val="2"/>
          </rPr>
          <t>B</t>
        </r>
        <r>
          <rPr>
            <sz val="8"/>
            <color indexed="81"/>
            <rFont val="Verdana"/>
            <family val="2"/>
          </rPr>
          <t xml:space="preserve"> for the preferred option to worksheet 1.</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6" authorId="0" shapeId="0" xr:uid="{9F083DC9-A24B-4453-AC25-8B00A7FBEFB4}">
      <text>
        <r>
          <rPr>
            <sz val="8"/>
            <color indexed="81"/>
            <rFont val="Verdana"/>
            <family val="2"/>
          </rPr>
          <t>1. Enter the capital cost (including professional services for design and supervision) of the proposed option. The cost is estimated separately on an estimate sheet, which should be attached to this worksheet. Where construction items have an estimated life of less than 40 years, the cost of the item should be multiplied by the factor (MF) given in table 1 to obtain the total cost for that item over 40 years. Add the cost of the works together, including the adjusted capital items costs. Multiply the cost by the discount factor 0.98 and enter at</t>
        </r>
        <r>
          <rPr>
            <b/>
            <sz val="8"/>
            <color indexed="81"/>
            <rFont val="Verdana"/>
            <family val="2"/>
          </rPr>
          <t xml:space="preserve"> (a)</t>
        </r>
        <r>
          <rPr>
            <sz val="8"/>
            <color indexed="81"/>
            <rFont val="Verdana"/>
            <family val="2"/>
          </rPr>
          <t>.</t>
        </r>
      </text>
    </comment>
    <comment ref="B8" authorId="0" shapeId="0" xr:uid="{82365783-7E4F-4C69-93D2-0A641F99CB15}">
      <text>
        <r>
          <rPr>
            <sz val="8"/>
            <color indexed="81"/>
            <rFont val="Verdana"/>
            <family val="2"/>
          </rPr>
          <t xml:space="preserve">2. Enter the cost of maintenance for year 1 at </t>
        </r>
        <r>
          <rPr>
            <b/>
            <sz val="8"/>
            <color indexed="81"/>
            <rFont val="Verdana"/>
            <family val="2"/>
          </rPr>
          <t>(b)</t>
        </r>
        <r>
          <rPr>
            <sz val="8"/>
            <color indexed="81"/>
            <rFont val="Verdana"/>
            <family val="2"/>
          </rPr>
          <t>. As this is assumed to be the year that the proposed option works are carried out, this cost will commonly be the same as that for the existing maintenance strategy, as per step 2 on worksheet 2.</t>
        </r>
      </text>
    </comment>
    <comment ref="B9" authorId="0" shapeId="0" xr:uid="{ECA57064-8F25-4C4D-8297-F1735E6DA891}">
      <text>
        <r>
          <rPr>
            <sz val="8"/>
            <color indexed="81"/>
            <rFont val="Verdana"/>
            <family val="2"/>
          </rPr>
          <t xml:space="preserve">3. Enter the cost for annual maintenance following completion of the works. Where periodic renewal of capital items (including traffic signs, delineation, spray plastic and road markings) have been included in the cost of works at </t>
        </r>
        <r>
          <rPr>
            <b/>
            <sz val="8"/>
            <color indexed="81"/>
            <rFont val="Verdana"/>
            <family val="2"/>
          </rPr>
          <t>(a)</t>
        </r>
        <r>
          <rPr>
            <sz val="8"/>
            <color indexed="81"/>
            <rFont val="Verdana"/>
            <family val="2"/>
          </rPr>
          <t xml:space="preserve">, these should be excluded from the maintenance cost stream. Multiply the annual maintenance costs by the present worth factor to get the PV of annual maintenance costs </t>
        </r>
        <r>
          <rPr>
            <b/>
            <sz val="8"/>
            <color indexed="81"/>
            <rFont val="Verdana"/>
            <family val="2"/>
          </rPr>
          <t>(c)</t>
        </r>
        <r>
          <rPr>
            <sz val="8"/>
            <color indexed="81"/>
            <rFont val="Verdana"/>
            <family val="2"/>
          </rPr>
          <t xml:space="preserve"> for years two to 40 inclusive.</t>
        </r>
      </text>
    </comment>
    <comment ref="B11" authorId="0" shapeId="0" xr:uid="{30C76E78-58F1-4BB9-8144-DDE491C9CA59}">
      <text>
        <r>
          <rPr>
            <sz val="8"/>
            <color indexed="81"/>
            <rFont val="Verdana"/>
            <family val="2"/>
          </rPr>
          <t xml:space="preserve">4. Enter the costs of periodic maintenance. Determine which years this maintenance will be required (if at all) and enter the year, estimated cost and SPPWF. Calculate the PV (estimated cost x SPPWF) for each type of cost and sum these to obtain the PV of the total periodic maintenance cost </t>
        </r>
        <r>
          <rPr>
            <b/>
            <sz val="8"/>
            <color indexed="81"/>
            <rFont val="Verdana"/>
            <family val="2"/>
          </rPr>
          <t>(d)</t>
        </r>
        <r>
          <rPr>
            <sz val="8"/>
            <color indexed="81"/>
            <rFont val="Verdana"/>
            <family val="2"/>
          </rPr>
          <t>.</t>
        </r>
      </text>
    </comment>
    <comment ref="B24" authorId="0" shapeId="0" xr:uid="{4CC38F1F-0FF9-4B07-A7E1-3C30C57BD130}">
      <text>
        <r>
          <rPr>
            <sz val="8"/>
            <color indexed="81"/>
            <rFont val="Verdana"/>
            <family val="2"/>
          </rPr>
          <t xml:space="preserve">5. Calculate the PV of the annual costs associated with operating the intersection </t>
        </r>
        <r>
          <rPr>
            <b/>
            <sz val="8"/>
            <color indexed="81"/>
            <rFont val="Verdana"/>
            <family val="2"/>
          </rPr>
          <t>(e)</t>
        </r>
        <r>
          <rPr>
            <sz val="8"/>
            <color indexed="81"/>
            <rFont val="Verdana"/>
            <family val="2"/>
          </rPr>
          <t xml:space="preserve"> for the option by multiplying the annual cost by the discount factor.
</t>
        </r>
        <r>
          <rPr>
            <b/>
            <sz val="8"/>
            <color indexed="81"/>
            <rFont val="Verdana"/>
            <family val="2"/>
          </rPr>
          <t>Note:</t>
        </r>
        <r>
          <rPr>
            <sz val="8"/>
            <color indexed="81"/>
            <rFont val="Verdana"/>
            <family val="2"/>
          </rPr>
          <t xml:space="preserve"> Operating costs must be distinct from, and in addition to, maintenance costs.</t>
        </r>
      </text>
    </comment>
    <comment ref="B26" authorId="0" shapeId="0" xr:uid="{10C1C18E-0BFB-467E-AAB5-9667D4A6D120}">
      <text>
        <r>
          <rPr>
            <sz val="8"/>
            <color indexed="81"/>
            <rFont val="Verdana"/>
            <family val="2"/>
          </rPr>
          <t xml:space="preserve">6. The sum of </t>
        </r>
        <r>
          <rPr>
            <b/>
            <sz val="8"/>
            <color indexed="81"/>
            <rFont val="Verdana"/>
            <family val="2"/>
          </rPr>
          <t>(a)</t>
        </r>
        <r>
          <rPr>
            <sz val="8"/>
            <color indexed="81"/>
            <rFont val="Verdana"/>
            <family val="2"/>
          </rPr>
          <t xml:space="preserve"> + </t>
        </r>
        <r>
          <rPr>
            <b/>
            <sz val="8"/>
            <color indexed="81"/>
            <rFont val="Verdana"/>
            <family val="2"/>
          </rPr>
          <t>(b)</t>
        </r>
        <r>
          <rPr>
            <sz val="8"/>
            <color indexed="81"/>
            <rFont val="Verdana"/>
            <family val="2"/>
          </rPr>
          <t xml:space="preserve"> + </t>
        </r>
        <r>
          <rPr>
            <b/>
            <sz val="8"/>
            <color indexed="81"/>
            <rFont val="Verdana"/>
            <family val="2"/>
          </rPr>
          <t>(c)</t>
        </r>
        <r>
          <rPr>
            <sz val="8"/>
            <color indexed="81"/>
            <rFont val="Verdana"/>
            <family val="2"/>
          </rPr>
          <t xml:space="preserve"> + </t>
        </r>
        <r>
          <rPr>
            <b/>
            <sz val="8"/>
            <color indexed="81"/>
            <rFont val="Verdana"/>
            <family val="2"/>
          </rPr>
          <t>(d)</t>
        </r>
        <r>
          <rPr>
            <sz val="8"/>
            <color indexed="81"/>
            <rFont val="Verdana"/>
            <family val="2"/>
          </rPr>
          <t xml:space="preserve"> + </t>
        </r>
        <r>
          <rPr>
            <b/>
            <sz val="8"/>
            <color indexed="81"/>
            <rFont val="Verdana"/>
            <family val="2"/>
          </rPr>
          <t>(e)</t>
        </r>
        <r>
          <rPr>
            <sz val="8"/>
            <color indexed="81"/>
            <rFont val="Verdana"/>
            <family val="2"/>
          </rPr>
          <t xml:space="preserve"> gives the PV cost of the preferred option </t>
        </r>
        <r>
          <rPr>
            <b/>
            <sz val="8"/>
            <color indexed="81"/>
            <rFont val="Verdana"/>
            <family val="2"/>
          </rPr>
          <t>B</t>
        </r>
        <r>
          <rPr>
            <sz val="8"/>
            <color indexed="81"/>
            <rFont val="Verdana"/>
            <family val="2"/>
          </rPr>
          <t xml:space="preserve">. Transfer </t>
        </r>
        <r>
          <rPr>
            <b/>
            <sz val="8"/>
            <color indexed="81"/>
            <rFont val="Verdana"/>
            <family val="2"/>
          </rPr>
          <t>B</t>
        </r>
        <r>
          <rPr>
            <sz val="8"/>
            <color indexed="81"/>
            <rFont val="Verdana"/>
            <family val="2"/>
          </rPr>
          <t xml:space="preserve"> for the preferred option to worksheet 1.</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Coral</author>
    <author>Graeme Belliss</author>
  </authors>
  <commentList>
    <comment ref="B16" authorId="0" shapeId="0" xr:uid="{262C439C-D06E-4A59-A111-E0B2BCE9FFAB}">
      <text>
        <r>
          <rPr>
            <sz val="8"/>
            <color indexed="81"/>
            <rFont val="Verdana"/>
            <family val="2"/>
          </rPr>
          <t xml:space="preserve">1. For each eight-year period, enter the value of the TTC at the midpoint for the do-minimum </t>
        </r>
        <r>
          <rPr>
            <b/>
            <sz val="8"/>
            <color indexed="81"/>
            <rFont val="Verdana"/>
            <family val="2"/>
          </rPr>
          <t>(1)</t>
        </r>
        <r>
          <rPr>
            <sz val="8"/>
            <color indexed="81"/>
            <rFont val="Verdana"/>
            <family val="2"/>
          </rPr>
          <t>. For example, in the first eight-year period (years 2 – 9), the end of year 5 is the midpoint; in years 34 – 40, the midpoint is the end of year 37.</t>
        </r>
      </text>
    </comment>
    <comment ref="B17" authorId="0" shapeId="0" xr:uid="{BC5E0739-F050-4E6C-9A27-9C294C7BCAFB}">
      <text>
        <r>
          <rPr>
            <sz val="8"/>
            <color indexed="81"/>
            <rFont val="Verdana"/>
            <family val="2"/>
          </rPr>
          <t xml:space="preserve">2. For each eight-year period, enter the value of the TTC at the midpoint for the activity option </t>
        </r>
        <r>
          <rPr>
            <b/>
            <sz val="8"/>
            <color indexed="81"/>
            <rFont val="Verdana"/>
            <family val="2"/>
          </rPr>
          <t>(2)</t>
        </r>
        <r>
          <rPr>
            <sz val="8"/>
            <color indexed="81"/>
            <rFont val="Verdana"/>
            <family val="2"/>
          </rPr>
          <t>.</t>
        </r>
      </text>
    </comment>
    <comment ref="B19" authorId="0" shapeId="0" xr:uid="{ACCC3C14-2A90-4144-A7DE-E13303704129}">
      <text>
        <r>
          <rPr>
            <sz val="8"/>
            <color indexed="81"/>
            <rFont val="Verdana"/>
            <family val="2"/>
          </rPr>
          <t xml:space="preserve">3. For each eight-year period, calculate the midpoint benefits </t>
        </r>
        <r>
          <rPr>
            <b/>
            <sz val="8"/>
            <color indexed="81"/>
            <rFont val="Verdana"/>
            <family val="2"/>
          </rPr>
          <t>(3)</t>
        </r>
        <r>
          <rPr>
            <sz val="8"/>
            <color indexed="81"/>
            <rFont val="Verdana"/>
            <family val="2"/>
          </rPr>
          <t xml:space="preserve"> by subtracting the option TTC </t>
        </r>
        <r>
          <rPr>
            <b/>
            <sz val="8"/>
            <color indexed="81"/>
            <rFont val="Verdana"/>
            <family val="2"/>
          </rPr>
          <t>(2)</t>
        </r>
        <r>
          <rPr>
            <sz val="8"/>
            <color indexed="81"/>
            <rFont val="Verdana"/>
            <family val="2"/>
          </rPr>
          <t xml:space="preserve"> from the do-minimum TTC </t>
        </r>
        <r>
          <rPr>
            <b/>
            <sz val="8"/>
            <color indexed="81"/>
            <rFont val="Verdana"/>
            <family val="2"/>
          </rPr>
          <t>(1)</t>
        </r>
        <r>
          <rPr>
            <sz val="8"/>
            <color indexed="81"/>
            <rFont val="Verdana"/>
            <family val="2"/>
          </rPr>
          <t xml:space="preserve"> to obtain </t>
        </r>
        <r>
          <rPr>
            <b/>
            <sz val="8"/>
            <color indexed="81"/>
            <rFont val="Verdana"/>
            <family val="2"/>
          </rPr>
          <t>c</t>
        </r>
        <r>
          <rPr>
            <b/>
            <vertAlign val="superscript"/>
            <sz val="8"/>
            <color indexed="81"/>
            <rFont val="Verdana"/>
            <family val="2"/>
          </rPr>
          <t>1</t>
        </r>
        <r>
          <rPr>
            <sz val="8"/>
            <color indexed="81"/>
            <rFont val="Verdana"/>
            <family val="2"/>
          </rPr>
          <t xml:space="preserve">, </t>
        </r>
        <r>
          <rPr>
            <b/>
            <sz val="8"/>
            <color indexed="81"/>
            <rFont val="Verdana"/>
            <family val="2"/>
          </rPr>
          <t>c</t>
        </r>
        <r>
          <rPr>
            <b/>
            <vertAlign val="superscript"/>
            <sz val="8"/>
            <color indexed="81"/>
            <rFont val="Verdana"/>
            <family val="2"/>
          </rPr>
          <t>2</t>
        </r>
        <r>
          <rPr>
            <sz val="8"/>
            <color indexed="81"/>
            <rFont val="Verdana"/>
            <family val="2"/>
          </rPr>
          <t xml:space="preserve">, </t>
        </r>
        <r>
          <rPr>
            <b/>
            <sz val="8"/>
            <color indexed="81"/>
            <rFont val="Verdana"/>
            <family val="2"/>
          </rPr>
          <t>c</t>
        </r>
        <r>
          <rPr>
            <b/>
            <vertAlign val="superscript"/>
            <sz val="8"/>
            <color indexed="81"/>
            <rFont val="Verdana"/>
            <family val="2"/>
          </rPr>
          <t>3</t>
        </r>
        <r>
          <rPr>
            <sz val="8"/>
            <color indexed="81"/>
            <rFont val="Verdana"/>
            <family val="2"/>
          </rPr>
          <t xml:space="preserve">, </t>
        </r>
        <r>
          <rPr>
            <b/>
            <sz val="8"/>
            <color indexed="81"/>
            <rFont val="Verdana"/>
            <family val="2"/>
          </rPr>
          <t>c</t>
        </r>
        <r>
          <rPr>
            <b/>
            <vertAlign val="superscript"/>
            <sz val="8"/>
            <color indexed="81"/>
            <rFont val="Verdana"/>
            <family val="2"/>
          </rPr>
          <t>4</t>
        </r>
        <r>
          <rPr>
            <sz val="8"/>
            <color indexed="81"/>
            <rFont val="Verdana"/>
            <family val="2"/>
          </rPr>
          <t xml:space="preserve">, and </t>
        </r>
        <r>
          <rPr>
            <b/>
            <sz val="8"/>
            <color indexed="81"/>
            <rFont val="Verdana"/>
            <family val="2"/>
          </rPr>
          <t>c</t>
        </r>
        <r>
          <rPr>
            <b/>
            <vertAlign val="superscript"/>
            <sz val="8"/>
            <color indexed="81"/>
            <rFont val="Verdana"/>
            <family val="2"/>
          </rPr>
          <t>5</t>
        </r>
        <r>
          <rPr>
            <sz val="8"/>
            <color indexed="81"/>
            <rFont val="Verdana"/>
            <family val="2"/>
          </rPr>
          <t>.</t>
        </r>
      </text>
    </comment>
    <comment ref="B20" authorId="1" shapeId="0" xr:uid="{489C0651-CAA2-47C4-A947-9C0559C19C9C}">
      <text>
        <r>
          <rPr>
            <sz val="8"/>
            <color indexed="81"/>
            <rFont val="Verdana"/>
            <family val="2"/>
          </rPr>
          <t xml:space="preserve">4. Using the formula provided, calculate the PV of the travel time cost savings for the activity option </t>
        </r>
        <r>
          <rPr>
            <b/>
            <sz val="8"/>
            <color indexed="81"/>
            <rFont val="Verdana"/>
            <family val="2"/>
          </rPr>
          <t>Cx</t>
        </r>
        <r>
          <rPr>
            <sz val="8"/>
            <color indexed="81"/>
            <rFont val="Verdana"/>
            <family val="2"/>
          </rPr>
          <t xml:space="preserve">. In the formula, each midpoint benefit value is multiplied by eight to obtain the eight yearly totals, which is then discounted to get the PV for each eight-year interval. </t>
        </r>
      </text>
    </comment>
    <comment ref="B22" authorId="0" shapeId="0" xr:uid="{4545EFDB-B587-4C16-A78D-400881EFDBFD}">
      <text>
        <r>
          <rPr>
            <sz val="8"/>
            <color indexed="81"/>
            <rFont val="Verdana"/>
            <family val="2"/>
          </rPr>
          <t xml:space="preserve">5. The results for each eight-year period are summed to obtain the PV total travel time savings, </t>
        </r>
        <r>
          <rPr>
            <b/>
            <sz val="8"/>
            <color indexed="81"/>
            <rFont val="Verdana"/>
            <family val="2"/>
          </rPr>
          <t>C</t>
        </r>
        <r>
          <rPr>
            <sz val="8"/>
            <color indexed="81"/>
            <rFont val="Verdana"/>
            <family val="2"/>
          </rPr>
          <t xml:space="preserve">. Transfer </t>
        </r>
        <r>
          <rPr>
            <b/>
            <sz val="8"/>
            <color indexed="81"/>
            <rFont val="Verdana"/>
            <family val="2"/>
          </rPr>
          <t>C</t>
        </r>
        <r>
          <rPr>
            <sz val="8"/>
            <color indexed="81"/>
            <rFont val="Verdana"/>
            <family val="2"/>
          </rPr>
          <t xml:space="preserve"> for the preferred option to worksheet 1.</t>
        </r>
      </text>
    </comment>
    <comment ref="C28" authorId="2" shapeId="0" xr:uid="{EAFCBEE9-65BB-4814-8DDB-8DD3F97D914C}">
      <text>
        <r>
          <rPr>
            <b/>
            <sz val="9"/>
            <color indexed="81"/>
            <rFont val="Tahoma"/>
            <family val="2"/>
          </rPr>
          <t>Graeme Belliss:</t>
        </r>
        <r>
          <rPr>
            <sz val="9"/>
            <color indexed="81"/>
            <rFont val="Tahoma"/>
            <family val="2"/>
          </rPr>
          <t xml:space="preserve">
Total undiscounted TT savings</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Coral</author>
    <author>Graeme Belliss</author>
  </authors>
  <commentList>
    <comment ref="B13" authorId="0" shapeId="0" xr:uid="{223460F0-D7F0-4260-821B-478491AA02F2}">
      <text>
        <r>
          <rPr>
            <sz val="8"/>
            <color indexed="81"/>
            <rFont val="Verdana"/>
            <family val="2"/>
          </rPr>
          <t xml:space="preserve">1. For each eight year time period, enter the value of the VOC at the midpoint for the do-minimum </t>
        </r>
        <r>
          <rPr>
            <b/>
            <sz val="8"/>
            <color indexed="81"/>
            <rFont val="Verdana"/>
            <family val="2"/>
          </rPr>
          <t>(1)</t>
        </r>
        <r>
          <rPr>
            <sz val="8"/>
            <color indexed="81"/>
            <rFont val="Verdana"/>
            <family val="2"/>
          </rPr>
          <t>. For example, in the first eight-year period (years 2 – 9), the end of year 5 is the midpoint; in years 34 – 40, the midpoint is the end of year 37.</t>
        </r>
      </text>
    </comment>
    <comment ref="B14" authorId="0" shapeId="0" xr:uid="{C7085DC9-4D0A-45B2-B558-B5B2D8FBBAC8}">
      <text>
        <r>
          <rPr>
            <sz val="8"/>
            <color indexed="81"/>
            <rFont val="Verdana"/>
            <family val="2"/>
          </rPr>
          <t xml:space="preserve">2. For each eight year time period, enter the value of the VOC at the midpoint for the activity option </t>
        </r>
        <r>
          <rPr>
            <b/>
            <sz val="8"/>
            <color indexed="81"/>
            <rFont val="Verdana"/>
            <family val="2"/>
          </rPr>
          <t>(2)</t>
        </r>
        <r>
          <rPr>
            <sz val="8"/>
            <color indexed="81"/>
            <rFont val="Verdana"/>
            <family val="2"/>
          </rPr>
          <t>.</t>
        </r>
      </text>
    </comment>
    <comment ref="B16" authorId="0" shapeId="0" xr:uid="{73889BC4-4223-4A4C-AB42-8600C508D926}">
      <text>
        <r>
          <rPr>
            <sz val="8"/>
            <color indexed="81"/>
            <rFont val="Verdana"/>
            <family val="2"/>
          </rPr>
          <t xml:space="preserve">3. For each six year time period, calculate the mid–point benefits </t>
        </r>
        <r>
          <rPr>
            <b/>
            <sz val="8"/>
            <color indexed="81"/>
            <rFont val="Verdana"/>
            <family val="2"/>
          </rPr>
          <t>(3)</t>
        </r>
        <r>
          <rPr>
            <sz val="8"/>
            <color indexed="81"/>
            <rFont val="Verdana"/>
            <family val="2"/>
          </rPr>
          <t xml:space="preserve"> by subtracting the option VOC </t>
        </r>
        <r>
          <rPr>
            <b/>
            <sz val="8"/>
            <color indexed="81"/>
            <rFont val="Verdana"/>
            <family val="2"/>
          </rPr>
          <t>(2)</t>
        </r>
        <r>
          <rPr>
            <sz val="8"/>
            <color indexed="81"/>
            <rFont val="Verdana"/>
            <family val="2"/>
          </rPr>
          <t xml:space="preserve"> from the do minimum VOC </t>
        </r>
        <r>
          <rPr>
            <b/>
            <sz val="8"/>
            <color indexed="81"/>
            <rFont val="Verdana"/>
            <family val="2"/>
          </rPr>
          <t>(1)</t>
        </r>
        <r>
          <rPr>
            <sz val="8"/>
            <color indexed="81"/>
            <rFont val="Verdana"/>
            <family val="2"/>
          </rPr>
          <t xml:space="preserve"> from to obtain </t>
        </r>
        <r>
          <rPr>
            <b/>
            <sz val="8"/>
            <color indexed="81"/>
            <rFont val="Verdana"/>
            <family val="2"/>
          </rPr>
          <t>c</t>
        </r>
        <r>
          <rPr>
            <b/>
            <vertAlign val="superscript"/>
            <sz val="8"/>
            <color indexed="81"/>
            <rFont val="Verdana"/>
            <family val="2"/>
          </rPr>
          <t>1</t>
        </r>
        <r>
          <rPr>
            <sz val="8"/>
            <color indexed="81"/>
            <rFont val="Verdana"/>
            <family val="2"/>
          </rPr>
          <t xml:space="preserve">, </t>
        </r>
        <r>
          <rPr>
            <b/>
            <sz val="8"/>
            <color indexed="81"/>
            <rFont val="Verdana"/>
            <family val="2"/>
          </rPr>
          <t>c</t>
        </r>
        <r>
          <rPr>
            <b/>
            <vertAlign val="superscript"/>
            <sz val="8"/>
            <color indexed="81"/>
            <rFont val="Verdana"/>
            <family val="2"/>
          </rPr>
          <t>2</t>
        </r>
        <r>
          <rPr>
            <sz val="8"/>
            <color indexed="81"/>
            <rFont val="Verdana"/>
            <family val="2"/>
          </rPr>
          <t xml:space="preserve">, </t>
        </r>
        <r>
          <rPr>
            <b/>
            <sz val="8"/>
            <color indexed="81"/>
            <rFont val="Verdana"/>
            <family val="2"/>
          </rPr>
          <t>c</t>
        </r>
        <r>
          <rPr>
            <b/>
            <vertAlign val="superscript"/>
            <sz val="8"/>
            <color indexed="81"/>
            <rFont val="Verdana"/>
            <family val="2"/>
          </rPr>
          <t>3</t>
        </r>
        <r>
          <rPr>
            <sz val="8"/>
            <color indexed="81"/>
            <rFont val="Verdana"/>
            <family val="2"/>
          </rPr>
          <t>,</t>
        </r>
        <r>
          <rPr>
            <b/>
            <sz val="8"/>
            <color indexed="81"/>
            <rFont val="Verdana"/>
            <family val="2"/>
          </rPr>
          <t xml:space="preserve"> c</t>
        </r>
        <r>
          <rPr>
            <b/>
            <vertAlign val="superscript"/>
            <sz val="8"/>
            <color indexed="81"/>
            <rFont val="Verdana"/>
            <family val="2"/>
          </rPr>
          <t>4</t>
        </r>
        <r>
          <rPr>
            <sz val="8"/>
            <color indexed="81"/>
            <rFont val="Verdana"/>
            <family val="2"/>
          </rPr>
          <t>, and</t>
        </r>
        <r>
          <rPr>
            <b/>
            <sz val="8"/>
            <color indexed="81"/>
            <rFont val="Verdana"/>
            <family val="2"/>
          </rPr>
          <t xml:space="preserve"> c</t>
        </r>
        <r>
          <rPr>
            <b/>
            <vertAlign val="superscript"/>
            <sz val="8"/>
            <color indexed="81"/>
            <rFont val="Verdana"/>
            <family val="2"/>
          </rPr>
          <t>5</t>
        </r>
        <r>
          <rPr>
            <sz val="8"/>
            <color indexed="81"/>
            <rFont val="Verdana"/>
            <family val="2"/>
          </rPr>
          <t>.</t>
        </r>
      </text>
    </comment>
    <comment ref="B17" authorId="1" shapeId="0" xr:uid="{BDF1EE24-D391-4FC8-989A-65348A1B8669}">
      <text>
        <r>
          <rPr>
            <sz val="8"/>
            <color indexed="81"/>
            <rFont val="Verdana"/>
            <family val="2"/>
          </rPr>
          <t xml:space="preserve">4. For each eight year time period, using the formula provided, calculate the PV of the VOC and CO2 benefits for the project option </t>
        </r>
        <r>
          <rPr>
            <b/>
            <sz val="8"/>
            <color indexed="81"/>
            <rFont val="Verdana"/>
            <family val="2"/>
          </rPr>
          <t>D</t>
        </r>
        <r>
          <rPr>
            <sz val="8"/>
            <color indexed="81"/>
            <rFont val="Verdana"/>
            <family val="2"/>
          </rPr>
          <t xml:space="preserve">. In the formula, each mid–point benefit value is multiplied by 8 to obtain the 8 yearly total, which is then discounted to get the PV for each 8 year interval. </t>
        </r>
      </text>
    </comment>
    <comment ref="B19" authorId="0" shapeId="0" xr:uid="{8E9B7E8A-68A3-4252-AC3A-695B72B0DE54}">
      <text>
        <r>
          <rPr>
            <sz val="8"/>
            <color indexed="81"/>
            <rFont val="Verdana"/>
            <family val="2"/>
          </rPr>
          <t>5. The results for each 8 year period are summed and multiplied by a factor of 1.04 to account for CO</t>
        </r>
        <r>
          <rPr>
            <vertAlign val="subscript"/>
            <sz val="8"/>
            <color indexed="81"/>
            <rFont val="Verdana"/>
            <family val="2"/>
          </rPr>
          <t>2</t>
        </r>
        <r>
          <rPr>
            <sz val="8"/>
            <color indexed="81"/>
            <rFont val="Verdana"/>
            <family val="2"/>
          </rPr>
          <t>, to obtain the PV total VOC and CO</t>
        </r>
        <r>
          <rPr>
            <vertAlign val="subscript"/>
            <sz val="8"/>
            <color indexed="81"/>
            <rFont val="Verdana"/>
            <family val="2"/>
          </rPr>
          <t>2</t>
        </r>
        <r>
          <rPr>
            <sz val="8"/>
            <color indexed="81"/>
            <rFont val="Verdana"/>
            <family val="2"/>
          </rPr>
          <t xml:space="preserve"> savings, </t>
        </r>
        <r>
          <rPr>
            <b/>
            <sz val="8"/>
            <color indexed="81"/>
            <rFont val="Verdana"/>
            <family val="2"/>
          </rPr>
          <t>D</t>
        </r>
        <r>
          <rPr>
            <sz val="8"/>
            <color indexed="81"/>
            <rFont val="Verdana"/>
            <family val="2"/>
          </rPr>
          <t xml:space="preserve">. Transfer </t>
        </r>
        <r>
          <rPr>
            <b/>
            <sz val="8"/>
            <color indexed="81"/>
            <rFont val="Verdana"/>
            <family val="2"/>
          </rPr>
          <t>D</t>
        </r>
        <r>
          <rPr>
            <sz val="8"/>
            <color indexed="81"/>
            <rFont val="Verdana"/>
            <family val="2"/>
          </rPr>
          <t xml:space="preserve"> for the preferred option to worksheet 1.</t>
        </r>
      </text>
    </comment>
    <comment ref="C25" authorId="2" shapeId="0" xr:uid="{DF045AD3-B9B2-40BD-8AD3-38E8C14B8405}">
      <text>
        <r>
          <rPr>
            <b/>
            <sz val="9"/>
            <color indexed="81"/>
            <rFont val="Tahoma"/>
            <family val="2"/>
          </rPr>
          <t>Graeme Belliss:</t>
        </r>
        <r>
          <rPr>
            <sz val="9"/>
            <color indexed="81"/>
            <rFont val="Tahoma"/>
            <family val="2"/>
          </rPr>
          <t xml:space="preserve">
Total undiscounted TT savings</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Information Services</author>
    <author>Graeme Belliss</author>
  </authors>
  <commentList>
    <comment ref="A15" authorId="0" shapeId="0" xr:uid="{7AA009E7-8717-4510-BCCB-072AAC2901AB}">
      <text>
        <r>
          <rPr>
            <sz val="8"/>
            <color indexed="81"/>
            <rFont val="Tahoma"/>
            <family val="2"/>
          </rPr>
          <t>3. Enter number of years of typical crash rate records</t>
        </r>
      </text>
    </comment>
    <comment ref="A16" authorId="0" shapeId="0" xr:uid="{5BC197F0-2C8F-4344-9DCD-E015916BDB05}">
      <text>
        <r>
          <rPr>
            <sz val="8"/>
            <color indexed="81"/>
            <rFont val="Tahoma"/>
            <family val="2"/>
          </rPr>
          <t>4. Enter the number of reported crashes in the reporting period for each of the severity categories</t>
        </r>
      </text>
    </comment>
    <comment ref="A19" authorId="0" shapeId="0" xr:uid="{F628BE2D-694C-4B8A-A4F2-FD7F58CC0186}">
      <text>
        <r>
          <rPr>
            <sz val="8"/>
            <color indexed="81"/>
            <rFont val="Tahoma"/>
            <family val="2"/>
          </rPr>
          <t>7. To get the crashes per year, divide (6) by (3).</t>
        </r>
      </text>
    </comment>
    <comment ref="A20" authorId="0" shapeId="0" xr:uid="{5F7CA793-AD77-4A45-8408-FB955286EE68}">
      <text>
        <r>
          <rPr>
            <sz val="8"/>
            <color indexed="81"/>
            <rFont val="Tahoma"/>
            <family val="2"/>
          </rPr>
          <t>8. Enter the adjustment factor for the crash trend from table A13</t>
        </r>
      </text>
    </comment>
    <comment ref="A21" authorId="0" shapeId="0" xr:uid="{BEE5069A-34B8-4E6B-9FBB-1D8735BE18E9}">
      <text>
        <r>
          <rPr>
            <sz val="8"/>
            <color indexed="81"/>
            <rFont val="Tahoma"/>
            <family val="2"/>
          </rPr>
          <t>9. Multiply (7) by (8) to obtain the crashes per year (at time zero) for each crash category</t>
        </r>
      </text>
    </comment>
    <comment ref="A23" authorId="0" shapeId="0" xr:uid="{39A98D66-B177-4437-AC72-D1768B4CBB93}">
      <text>
        <r>
          <rPr>
            <sz val="8"/>
            <color indexed="81"/>
            <rFont val="Tahoma"/>
            <family val="2"/>
          </rPr>
          <t>11. Multiply (9) by (10) to get the total estimated crashes per year</t>
        </r>
      </text>
    </comment>
    <comment ref="A26" authorId="0" shapeId="0" xr:uid="{51B71B4C-E7F4-4112-85C0-F8E80B1CBCC2}">
      <text>
        <r>
          <rPr>
            <sz val="8"/>
            <color indexed="81"/>
            <rFont val="Tahoma"/>
            <family val="2"/>
          </rPr>
          <t>14. Calculate the mean speed adjustment for the do minimum [((1) – 50) divided by 30]</t>
        </r>
      </text>
    </comment>
    <comment ref="A27" authorId="0" shapeId="0" xr:uid="{9B2314EA-19EE-4F18-A248-2B526DAA5409}">
      <text>
        <r>
          <rPr>
            <sz val="8"/>
            <color indexed="81"/>
            <rFont val="Tahoma"/>
            <family val="2"/>
          </rPr>
          <t>15. Calculate the cost per crash for the do minimum by adding (13) and (14) and then multiplying this by the difference between crash costs in (12) and (13).</t>
        </r>
      </text>
    </comment>
    <comment ref="A28" authorId="0" shapeId="0" xr:uid="{FF287EA3-58B2-41E1-B6FD-788901D11254}">
      <text>
        <r>
          <rPr>
            <sz val="8"/>
            <color indexed="81"/>
            <rFont val="Tahoma"/>
            <family val="2"/>
          </rPr>
          <t>16. Multiply crashes per year (11) by (15) to get cost per crash per year</t>
        </r>
      </text>
    </comment>
    <comment ref="A29" authorId="0" shapeId="0" xr:uid="{5921267D-365A-479A-B869-B1D9C2A0F086}">
      <text>
        <r>
          <rPr>
            <sz val="8"/>
            <color indexed="81"/>
            <rFont val="Tahoma"/>
            <family val="2"/>
          </rPr>
          <t>17. Add the costs for fatal, serious, minor and non–injury crashes in line (16) to get the total crash cost per year</t>
        </r>
      </text>
    </comment>
    <comment ref="A31" authorId="0" shapeId="0" xr:uid="{B3512728-630A-4446-BD46-E37528ECA6F5}">
      <text>
        <r>
          <rPr>
            <sz val="8"/>
            <color indexed="81"/>
            <rFont val="Tahoma"/>
            <family val="2"/>
          </rPr>
          <t xml:space="preserve">18. Determine the forecast percentage crash reduction for each crash category </t>
        </r>
      </text>
    </comment>
    <comment ref="A32" authorId="0" shapeId="0" xr:uid="{7D9E5813-ACCC-43A1-9B6A-8D2B14CBA36F}">
      <text>
        <r>
          <rPr>
            <sz val="8"/>
            <color indexed="81"/>
            <rFont val="Tahoma"/>
            <family val="2"/>
          </rPr>
          <t>19. Determine the proportion of crashes remaining [100% minus the percentage reduction in (18)]</t>
        </r>
      </text>
    </comment>
    <comment ref="A33" authorId="0" shapeId="0" xr:uid="{58BFC740-ECD4-4A4A-B23B-483C98C649CD}">
      <text>
        <r>
          <rPr>
            <sz val="8"/>
            <color indexed="81"/>
            <rFont val="Tahoma"/>
            <family val="2"/>
          </rPr>
          <t>20. Calculate the predicted crashes per year by multiplying the crashes per year of the do minimum (11) by the percentage of crashes remaining (19)</t>
        </r>
      </text>
    </comment>
    <comment ref="A38" authorId="0" shapeId="0" xr:uid="{4C33EBAA-9ACA-4068-912D-6D1A21CC2BF2}">
      <text>
        <r>
          <rPr>
            <sz val="8"/>
            <color indexed="81"/>
            <rFont val="Tahoma"/>
            <family val="2"/>
          </rPr>
          <t>25. Multiply the predicted number of crashes per year (20) by the cost per crash (24) to get the total crash costs per year for each crash category</t>
        </r>
      </text>
    </comment>
    <comment ref="A39" authorId="0" shapeId="0" xr:uid="{4DD43482-056F-424C-949F-00FBAED59C94}">
      <text>
        <r>
          <rPr>
            <sz val="8"/>
            <color indexed="81"/>
            <rFont val="Tahoma"/>
            <family val="2"/>
          </rPr>
          <t xml:space="preserve">26. Add together the costs for fatal, serious, minor and non–injury crashes to get total crash costs per year </t>
        </r>
      </text>
    </comment>
    <comment ref="A40" authorId="0" shapeId="0" xr:uid="{2E35E8A5-046D-4F7E-85BA-69060196EF48}">
      <text>
        <r>
          <rPr>
            <sz val="8"/>
            <color indexed="81"/>
            <rFont val="Tahoma"/>
            <family val="2"/>
          </rPr>
          <t xml:space="preserve">27. Calculate the annual crash cost savings by subtracting the values in (26) from (17). </t>
        </r>
      </text>
    </comment>
    <comment ref="A41" authorId="0" shapeId="0" xr:uid="{F85D1776-8055-478A-8703-8C2C8FBCF161}">
      <text>
        <r>
          <rPr>
            <sz val="8"/>
            <color indexed="81"/>
            <rFont val="Tahoma"/>
            <family val="2"/>
          </rPr>
          <t>28. Multiply the annual crash cost savings (27) – or the total from the crash rate or weighted crash analysis – by the discount factor for the appropriate speed limit and traffic growth rate to determine the PV crash cost savings.</t>
        </r>
      </text>
    </comment>
    <comment ref="B65" authorId="1" shapeId="0" xr:uid="{3A9141CD-0FE5-49DE-B1F4-6FEA8EB2AA86}">
      <text>
        <r>
          <rPr>
            <sz val="9"/>
            <color indexed="81"/>
            <rFont val="Tahoma"/>
            <family val="2"/>
          </rPr>
          <t>= F+S saved per year * 1.33 * (39+780*growth)</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A8" authorId="0" shapeId="0" xr:uid="{F2905F54-5910-4B8E-93C9-C53F009A9263}">
      <text>
        <r>
          <rPr>
            <b/>
            <sz val="8"/>
            <color indexed="81"/>
            <rFont val="Verdana"/>
            <family val="2"/>
          </rPr>
          <t>Cost benefit analysis</t>
        </r>
        <r>
          <rPr>
            <sz val="8"/>
            <color indexed="81"/>
            <rFont val="Verdana"/>
            <family val="2"/>
          </rPr>
          <t xml:space="preserve">
1. Under benefits, enter the discounted values for the public transport user benefits and the road traffic reduction benefits for each option. Add together the benefits to obtain the total benefits for each option.
2. Under costs, enter the discounted value of the funding assistance for each option.
3. Calculate the benefit cost ratio (BCR) for each option by dividing the PV of the total benefits by the PV of the funding assistance.</t>
        </r>
      </text>
    </comment>
    <comment ref="A23" authorId="0" shapeId="0" xr:uid="{566FA0B3-BB83-4407-9400-FB354F30D438}">
      <text>
        <r>
          <rPr>
            <sz val="8"/>
            <color indexed="81"/>
            <rFont val="Verdana"/>
            <family val="2"/>
          </rPr>
          <t>Incremental analysis
1. Rank the options, including the do-minimum, in order of increasing cost to government.
2. Compare the lowest cost option (usually the do-minimum) with the next higher cost option to calculate the incremental BCR.
3. If the incremental BCR is less than the target incremental BCR specified in sectoin 6.3 of the MBCM, discard the second (higher cost) option in favour of the first. Compare the first option with the next higher cost option.
4. If the incremental BCR is greater than the target incremental BCR, the second (higher cost) option becomes the basis for comparison against the next higher cost option.
5. Repeat the procedure until no higher cost options are available that have an incremental BCR greater than the target incremental BCR.</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<sst xmlns="http://schemas.openxmlformats.org/spreadsheetml/2006/main" count="2100" uniqueCount="902">
  <si>
    <t>Appraisal Summary Table Template</t>
  </si>
  <si>
    <t>Option number</t>
  </si>
  <si>
    <t>Date:</t>
  </si>
  <si>
    <t>Option Name:</t>
  </si>
  <si>
    <t>This is the preferred option</t>
  </si>
  <si>
    <t>One</t>
  </si>
  <si>
    <t>Problem/opportunity statement:</t>
  </si>
  <si>
    <t>Investment objectives:</t>
  </si>
  <si>
    <t>How project gives effect to GPS:</t>
  </si>
  <si>
    <t>How project gives effect to local community outcomes:</t>
  </si>
  <si>
    <t>… type</t>
  </si>
  <si>
    <t>1.  Summary of Non-Monetised Impacts (Description)</t>
  </si>
  <si>
    <t>2.  Summary of Financial Impacts (nominal, non-discounted)</t>
  </si>
  <si>
    <t>3.  Summary of Monetised Option Impacts (present value, discounted)</t>
  </si>
  <si>
    <t>Summary description of non-monetised measures and impacts</t>
  </si>
  <si>
    <t>Capital Costs</t>
  </si>
  <si>
    <t>N/A</t>
  </si>
  <si>
    <t>Operating Costs</t>
  </si>
  <si>
    <t>Total Economic Costs</t>
  </si>
  <si>
    <t>Total Financial Costs</t>
  </si>
  <si>
    <t>Transport Outcomes</t>
  </si>
  <si>
    <r>
      <t xml:space="preserve">Non-Monetised Impact:
</t>
    </r>
    <r>
      <rPr>
        <sz val="12"/>
        <color indexed="63"/>
        <rFont val="Calibri"/>
        <family val="2"/>
      </rPr>
      <t>(description in numerical or narrative terms)</t>
    </r>
  </si>
  <si>
    <r>
      <rPr>
        <b/>
        <sz val="12"/>
        <color indexed="56"/>
        <rFont val="Calibri"/>
        <family val="2"/>
      </rPr>
      <t>Monetised Impact:</t>
    </r>
    <r>
      <rPr>
        <sz val="12"/>
        <color indexed="56"/>
        <rFont val="Whitney Semibold"/>
      </rPr>
      <t xml:space="preserve">
</t>
    </r>
    <r>
      <rPr>
        <sz val="12"/>
        <color indexed="63"/>
        <rFont val="Calibri"/>
        <family val="2"/>
      </rPr>
      <t>(description in dollar terms in real terms, non-discounted)</t>
    </r>
  </si>
  <si>
    <t>Name of Benefit</t>
  </si>
  <si>
    <t>Name of Measure:</t>
  </si>
  <si>
    <t>Baseline:</t>
  </si>
  <si>
    <t>Do Minimum Impact:</t>
  </si>
  <si>
    <t>Option Impact:</t>
  </si>
  <si>
    <r>
      <rPr>
        <b/>
        <sz val="12"/>
        <color indexed="50"/>
        <rFont val="Calibri"/>
        <family val="2"/>
      </rPr>
      <t>Healthy and safe people</t>
    </r>
    <r>
      <rPr>
        <sz val="12"/>
        <color indexed="50"/>
        <rFont val="Whitney Semibold"/>
      </rPr>
      <t xml:space="preserve"> </t>
    </r>
    <r>
      <rPr>
        <i/>
        <sz val="12"/>
        <color indexed="63"/>
        <rFont val="Calibri"/>
        <family val="2"/>
      </rPr>
      <t>(Please insert a row below to add an additional benefit or measure, and delete rows as appropriate)</t>
    </r>
  </si>
  <si>
    <t>1.1 Impact on social cost and incidents of crashes</t>
  </si>
  <si>
    <t>1.1.3 Deaths and serious injuries</t>
  </si>
  <si>
    <t>3.1 Impact of mode on physical and mental health</t>
  </si>
  <si>
    <t>3.1.1 Physical health benefits from active modes</t>
  </si>
  <si>
    <r>
      <rPr>
        <b/>
        <sz val="12"/>
        <color indexed="52"/>
        <rFont val="Calibri"/>
        <family val="2"/>
      </rPr>
      <t>Resilience and security</t>
    </r>
    <r>
      <rPr>
        <sz val="12"/>
        <color indexed="53"/>
        <rFont val="Whitney Semibold"/>
      </rPr>
      <t xml:space="preserve"> </t>
    </r>
    <r>
      <rPr>
        <i/>
        <sz val="12"/>
        <color indexed="63"/>
        <rFont val="Calibri"/>
        <family val="2"/>
      </rPr>
      <t>(Please insert a row below to add an additional benefit or measure, and delete rows as appropriate)</t>
    </r>
  </si>
  <si>
    <r>
      <rPr>
        <b/>
        <sz val="12"/>
        <color indexed="53"/>
        <rFont val="Calibri"/>
        <family val="2"/>
      </rPr>
      <t xml:space="preserve">Economic prosperity - excluding wider economic impacts </t>
    </r>
    <r>
      <rPr>
        <i/>
        <sz val="12"/>
        <color indexed="63"/>
        <rFont val="Calibri"/>
        <family val="2"/>
      </rPr>
      <t>(Please insert a row below to add an additional benefit or measure, and delete rows as appropriate)</t>
    </r>
  </si>
  <si>
    <t>5.2 Impact on network productivity and utilisation</t>
  </si>
  <si>
    <t>10.1.9 Travel time</t>
  </si>
  <si>
    <r>
      <rPr>
        <b/>
        <sz val="12"/>
        <color indexed="17"/>
        <rFont val="Calibri"/>
        <family val="2"/>
      </rPr>
      <t>Environmental sustainability</t>
    </r>
    <r>
      <rPr>
        <i/>
        <sz val="12"/>
        <color indexed="50"/>
        <rFont val="Calibri"/>
        <family val="2"/>
      </rPr>
      <t xml:space="preserve"> </t>
    </r>
    <r>
      <rPr>
        <i/>
        <sz val="12"/>
        <rFont val="Calibri"/>
        <family val="2"/>
      </rPr>
      <t>(Please insert a row below to add an additional benefit or measure, and delete rows as appropriate)</t>
    </r>
  </si>
  <si>
    <t>8.1 Impact on greenhouse gas emissions</t>
  </si>
  <si>
    <t>8.1.1 CO2 emissions</t>
  </si>
  <si>
    <t>8.1.2 VKT</t>
  </si>
  <si>
    <t>9.1 Impact on resource efficiency</t>
  </si>
  <si>
    <t>9.1.1 Resource efficiency</t>
  </si>
  <si>
    <r>
      <rPr>
        <b/>
        <sz val="12"/>
        <color indexed="57"/>
        <rFont val="Calibri"/>
        <family val="2"/>
      </rPr>
      <t>Inclusive access</t>
    </r>
    <r>
      <rPr>
        <i/>
        <sz val="12"/>
        <color indexed="57"/>
        <rFont val="Calibri"/>
        <family val="2"/>
      </rPr>
      <t xml:space="preserve"> </t>
    </r>
    <r>
      <rPr>
        <i/>
        <sz val="12"/>
        <rFont val="Calibri"/>
        <family val="2"/>
      </rPr>
      <t>(Please insert a row below to add an additional benefit or measure, and delete rows as appropriate)</t>
    </r>
  </si>
  <si>
    <t>12.1 Impact on Te Ao Māori</t>
  </si>
  <si>
    <t>12.1.1 Te Ao Māori</t>
  </si>
  <si>
    <t>10.1 Impact on user experience of the transport system</t>
  </si>
  <si>
    <t>Rationale for option selection decision</t>
  </si>
  <si>
    <t>Healthy and safe people benefits</t>
  </si>
  <si>
    <t>Resilience and security benefits</t>
  </si>
  <si>
    <t>Economic Prosperity benefits</t>
  </si>
  <si>
    <t>Environmental sustainability benefits</t>
  </si>
  <si>
    <t>Inclusive access benefits</t>
  </si>
  <si>
    <t>4.1 Impact on system vunerabilities and redundancies</t>
  </si>
  <si>
    <t>5.1 Impact on system reliability</t>
  </si>
  <si>
    <t>7.1 Impact on water</t>
  </si>
  <si>
    <t>1.2 Impact on a safe system</t>
  </si>
  <si>
    <t>Double click to add alternative benefit</t>
  </si>
  <si>
    <t>7.2 Impact on land and biodiversity</t>
  </si>
  <si>
    <t>10.2 Impact on mode choice</t>
  </si>
  <si>
    <t>2.1 Impact on perceptions of safety and security</t>
  </si>
  <si>
    <t>6.1 Wider economic benefit (productivity)</t>
  </si>
  <si>
    <t>10.3 Impact on access to opportunities</t>
  </si>
  <si>
    <t>6.2 Wider economic benefit (employment impact)</t>
  </si>
  <si>
    <t>10.4 Impact on community cohesion</t>
  </si>
  <si>
    <t>3.2 Impact of air emissions on health</t>
  </si>
  <si>
    <t>6.3 Wider economic benefit (imperfect competition)</t>
  </si>
  <si>
    <t>11.1 Impact on heritage and cultural values</t>
  </si>
  <si>
    <t>3.3 Impact of noise and vibration on health</t>
  </si>
  <si>
    <t>6.4 Wider economic benefit (regional economic development)</t>
  </si>
  <si>
    <t>11.2 Impact on landscape</t>
  </si>
  <si>
    <t>Measures</t>
  </si>
  <si>
    <t>11.3 Impact on townscape</t>
  </si>
  <si>
    <t>1.1.1 Collective risk (crash density)</t>
  </si>
  <si>
    <t>1.1.2 Crashes by severity</t>
  </si>
  <si>
    <t>1.1.4 Personal risk (crash rate)</t>
  </si>
  <si>
    <t>1.1 Impact on social cost of deaths and serious injuries</t>
  </si>
  <si>
    <t>1.2.1 Road assessment rating - roads</t>
  </si>
  <si>
    <t>1.2.2 Road assessment rating - state highways</t>
  </si>
  <si>
    <t>1.2.3 Travel speed gap</t>
  </si>
  <si>
    <t>2.1.1 Access - perception</t>
  </si>
  <si>
    <t>3.2.1 Ambient air quality - NO2</t>
  </si>
  <si>
    <t>3.2.2 Ambient air quality - PM10</t>
  </si>
  <si>
    <t>3.3.1 Noise level</t>
  </si>
  <si>
    <t>4.1.1 Availablity of a viable alternative to high-risk and high-impact route</t>
  </si>
  <si>
    <t>4.1.2 Level of service and risk</t>
  </si>
  <si>
    <t>5.1.1 Punctuality - public transport</t>
  </si>
  <si>
    <t>5.1.2 Travel time reliability - motor vehicles</t>
  </si>
  <si>
    <t>5.1.3 Travel time delay</t>
  </si>
  <si>
    <t>5.1.4 Temporal availability - road</t>
  </si>
  <si>
    <t>5.2.1 Spatial coverage - freight</t>
  </si>
  <si>
    <t>5.2.2 Freight - mode share value</t>
  </si>
  <si>
    <t>5.2.3 Freight - mode share weight</t>
  </si>
  <si>
    <t>5.2.4 Freight - throughput value</t>
  </si>
  <si>
    <t>5.2.5 Freight - throughput weight</t>
  </si>
  <si>
    <t>5.2.6 Access to key economic destinations (all modes)</t>
  </si>
  <si>
    <t>7.1.1 Water quality</t>
  </si>
  <si>
    <t>7.2.1 Biodiversity</t>
  </si>
  <si>
    <t>7.2.2 Productive land</t>
  </si>
  <si>
    <t>9.1.2 Embodied carbon</t>
  </si>
  <si>
    <t>9.1.3 Energy use</t>
  </si>
  <si>
    <t>10.1.1 People - throughput of pedestrians, cyclists and public transport boardings</t>
  </si>
  <si>
    <t>(Repeat) 2.1.1 Access - perception</t>
  </si>
  <si>
    <t>10.1.2 Pedestrian delay</t>
  </si>
  <si>
    <t>10.1.3 Ease of getting on/off public transport services</t>
  </si>
  <si>
    <t>10.1.4 Network condition - cycling</t>
  </si>
  <si>
    <t>10.1.5 Network condition - road</t>
  </si>
  <si>
    <t>10.1.6 People - throughput</t>
  </si>
  <si>
    <t>10.1.7 People - throughput (UCP)</t>
  </si>
  <si>
    <t>10.1.8 Traffic - throughput</t>
  </si>
  <si>
    <t>10.2.1 People - mode share</t>
  </si>
  <si>
    <t>(Repeat) 8.1.2 Mode shift from single occupancy private vehicle</t>
  </si>
  <si>
    <t>8.1.2 Mode shift from single occupancy private vehicle</t>
  </si>
  <si>
    <t>10.2.2 Accessibility - public transport facilities</t>
  </si>
  <si>
    <t>10.2.3 Spatial coverage - cycle lanes and paths</t>
  </si>
  <si>
    <t>10.2.4 Spatial coverage - cycling facilities</t>
  </si>
  <si>
    <t>10.2.5 Spatial coverage - public transport - employees</t>
  </si>
  <si>
    <t>10.2.6 Spatial coverage - public transport - resident population</t>
  </si>
  <si>
    <t>10.2.6a Spatial coverage - public transport - new residential dwellings</t>
  </si>
  <si>
    <t>10.2.7 Temporal availability - public transport</t>
  </si>
  <si>
    <t>10.2.8 Cost of access to key destinations - all modes</t>
  </si>
  <si>
    <t>10.2.9 Pricing - more efficient</t>
  </si>
  <si>
    <t>10.2.10 Traffic - mode share (number)</t>
  </si>
  <si>
    <t>10.2.10b Traffic - mode share (distance)</t>
  </si>
  <si>
    <t>10.3.1 Access to key social destinations (all modes)</t>
  </si>
  <si>
    <t>10.4.1 Social connectedness</t>
  </si>
  <si>
    <t>10.4.2 Isolation</t>
  </si>
  <si>
    <t>10.4.3 Severance</t>
  </si>
  <si>
    <t>11.1.1 Amenity value - natural and built environment</t>
  </si>
  <si>
    <t>11.1.2 Heritage and cultural values</t>
  </si>
  <si>
    <t>11.2.1 Landscape</t>
  </si>
  <si>
    <t>11.3.1 Townscape</t>
  </si>
  <si>
    <t>Please type in alternate measure</t>
  </si>
  <si>
    <t>Discount rate</t>
  </si>
  <si>
    <t xml:space="preserve">Base year </t>
  </si>
  <si>
    <t>Traffic growth</t>
  </si>
  <si>
    <t>Period of analysis</t>
  </si>
  <si>
    <t>Uniform series conversion factor</t>
  </si>
  <si>
    <t>Arithmetic series conversion factor</t>
  </si>
  <si>
    <t>Bespoke</t>
  </si>
  <si>
    <t>Blank</t>
  </si>
  <si>
    <t>USPWF(1)</t>
  </si>
  <si>
    <t>USPWF(E)</t>
  </si>
  <si>
    <t>AGPWF(E)</t>
  </si>
  <si>
    <t>AGPWF(1)</t>
  </si>
  <si>
    <t>Conversion factor (discounted to real)</t>
  </si>
  <si>
    <t>LABEL_SYS</t>
  </si>
  <si>
    <t>KEY</t>
  </si>
  <si>
    <t>VALUE</t>
  </si>
  <si>
    <t>Worksheet 1 - Evaluation Summary and TIO Upload</t>
  </si>
  <si>
    <t>Effective from 31 August 2020</t>
  </si>
  <si>
    <t>Upload V9.0 (31Aug2020)</t>
  </si>
  <si>
    <t>ECONOMIC_EVAL_COMPLETED_DATE</t>
  </si>
  <si>
    <t>This spreadsheet can be automatically uploaded into Transport Investment Online. To enable automatic upload please do not adjust the columns or rows.</t>
  </si>
  <si>
    <t>TIMEZERO_ECONOMIC_EVAL_DATE</t>
  </si>
  <si>
    <t>Activity name</t>
  </si>
  <si>
    <t>BASE_DATE_COSTS_BENEFITS</t>
  </si>
  <si>
    <t>Reference</t>
  </si>
  <si>
    <t>ROAD_TRAFFIC_AADT</t>
  </si>
  <si>
    <t>base_rate</t>
  </si>
  <si>
    <t>growth_rate</t>
  </si>
  <si>
    <t>Evaluator(s)                                      - name, organisation</t>
  </si>
  <si>
    <t>PEDESTRIANS_AAD</t>
  </si>
  <si>
    <t>Reviewer(s)                                       - name, organisation</t>
  </si>
  <si>
    <t>Date of evaluation</t>
  </si>
  <si>
    <t>mm/yyyy</t>
  </si>
  <si>
    <t>new</t>
  </si>
  <si>
    <t>CYCLISTS_AAD</t>
  </si>
  <si>
    <t>Time zero / implementation start date</t>
  </si>
  <si>
    <t>1 July yyyy</t>
  </si>
  <si>
    <t>Construction duration</t>
  </si>
  <si>
    <t>Months</t>
  </si>
  <si>
    <t>Base date of costs and benefits</t>
  </si>
  <si>
    <t>ANNUAL_PATRONAGE_TOTAL</t>
  </si>
  <si>
    <t>Location</t>
  </si>
  <si>
    <t>Problem definition</t>
  </si>
  <si>
    <t>ANNUAL_PATRONAGE_PEAK</t>
  </si>
  <si>
    <t>Do minimum description</t>
  </si>
  <si>
    <t>Alternatives considered (or page references to relevant)</t>
  </si>
  <si>
    <t>FREIGHT_VOLUME</t>
  </si>
  <si>
    <t>Options considered (or page references to relevant)</t>
  </si>
  <si>
    <t>Preferred option description</t>
  </si>
  <si>
    <t>HEAVY_VEHICLES_VOLUME_AADT</t>
  </si>
  <si>
    <t>Statistics</t>
  </si>
  <si>
    <t>Base rate</t>
  </si>
  <si>
    <t>Growth rate (%)</t>
  </si>
  <si>
    <t>New users/transfer</t>
  </si>
  <si>
    <t>Road traffic - Annual Average Daily Traffic (AADT)</t>
  </si>
  <si>
    <t>AADT</t>
  </si>
  <si>
    <t>HEAVY_VEHICLES_VOLUME_RATE</t>
  </si>
  <si>
    <t>Pedestrians - Annual Average Daily</t>
  </si>
  <si>
    <t>Count</t>
  </si>
  <si>
    <t>ROAD_CATEGORY</t>
  </si>
  <si>
    <t xml:space="preserve">Cyclists - Annual Average Daily </t>
  </si>
  <si>
    <t>ROUGHNESS</t>
  </si>
  <si>
    <t>before</t>
  </si>
  <si>
    <t>Annual Patronage - Total</t>
  </si>
  <si>
    <t>after</t>
  </si>
  <si>
    <t>Annual Patronage - Peak Period</t>
  </si>
  <si>
    <t>POSTED_SPEED</t>
  </si>
  <si>
    <t>Freight volume</t>
  </si>
  <si>
    <t>tonnes</t>
  </si>
  <si>
    <t>Heavy Vehicles Volume</t>
  </si>
  <si>
    <t>AVERAGE_TRAFFIC_SPPEED</t>
  </si>
  <si>
    <t>%</t>
  </si>
  <si>
    <t>Road Category</t>
  </si>
  <si>
    <t>ROAD_LENGTH</t>
  </si>
  <si>
    <t>Before</t>
  </si>
  <si>
    <t>After</t>
  </si>
  <si>
    <t>ROAD_WIDTH</t>
  </si>
  <si>
    <t>Roughness</t>
  </si>
  <si>
    <t>IRI/NAASRA</t>
  </si>
  <si>
    <t>Posted speed</t>
  </si>
  <si>
    <t>km/h</t>
  </si>
  <si>
    <t>TRAVEL_TIME</t>
  </si>
  <si>
    <t>Average traffic speed</t>
  </si>
  <si>
    <t>Length of road / route</t>
  </si>
  <si>
    <t>km</t>
  </si>
  <si>
    <t>PEAK_PERIOD_AM</t>
  </si>
  <si>
    <t>start</t>
  </si>
  <si>
    <t>Road width</t>
  </si>
  <si>
    <t>metres</t>
  </si>
  <si>
    <t>stop</t>
  </si>
  <si>
    <t>Travel time on route</t>
  </si>
  <si>
    <t>minutes</t>
  </si>
  <si>
    <t>PEAK_PERIOD_PM</t>
  </si>
  <si>
    <t>Period start am</t>
  </si>
  <si>
    <t>Period stop am</t>
  </si>
  <si>
    <t>Period start pm</t>
  </si>
  <si>
    <t>Period stop pm</t>
  </si>
  <si>
    <t>PEAK_PERIOD_FLOW</t>
  </si>
  <si>
    <t xml:space="preserve">Peak Period  </t>
  </si>
  <si>
    <t>RECORDED_CRASHES</t>
  </si>
  <si>
    <t>fatal</t>
  </si>
  <si>
    <t>Peak Period Traffic flow</t>
  </si>
  <si>
    <t>Vehicles/hr</t>
  </si>
  <si>
    <t>serious</t>
  </si>
  <si>
    <t>minor</t>
  </si>
  <si>
    <t>Period of crash analysis</t>
  </si>
  <si>
    <t>yyyy - yyyy</t>
  </si>
  <si>
    <t>non_injury</t>
  </si>
  <si>
    <t>ESTIMATED_CRASHES</t>
  </si>
  <si>
    <t>Fatal</t>
  </si>
  <si>
    <t>Serious</t>
  </si>
  <si>
    <t>Minor</t>
  </si>
  <si>
    <t>Non Injury</t>
  </si>
  <si>
    <t>Total estimated crashes per year - do minimum (row 11)</t>
  </si>
  <si>
    <t>Predicted crashes per year - preferred option (row 20)</t>
  </si>
  <si>
    <t>PREDICTED_CRASHES</t>
  </si>
  <si>
    <t>Heavy Vehicle Trips Saved (average per year)</t>
  </si>
  <si>
    <t>count</t>
  </si>
  <si>
    <t>Total DSI saved</t>
  </si>
  <si>
    <t>Vehicle Operating Cost Savings (per annum)</t>
  </si>
  <si>
    <t>$/vehicle</t>
  </si>
  <si>
    <t>VOC saving</t>
  </si>
  <si>
    <t>Travel time savings (per day)</t>
  </si>
  <si>
    <t>Total hours saved</t>
  </si>
  <si>
    <t>HEAVY_VEHICLE_TRIPS_SAVED</t>
  </si>
  <si>
    <t>VEHICLE_OPERATING_COST</t>
  </si>
  <si>
    <t>Costs</t>
  </si>
  <si>
    <t>Do minimum</t>
  </si>
  <si>
    <t>Preferred option</t>
  </si>
  <si>
    <t>TRAVEL_TIME_SAVINGS</t>
  </si>
  <si>
    <t>Construction / implementation</t>
  </si>
  <si>
    <t>$</t>
  </si>
  <si>
    <t>CONSTRUCTION_COST</t>
  </si>
  <si>
    <t>do_min</t>
  </si>
  <si>
    <t>option</t>
  </si>
  <si>
    <t>Present Value Construction / implementation</t>
  </si>
  <si>
    <t>PV_CONSTRUCTION</t>
  </si>
  <si>
    <t>Present Value Maintenance, renewal and operating costs</t>
  </si>
  <si>
    <t>Present Value Total costs (whole of life)</t>
  </si>
  <si>
    <t>PV_MAINTENANCE</t>
  </si>
  <si>
    <t>Present Value Cost savings</t>
  </si>
  <si>
    <t>PV_TOTAL_COST</t>
  </si>
  <si>
    <t>Present Value Funding assistance</t>
  </si>
  <si>
    <t>PV_COST_SAVINGS</t>
  </si>
  <si>
    <t>Total Value (undiscounted)</t>
  </si>
  <si>
    <t>PV_FUNDING_ASSIST</t>
  </si>
  <si>
    <t>Travel time cost savings</t>
  </si>
  <si>
    <t>TRAVEL_TIME_COST_SAVINGS</t>
  </si>
  <si>
    <t>present</t>
  </si>
  <si>
    <t>Vehicle operating cost savings</t>
  </si>
  <si>
    <t>VEHICLE_OP_COST_SAVINGS</t>
  </si>
  <si>
    <t>Crash cost savings</t>
  </si>
  <si>
    <t>CRASH_COST_SAVINGS</t>
  </si>
  <si>
    <t>Seal extension benefits</t>
  </si>
  <si>
    <t>SEAL_EXTENSION_BEFEFITS</t>
  </si>
  <si>
    <t>Driver frustration reduction benefits</t>
  </si>
  <si>
    <t>DRIVER_FRUST_REDUCT_BENEFITS</t>
  </si>
  <si>
    <t>Risk reduction benefits</t>
  </si>
  <si>
    <t>RISK_REDUCT_BENEFITS</t>
  </si>
  <si>
    <t>Vehicle emission reduction benefits</t>
  </si>
  <si>
    <t>VEHICLE_EMIS_REDUCT_BEFEFITS</t>
  </si>
  <si>
    <t>Other external benefits (noise, visual, impact etc)</t>
  </si>
  <si>
    <t>EXTERNAL_BENEFITS</t>
  </si>
  <si>
    <t>Mode change benefits</t>
  </si>
  <si>
    <t>MODE_CHANGE_BENEFITS</t>
  </si>
  <si>
    <t>WALKING_CYCLING_BENEFITS</t>
  </si>
  <si>
    <t>Service or facility user benefits</t>
  </si>
  <si>
    <t>SERVICE_FACILITY_BENEFITS</t>
  </si>
  <si>
    <t>Parking user cost savings</t>
  </si>
  <si>
    <t>PARKING_COST_SAVINGS</t>
  </si>
  <si>
    <t>Dis-benefits during implementation/construction</t>
  </si>
  <si>
    <t>DISBENEFITS</t>
  </si>
  <si>
    <t>Road Traffic reduction benefits</t>
  </si>
  <si>
    <t>TRAFFIC_REDUCTION_BENEFITS</t>
  </si>
  <si>
    <t>National strategic benefits</t>
  </si>
  <si>
    <t>NATIONAL_STRATEGIC_BENEFITS</t>
  </si>
  <si>
    <t>Agglomeration benefits (WEB)</t>
  </si>
  <si>
    <t>AGGLOMERATION_BENEFITS</t>
  </si>
  <si>
    <t>Increased Labour Supply (WEB)</t>
  </si>
  <si>
    <t>INCREASED_LABOUR_SUPPLY</t>
  </si>
  <si>
    <t>Imperfect Competition (WEB)</t>
  </si>
  <si>
    <t>IMPERFECT_COMPETITION</t>
  </si>
  <si>
    <t>TOTAL_BENEFITS</t>
  </si>
  <si>
    <t>BCR_NATIONAL</t>
  </si>
  <si>
    <t>Non monetised benefits or national strategic factors</t>
  </si>
  <si>
    <t>BCR_GOVERNMENT</t>
  </si>
  <si>
    <t>FIRST_YEAR_RATE_OF_RETURN</t>
  </si>
  <si>
    <t>Benefit Cost Ratio (BCRn) National</t>
  </si>
  <si>
    <t>BCR_RANGE</t>
  </si>
  <si>
    <t>low</t>
  </si>
  <si>
    <t>Benefit Cost Ratio (BCRg) Government</t>
  </si>
  <si>
    <t>high</t>
  </si>
  <si>
    <t>First Year Rate of Return (FYRR)</t>
  </si>
  <si>
    <t>HEAVY_VEHICLE_TRIPS_SAVED_PERIOD</t>
  </si>
  <si>
    <t>VEHICLE_OPERATING_COST_PERIOD</t>
  </si>
  <si>
    <t>Sensitivity Analysis  - BCR range</t>
  </si>
  <si>
    <t>TRAVEL_TIME_SAVINGS_PERIOD</t>
  </si>
  <si>
    <t>total</t>
  </si>
  <si>
    <t>Road category</t>
  </si>
  <si>
    <t>Motorway</t>
  </si>
  <si>
    <t>Urban arterial</t>
  </si>
  <si>
    <t>Urban other</t>
  </si>
  <si>
    <t>Rural strategic</t>
  </si>
  <si>
    <t>Rural other</t>
  </si>
  <si>
    <t>General Information</t>
  </si>
  <si>
    <t>limitations of usage</t>
  </si>
  <si>
    <t>Full procedures must be used if these criteria are not met.</t>
  </si>
  <si>
    <t>Northland</t>
  </si>
  <si>
    <t>Auckland</t>
  </si>
  <si>
    <t>Waikato</t>
  </si>
  <si>
    <r>
      <t>-</t>
    </r>
    <r>
      <rPr>
        <b/>
        <sz val="10"/>
        <rFont val="Verdana"/>
        <family val="2"/>
      </rPr>
      <t>pale yellow, non-bordered cells</t>
    </r>
    <r>
      <rPr>
        <sz val="10"/>
        <rFont val="Verdana"/>
        <family val="2"/>
      </rPr>
      <t xml:space="preserve"> are generally open for overlaying or inputting data or information as required</t>
    </r>
  </si>
  <si>
    <t>Gisborne</t>
  </si>
  <si>
    <r>
      <t>-</t>
    </r>
    <r>
      <rPr>
        <b/>
        <sz val="10"/>
        <rFont val="Verdana"/>
        <family val="2"/>
      </rPr>
      <t>white, non-bordered cells</t>
    </r>
    <r>
      <rPr>
        <sz val="10"/>
        <rFont val="Verdana"/>
        <family val="2"/>
      </rPr>
      <t xml:space="preserve"> are generally auto-populate cells and their data are calculated/transferred from other cells</t>
    </r>
  </si>
  <si>
    <t>Hawkes Bay</t>
  </si>
  <si>
    <r>
      <t>-</t>
    </r>
    <r>
      <rPr>
        <b/>
        <sz val="10"/>
        <rFont val="Verdana"/>
        <family val="2"/>
      </rPr>
      <t>green, black bordered cells</t>
    </r>
    <r>
      <rPr>
        <sz val="10"/>
        <rFont val="Verdana"/>
        <family val="2"/>
      </rPr>
      <t xml:space="preserve"> are providing further guidance or links for external resources.</t>
    </r>
  </si>
  <si>
    <t>Taranaki</t>
  </si>
  <si>
    <t>Manawatu-Wanganui</t>
  </si>
  <si>
    <t>Wellington</t>
  </si>
  <si>
    <t>Worksheet title (and link):</t>
  </si>
  <si>
    <t>Marlborough</t>
  </si>
  <si>
    <t xml:space="preserve">    a brief description</t>
  </si>
  <si>
    <t>Nelson</t>
  </si>
  <si>
    <t>Canterbury</t>
  </si>
  <si>
    <t xml:space="preserve">   - Provides a summary of the general data used for the evaluation as well as the results of the analysis.</t>
  </si>
  <si>
    <t>West Coast</t>
  </si>
  <si>
    <t xml:space="preserve"> </t>
  </si>
  <si>
    <t>Otago</t>
  </si>
  <si>
    <t>Southland</t>
  </si>
  <si>
    <t xml:space="preserve">   - This worksheet is used to calculate the PV costs of the option 2. Not required if there is no option 2.</t>
  </si>
  <si>
    <t xml:space="preserve">   - This worksheet is used to calculate the PV costs of the option 3. Not required if there is no option 3.</t>
  </si>
  <si>
    <t xml:space="preserve">   - This worksheet is used for calculating travel time cost savings.</t>
  </si>
  <si>
    <r>
      <t xml:space="preserve">   - This worksheet is used for calculating crash cost savings using </t>
    </r>
    <r>
      <rPr>
        <b/>
        <sz val="10"/>
        <rFont val="Verdana"/>
        <family val="2"/>
      </rPr>
      <t>crash-by-crash analysis</t>
    </r>
    <r>
      <rPr>
        <sz val="10"/>
        <rFont val="Verdana"/>
        <family val="2"/>
      </rPr>
      <t xml:space="preserve"> method (method A in appendix A6).</t>
    </r>
  </si>
  <si>
    <t xml:space="preserve">   - This worksheet is used for relative comparison of the options.</t>
  </si>
  <si>
    <t xml:space="preserve">Worksheet Completion Steps: </t>
  </si>
  <si>
    <t>* See PIKB for guidance on selection of preferred option using NZTA's business case approach</t>
  </si>
  <si>
    <t xml:space="preserve">Spreadsheet problems? </t>
  </si>
  <si>
    <t>Email: MBCM@nzta.govt.nz</t>
  </si>
  <si>
    <t>Worksheet 1 - Evaluation summary</t>
  </si>
  <si>
    <t>Evaluator(s)</t>
  </si>
  <si>
    <t>full name, contact details, name of organisation, office location, etc</t>
  </si>
  <si>
    <t>Reviewer(s)</t>
  </si>
  <si>
    <t>Approved organisation name</t>
  </si>
  <si>
    <t>Your reference</t>
  </si>
  <si>
    <t>Activity description</t>
  </si>
  <si>
    <t>Describe the issues to be addressed</t>
  </si>
  <si>
    <t>Brief description of location</t>
  </si>
  <si>
    <t>Alternatives and options</t>
  </si>
  <si>
    <t>Describe the do-minimum</t>
  </si>
  <si>
    <t>Summarise the options assessed</t>
  </si>
  <si>
    <t>Timing</t>
  </si>
  <si>
    <t>Time zero (assumed construction start date)</t>
  </si>
  <si>
    <t>1 July</t>
  </si>
  <si>
    <t>the financial year in which the activity is submitted for a commitment to funding.</t>
  </si>
  <si>
    <t>Expected duration of construction (months)</t>
  </si>
  <si>
    <t>Economic efficiency</t>
  </si>
  <si>
    <t>Date economic evaluation completed (mm/yyyy)</t>
  </si>
  <si>
    <t>Base date for costs and benefits</t>
  </si>
  <si>
    <t>the financial year which represents the present year for the calculation of PVs.</t>
  </si>
  <si>
    <t>PV cost of do-minimum</t>
  </si>
  <si>
    <t>A</t>
  </si>
  <si>
    <r>
      <t xml:space="preserve">type in the value of </t>
    </r>
    <r>
      <rPr>
        <b/>
        <sz val="8"/>
        <rFont val="Verdana"/>
        <family val="2"/>
      </rPr>
      <t>A</t>
    </r>
    <r>
      <rPr>
        <sz val="8"/>
        <rFont val="Verdana"/>
        <family val="2"/>
      </rPr>
      <t xml:space="preserve"> from the worksheet 2.</t>
    </r>
  </si>
  <si>
    <t>PV cost of the preferred option</t>
  </si>
  <si>
    <t>B</t>
  </si>
  <si>
    <r>
      <t xml:space="preserve">type in the value of </t>
    </r>
    <r>
      <rPr>
        <b/>
        <sz val="8"/>
        <rFont val="Verdana"/>
        <family val="2"/>
      </rPr>
      <t>B</t>
    </r>
    <r>
      <rPr>
        <sz val="8"/>
        <rFont val="Verdana"/>
        <family val="2"/>
      </rPr>
      <t xml:space="preserve"> from the worksheet 3 (preferred option). Repeated on table to right</t>
    </r>
  </si>
  <si>
    <t>Benefit values from worksheet 4, 5, 6</t>
  </si>
  <si>
    <t xml:space="preserve">PV travel time cost savings  </t>
  </si>
  <si>
    <r>
      <t>C</t>
    </r>
    <r>
      <rPr>
        <sz val="8"/>
        <rFont val="Verdana"/>
        <family val="2"/>
      </rPr>
      <t xml:space="preserve"> x Update factor </t>
    </r>
    <r>
      <rPr>
        <vertAlign val="superscript"/>
        <sz val="8"/>
        <rFont val="Verdana"/>
        <family val="2"/>
      </rPr>
      <t>TT</t>
    </r>
  </si>
  <si>
    <t>= $</t>
  </si>
  <si>
    <r>
      <rPr>
        <sz val="8"/>
        <rFont val="Verdana"/>
        <family val="2"/>
      </rPr>
      <t xml:space="preserve">visit </t>
    </r>
    <r>
      <rPr>
        <u/>
        <sz val="8"/>
        <color indexed="12"/>
        <rFont val="Verdana"/>
        <family val="2"/>
      </rPr>
      <t>MBCM web page</t>
    </r>
    <r>
      <rPr>
        <sz val="8"/>
        <rFont val="Verdana"/>
        <family val="2"/>
      </rPr>
      <t xml:space="preserve"> for the latest update factors</t>
    </r>
  </si>
  <si>
    <t>Y</t>
  </si>
  <si>
    <t>Z</t>
  </si>
  <si>
    <r>
      <t>BCR</t>
    </r>
    <r>
      <rPr>
        <vertAlign val="subscript"/>
        <sz val="8"/>
        <rFont val="Verdana"/>
        <family val="2"/>
      </rPr>
      <t>N</t>
    </r>
    <r>
      <rPr>
        <sz val="8"/>
        <rFont val="Verdana"/>
        <family val="2"/>
      </rPr>
      <t xml:space="preserve">   =</t>
    </r>
  </si>
  <si>
    <t>PV net benefits</t>
  </si>
  <si>
    <t>=</t>
  </si>
  <si>
    <t>B - A</t>
  </si>
  <si>
    <t>FYRR   =</t>
  </si>
  <si>
    <t>Historic maintenance cost data (indicate whether assessed or actual)</t>
  </si>
  <si>
    <t>Maintenance costs for the site over last three years</t>
  </si>
  <si>
    <t>Maintenance costs for the site this year</t>
  </si>
  <si>
    <t>x</t>
  </si>
  <si>
    <t>(a)</t>
  </si>
  <si>
    <t>Time zero</t>
  </si>
  <si>
    <t>1st July in the year</t>
  </si>
  <si>
    <t>Periodic maintenance will be required in the following years:</t>
  </si>
  <si>
    <t>Year</t>
  </si>
  <si>
    <t>Type of maintenance</t>
  </si>
  <si>
    <t>Amount $</t>
  </si>
  <si>
    <t>SPPWF</t>
  </si>
  <si>
    <t>Sum of PV of periodic maintenance $</t>
  </si>
  <si>
    <t>(b)</t>
  </si>
  <si>
    <t>(c)</t>
  </si>
  <si>
    <r>
      <t xml:space="preserve">Transfer the PV cost of do minimum </t>
    </r>
    <r>
      <rPr>
        <b/>
        <sz val="8"/>
        <rFont val="Verdana"/>
        <family val="2"/>
      </rPr>
      <t>A</t>
    </r>
    <r>
      <rPr>
        <sz val="8"/>
        <rFont val="Verdana"/>
        <family val="2"/>
      </rPr>
      <t xml:space="preserve">, to </t>
    </r>
    <r>
      <rPr>
        <b/>
        <sz val="8"/>
        <rFont val="Verdana"/>
        <family val="2"/>
      </rPr>
      <t>A</t>
    </r>
    <r>
      <rPr>
        <sz val="8"/>
        <rFont val="Verdana"/>
        <family val="2"/>
      </rPr>
      <t xml:space="preserve"> on worksheet 1.</t>
    </r>
  </si>
  <si>
    <t xml:space="preserve"> =   $</t>
  </si>
  <si>
    <t>(years 2 to</t>
  </si>
  <si>
    <t xml:space="preserve"> inclusive) $</t>
  </si>
  <si>
    <t>PV of periodic maintenance costs</t>
  </si>
  <si>
    <t>(d)</t>
  </si>
  <si>
    <t>(e)</t>
  </si>
  <si>
    <r>
      <t xml:space="preserve">Transfer the PV total costs for the preferred option </t>
    </r>
    <r>
      <rPr>
        <b/>
        <sz val="8"/>
        <rFont val="Verdana"/>
        <family val="2"/>
      </rPr>
      <t>B</t>
    </r>
    <r>
      <rPr>
        <sz val="8"/>
        <rFont val="Verdana"/>
        <family val="2"/>
      </rPr>
      <t xml:space="preserve">, to </t>
    </r>
    <r>
      <rPr>
        <b/>
        <sz val="8"/>
        <rFont val="Verdana"/>
        <family val="2"/>
      </rPr>
      <t>B</t>
    </r>
    <r>
      <rPr>
        <sz val="8"/>
        <rFont val="Verdana"/>
        <family val="2"/>
      </rPr>
      <t xml:space="preserve"> on worksheet 1.</t>
    </r>
  </si>
  <si>
    <t>Worksheet 4 - Travel time cost savings</t>
  </si>
  <si>
    <t>Do-minimum</t>
  </si>
  <si>
    <t>Option</t>
  </si>
  <si>
    <t>C</t>
  </si>
  <si>
    <t>Worksheet 6 - Crash cost savings</t>
  </si>
  <si>
    <r>
      <t xml:space="preserve">These simplified procedures are </t>
    </r>
    <r>
      <rPr>
        <b/>
        <sz val="8"/>
        <rFont val="Verdana"/>
        <family val="2"/>
      </rPr>
      <t>suitable only</t>
    </r>
    <r>
      <rPr>
        <sz val="8"/>
        <rFont val="Verdana"/>
        <family val="2"/>
      </rPr>
      <t xml:space="preserve"> for </t>
    </r>
    <r>
      <rPr>
        <b/>
        <sz val="8"/>
        <rFont val="Verdana"/>
        <family val="2"/>
      </rPr>
      <t xml:space="preserve">crash–by–crash analysis </t>
    </r>
    <r>
      <rPr>
        <sz val="8"/>
        <rFont val="Verdana"/>
        <family val="2"/>
      </rPr>
      <t>(method A in Appendix 2). There must be 5 years or more crash data for the site and the number and types of crashes must meet the specifications set out in Figure A1. If not, either the crash rate analysis (method B) or weighted crash procedure (method C) described in Appendix 2 should be used. The annual crash cost savings determined from such an evaluation are multiplied by the appropriate discount factor and entered in worksheet 1 as total E. Evidence to support alternative analysis must be attached.</t>
    </r>
  </si>
  <si>
    <t>Movement category</t>
  </si>
  <si>
    <t>Lost control off road</t>
  </si>
  <si>
    <t>Vehicle involvement</t>
  </si>
  <si>
    <t>All vehicles</t>
  </si>
  <si>
    <t>Do-minimum mean speed</t>
  </si>
  <si>
    <t>Posted speed limit</t>
  </si>
  <si>
    <t>Option mean speed</t>
  </si>
  <si>
    <t>Factors for converting from reported injury crashes to total injury crashes</t>
  </si>
  <si>
    <t>Severity</t>
  </si>
  <si>
    <t>Non- injury</t>
  </si>
  <si>
    <t>Table A26</t>
  </si>
  <si>
    <t>Number of years of typical crash rate records</t>
  </si>
  <si>
    <t>Number of reported crashes over period</t>
  </si>
  <si>
    <t>Pedestrian</t>
  </si>
  <si>
    <t>Fatal/serious severity ratio (Tables A23, A24 and A25)</t>
  </si>
  <si>
    <t>Other</t>
  </si>
  <si>
    <r>
      <t xml:space="preserve">Number of reported crashes adjusted by severity </t>
    </r>
    <r>
      <rPr>
        <b/>
        <sz val="8"/>
        <rFont val="Verdana"/>
        <family val="2"/>
      </rPr>
      <t>(4)</t>
    </r>
    <r>
      <rPr>
        <sz val="8"/>
        <rFont val="Verdana"/>
        <family val="2"/>
      </rPr>
      <t xml:space="preserve"> x </t>
    </r>
    <r>
      <rPr>
        <b/>
        <sz val="8"/>
        <rFont val="Verdana"/>
        <family val="2"/>
      </rPr>
      <t>(5)</t>
    </r>
  </si>
  <si>
    <t>80 and 100 km/h speed limit   (excluding motorways)</t>
  </si>
  <si>
    <r>
      <t xml:space="preserve">Crashes per year = </t>
    </r>
    <r>
      <rPr>
        <b/>
        <sz val="8"/>
        <rFont val="Verdana"/>
        <family val="2"/>
      </rPr>
      <t>(6)</t>
    </r>
    <r>
      <rPr>
        <sz val="8"/>
        <rFont val="Verdana"/>
        <family val="2"/>
      </rPr>
      <t>/</t>
    </r>
    <r>
      <rPr>
        <b/>
        <sz val="8"/>
        <rFont val="Verdana"/>
        <family val="2"/>
      </rPr>
      <t>(3)</t>
    </r>
  </si>
  <si>
    <t>Adjustment factor for crash trend (Table A21)</t>
  </si>
  <si>
    <t>100 km/h speed limit  remote rural area</t>
  </si>
  <si>
    <r>
      <t>Adjusted crashes per year =</t>
    </r>
    <r>
      <rPr>
        <b/>
        <sz val="8"/>
        <rFont val="Verdana"/>
        <family val="2"/>
      </rPr>
      <t xml:space="preserve"> (7)</t>
    </r>
    <r>
      <rPr>
        <sz val="8"/>
        <rFont val="Verdana"/>
        <family val="2"/>
      </rPr>
      <t xml:space="preserve"> x </t>
    </r>
    <r>
      <rPr>
        <b/>
        <sz val="8"/>
        <rFont val="Verdana"/>
        <family val="2"/>
      </rPr>
      <t>(8)</t>
    </r>
  </si>
  <si>
    <t>All</t>
  </si>
  <si>
    <r>
      <t>Total estimated  crashes per year =</t>
    </r>
    <r>
      <rPr>
        <b/>
        <sz val="8"/>
        <rFont val="Verdana"/>
        <family val="2"/>
      </rPr>
      <t xml:space="preserve"> (9)</t>
    </r>
    <r>
      <rPr>
        <sz val="8"/>
        <rFont val="Verdana"/>
        <family val="2"/>
      </rPr>
      <t xml:space="preserve"> x</t>
    </r>
    <r>
      <rPr>
        <b/>
        <sz val="8"/>
        <rFont val="Verdana"/>
        <family val="2"/>
      </rPr>
      <t xml:space="preserve"> (10)</t>
    </r>
  </si>
  <si>
    <t>Factor for converting from reported non-injury crashes to total non-injury crashes</t>
  </si>
  <si>
    <t>Table A27</t>
  </si>
  <si>
    <r>
      <t xml:space="preserve">Crash cost per year = </t>
    </r>
    <r>
      <rPr>
        <b/>
        <sz val="8"/>
        <rFont val="Verdana"/>
        <family val="2"/>
      </rPr>
      <t>(11)</t>
    </r>
    <r>
      <rPr>
        <sz val="8"/>
        <rFont val="Verdana"/>
        <family val="2"/>
      </rPr>
      <t xml:space="preserve"> x </t>
    </r>
    <r>
      <rPr>
        <b/>
        <sz val="8"/>
        <rFont val="Verdana"/>
        <family val="2"/>
      </rPr>
      <t>(15)</t>
    </r>
  </si>
  <si>
    <t>Speed limit area</t>
  </si>
  <si>
    <t>50,60 or 70 km/h</t>
  </si>
  <si>
    <t xml:space="preserve">80 or 100 km/h </t>
  </si>
  <si>
    <r>
      <t xml:space="preserve">Total cost of crashes per year (sum of columns in row </t>
    </r>
    <r>
      <rPr>
        <b/>
        <sz val="8"/>
        <rFont val="Verdana"/>
        <family val="2"/>
      </rPr>
      <t>(16)</t>
    </r>
    <r>
      <rPr>
        <sz val="8"/>
        <rFont val="Verdana"/>
        <family val="2"/>
      </rPr>
      <t xml:space="preserve"> fatal + serious + minor + non-injury)</t>
    </r>
  </si>
  <si>
    <t>All movements</t>
  </si>
  <si>
    <t>Percentage crash reduction</t>
  </si>
  <si>
    <t>Crash Estimation Compendium (Crash Estimation Compendium)</t>
  </si>
  <si>
    <r>
      <t xml:space="preserve">Percentage of crashes 'remaining' [100 - </t>
    </r>
    <r>
      <rPr>
        <b/>
        <sz val="8"/>
        <rFont val="Verdana"/>
        <family val="2"/>
      </rPr>
      <t>(18)</t>
    </r>
    <r>
      <rPr>
        <sz val="8"/>
        <rFont val="Verdana"/>
        <family val="2"/>
      </rPr>
      <t>]</t>
    </r>
  </si>
  <si>
    <r>
      <t xml:space="preserve">Predicted crashes per year </t>
    </r>
    <r>
      <rPr>
        <b/>
        <sz val="8"/>
        <rFont val="Verdana"/>
        <family val="2"/>
      </rPr>
      <t>(11)</t>
    </r>
    <r>
      <rPr>
        <sz val="8"/>
        <rFont val="Verdana"/>
        <family val="2"/>
      </rPr>
      <t xml:space="preserve"> x </t>
    </r>
    <r>
      <rPr>
        <b/>
        <sz val="8"/>
        <rFont val="Verdana"/>
        <family val="2"/>
      </rPr>
      <t>(19)</t>
    </r>
  </si>
  <si>
    <r>
      <t xml:space="preserve">Crash cost per year = </t>
    </r>
    <r>
      <rPr>
        <b/>
        <sz val="8"/>
        <rFont val="Verdana"/>
        <family val="2"/>
      </rPr>
      <t xml:space="preserve">(20) </t>
    </r>
    <r>
      <rPr>
        <sz val="8"/>
        <rFont val="Verdana"/>
        <family val="2"/>
      </rPr>
      <t xml:space="preserve">x </t>
    </r>
    <r>
      <rPr>
        <b/>
        <sz val="8"/>
        <rFont val="Verdana"/>
        <family val="2"/>
      </rPr>
      <t>(24)</t>
    </r>
  </si>
  <si>
    <r>
      <t xml:space="preserve">Total cost of crashes per year (sum of columns in row </t>
    </r>
    <r>
      <rPr>
        <b/>
        <sz val="8"/>
        <rFont val="Verdana"/>
        <family val="2"/>
      </rPr>
      <t>(25)</t>
    </r>
    <r>
      <rPr>
        <sz val="8"/>
        <rFont val="Verdana"/>
        <family val="2"/>
      </rPr>
      <t xml:space="preserve"> fatal + serious + minor + non-injury</t>
    </r>
  </si>
  <si>
    <r>
      <t xml:space="preserve">Annual crash cost savings = </t>
    </r>
    <r>
      <rPr>
        <b/>
        <sz val="8"/>
        <rFont val="Verdana"/>
        <family val="2"/>
      </rPr>
      <t xml:space="preserve">(17) </t>
    </r>
    <r>
      <rPr>
        <sz val="8"/>
        <rFont val="Verdana"/>
        <family val="2"/>
      </rPr>
      <t>-</t>
    </r>
    <r>
      <rPr>
        <b/>
        <sz val="8"/>
        <rFont val="Verdana"/>
        <family val="2"/>
      </rPr>
      <t xml:space="preserve"> (26) </t>
    </r>
  </si>
  <si>
    <r>
      <t xml:space="preserve">PV crash cost savings = </t>
    </r>
    <r>
      <rPr>
        <b/>
        <sz val="8"/>
        <rFont val="Verdana"/>
        <family val="2"/>
      </rPr>
      <t xml:space="preserve">(27) </t>
    </r>
    <r>
      <rPr>
        <sz val="8"/>
        <rFont val="Verdana"/>
        <family val="2"/>
      </rPr>
      <t>x DF</t>
    </r>
  </si>
  <si>
    <t>E</t>
  </si>
  <si>
    <r>
      <t xml:space="preserve">Transfer PV of crash cost savings, </t>
    </r>
    <r>
      <rPr>
        <b/>
        <sz val="8"/>
        <rFont val="Verdana"/>
        <family val="2"/>
      </rPr>
      <t>E</t>
    </r>
    <r>
      <rPr>
        <sz val="8"/>
        <rFont val="Verdana"/>
        <family val="2"/>
      </rPr>
      <t xml:space="preserve"> for the preferred option to </t>
    </r>
    <r>
      <rPr>
        <b/>
        <sz val="8"/>
        <rFont val="Verdana"/>
        <family val="2"/>
      </rPr>
      <t>E</t>
    </r>
    <r>
      <rPr>
        <sz val="8"/>
        <rFont val="Verdana"/>
        <family val="2"/>
      </rPr>
      <t xml:space="preserve"> on worksheet 1</t>
    </r>
  </si>
  <si>
    <t>Speed limit</t>
  </si>
  <si>
    <t>Traffic growth rate</t>
  </si>
  <si>
    <t>Base date</t>
  </si>
  <si>
    <t>Option A</t>
  </si>
  <si>
    <t>Option B</t>
  </si>
  <si>
    <t>Option C</t>
  </si>
  <si>
    <t>Target incremental BCR</t>
  </si>
  <si>
    <r>
      <t>MBCM</t>
    </r>
    <r>
      <rPr>
        <sz val="8"/>
        <rFont val="Verdana"/>
        <family val="2"/>
      </rPr>
      <t xml:space="preserve"> - Section 6.3</t>
    </r>
  </si>
  <si>
    <t>Base option for comparison</t>
  </si>
  <si>
    <t>Next higher cost option</t>
  </si>
  <si>
    <t>Incremental analysis</t>
  </si>
  <si>
    <t>Incremental analysis
1. Select the appropriate target incremental BCR from section 6.3 of the MBCM.
2. Rank the options in order of increasing cost.
3. Compare the lowest cost option with the next higher cost option to calculate the incremental BCR.
4. If the incremental BCR is less than the target incremental BCR, discard the second option in favour of the first and compare the first option with the next higher cost option.
5. If the incremental BCR is greater than the target incremental BCR, the second option becomes the basis for comparison against the next higher cost option.
6. Repeat the procedure until no higher cost options are available that have an incremental BCR greater than the target incremental BCR. The highest cost option with an incremental BCR greater than the target incremental BCR is generally the preferred option.</t>
  </si>
  <si>
    <r>
      <t>Total costs</t>
    </r>
    <r>
      <rPr>
        <b/>
        <sz val="8"/>
        <color indexed="8"/>
        <rFont val="Verdana"/>
        <family val="2"/>
      </rPr>
      <t xml:space="preserve">
(1)</t>
    </r>
  </si>
  <si>
    <r>
      <t>Total benefits</t>
    </r>
    <r>
      <rPr>
        <b/>
        <sz val="8"/>
        <color indexed="8"/>
        <rFont val="Verdana"/>
        <family val="2"/>
      </rPr>
      <t xml:space="preserve">
(2)</t>
    </r>
  </si>
  <si>
    <r>
      <t>Total costs</t>
    </r>
    <r>
      <rPr>
        <b/>
        <sz val="8"/>
        <color indexed="8"/>
        <rFont val="Verdana"/>
        <family val="2"/>
      </rPr>
      <t xml:space="preserve">
(3)</t>
    </r>
  </si>
  <si>
    <r>
      <t>Total Benefits</t>
    </r>
    <r>
      <rPr>
        <b/>
        <sz val="8"/>
        <color indexed="8"/>
        <rFont val="Verdana"/>
        <family val="2"/>
      </rPr>
      <t xml:space="preserve">
(4)</t>
    </r>
  </si>
  <si>
    <r>
      <t>Incremental costs</t>
    </r>
    <r>
      <rPr>
        <b/>
        <sz val="8"/>
        <color indexed="8"/>
        <rFont val="Verdana"/>
        <family val="2"/>
      </rPr>
      <t xml:space="preserve">
(5)=(3)-(1)</t>
    </r>
  </si>
  <si>
    <r>
      <t>Incremental benefits</t>
    </r>
    <r>
      <rPr>
        <b/>
        <sz val="8"/>
        <color indexed="8"/>
        <rFont val="Verdana"/>
        <family val="2"/>
      </rPr>
      <t xml:space="preserve">
(6)=(4)-(2)</t>
    </r>
  </si>
  <si>
    <t>Accident adjustment factor</t>
  </si>
  <si>
    <t>50 and 60 km/h</t>
  </si>
  <si>
    <t>70 km/h and above</t>
  </si>
  <si>
    <t>a</t>
  </si>
  <si>
    <t>b</t>
  </si>
  <si>
    <t>c</t>
  </si>
  <si>
    <t>speed</t>
  </si>
  <si>
    <t>growth</t>
  </si>
  <si>
    <t>d</t>
  </si>
  <si>
    <t>e</t>
  </si>
  <si>
    <t>f</t>
  </si>
  <si>
    <t>A6.9</t>
  </si>
  <si>
    <t>Table A6.19(a)</t>
  </si>
  <si>
    <t>CAS movement codes</t>
  </si>
  <si>
    <t>Fatal/</t>
  </si>
  <si>
    <t>Serious/</t>
  </si>
  <si>
    <t>(fatal + serious)</t>
  </si>
  <si>
    <t xml:space="preserve">Head on </t>
  </si>
  <si>
    <t>AB,B</t>
  </si>
  <si>
    <t xml:space="preserve">Hit object </t>
  </si>
  <si>
    <t xml:space="preserve">Lost control off Road </t>
  </si>
  <si>
    <t>AD,CB,CC,CO,D</t>
  </si>
  <si>
    <t xml:space="preserve">Lost control on road </t>
  </si>
  <si>
    <t>CA</t>
  </si>
  <si>
    <t xml:space="preserve">Miscellaneous </t>
  </si>
  <si>
    <t>Q</t>
  </si>
  <si>
    <t xml:space="preserve">Overtaking </t>
  </si>
  <si>
    <t xml:space="preserve">AA,AC,AE-AO,GE </t>
  </si>
  <si>
    <t xml:space="preserve">Pedestrian </t>
  </si>
  <si>
    <t xml:space="preserve">N,P </t>
  </si>
  <si>
    <t xml:space="preserve">Rear end, crossing </t>
  </si>
  <si>
    <t xml:space="preserve">FB,FC,GD </t>
  </si>
  <si>
    <t xml:space="preserve">Rear end, queuing </t>
  </si>
  <si>
    <t xml:space="preserve">FD,FE,FF,FO </t>
  </si>
  <si>
    <t xml:space="preserve">Rear end, slow vehicle </t>
  </si>
  <si>
    <t xml:space="preserve">FA,GA-GC,GO </t>
  </si>
  <si>
    <t xml:space="preserve">Crossing, direct </t>
  </si>
  <si>
    <t xml:space="preserve">H </t>
  </si>
  <si>
    <t xml:space="preserve">Crossing, turning </t>
  </si>
  <si>
    <t xml:space="preserve">J,K,L,M </t>
  </si>
  <si>
    <t xml:space="preserve">All movements </t>
  </si>
  <si>
    <t>Table A6.19(b)</t>
  </si>
  <si>
    <t xml:space="preserve">AB,B </t>
  </si>
  <si>
    <t xml:space="preserve">E </t>
  </si>
  <si>
    <t xml:space="preserve">Lost control off road </t>
  </si>
  <si>
    <t xml:space="preserve">AD,CB,CC,CO,D </t>
  </si>
  <si>
    <t xml:space="preserve">CA </t>
  </si>
  <si>
    <t xml:space="preserve">Q </t>
  </si>
  <si>
    <t>Table A6.19(c)</t>
  </si>
  <si>
    <t>Fatal /</t>
  </si>
  <si>
    <t>Serious /</t>
  </si>
  <si>
    <t>AA,AC,AE-AO,GE</t>
  </si>
  <si>
    <t>N,P</t>
  </si>
  <si>
    <t>FB,FC,GD</t>
  </si>
  <si>
    <t>FD,FE,FF,FO</t>
  </si>
  <si>
    <t>FA,GA-GC,GO</t>
  </si>
  <si>
    <t>H</t>
  </si>
  <si>
    <t>J,K,L,M</t>
  </si>
  <si>
    <t>Table A6.20(a)</t>
  </si>
  <si>
    <t>Table A6.20(b)</t>
  </si>
  <si>
    <t>Table A6.21(a)</t>
  </si>
  <si>
    <t>Push cycle</t>
  </si>
  <si>
    <t>Motor cycle</t>
  </si>
  <si>
    <t>Bus</t>
  </si>
  <si>
    <t>Truck</t>
  </si>
  <si>
    <t>Head on</t>
  </si>
  <si>
    <t>Hit object</t>
  </si>
  <si>
    <t>Lost control on road</t>
  </si>
  <si>
    <t>Miscellaneous</t>
  </si>
  <si>
    <t>Car, van &amp; other</t>
  </si>
  <si>
    <t>Overtaking</t>
  </si>
  <si>
    <t>Rear end, crossing</t>
  </si>
  <si>
    <t>Rear end, queuing</t>
  </si>
  <si>
    <t>Rear end, slow vehicle</t>
  </si>
  <si>
    <t>Crossing, direct</t>
  </si>
  <si>
    <t>Crossing, turning</t>
  </si>
  <si>
    <t>Table A6.21(b)</t>
  </si>
  <si>
    <t>Table A6.21(c)</t>
  </si>
  <si>
    <t>minor injury accidents</t>
  </si>
  <si>
    <t>Table A6.21(d)</t>
  </si>
  <si>
    <t>Table A6.21(e)</t>
  </si>
  <si>
    <t>Table A6.21(f)</t>
  </si>
  <si>
    <t>Table A6.21(g)</t>
  </si>
  <si>
    <t>Table A6.21(h)</t>
  </si>
  <si>
    <t>Step 1</t>
  </si>
  <si>
    <t>Step 2</t>
  </si>
  <si>
    <t>Step 3</t>
  </si>
  <si>
    <t>SPPWF(1)</t>
  </si>
  <si>
    <t>2009/10</t>
  </si>
  <si>
    <t>2010/11</t>
  </si>
  <si>
    <t>2011/12</t>
  </si>
  <si>
    <t>yr (n)</t>
  </si>
  <si>
    <t>2012/13</t>
  </si>
  <si>
    <t>2013/14</t>
  </si>
  <si>
    <t>2014/15</t>
  </si>
  <si>
    <t>2015/16</t>
  </si>
  <si>
    <t>2016/17</t>
  </si>
  <si>
    <t>2017/18</t>
  </si>
  <si>
    <t>2018/19</t>
  </si>
  <si>
    <t>2019/20</t>
  </si>
  <si>
    <t>2020/21</t>
  </si>
  <si>
    <t>2021/22</t>
  </si>
  <si>
    <t>2022/23</t>
  </si>
  <si>
    <t>2023/24</t>
  </si>
  <si>
    <t>2024/25</t>
  </si>
  <si>
    <t>2025/26</t>
  </si>
  <si>
    <t>2026/27</t>
  </si>
  <si>
    <t>2027/28</t>
  </si>
  <si>
    <t>2028/29</t>
  </si>
  <si>
    <t>2029/30</t>
  </si>
  <si>
    <t>2030/31</t>
  </si>
  <si>
    <t>2031/32</t>
  </si>
  <si>
    <t>2032/33</t>
  </si>
  <si>
    <t>2033/34</t>
  </si>
  <si>
    <t>2034/35</t>
  </si>
  <si>
    <t>2035/36</t>
  </si>
  <si>
    <t>2036/37</t>
  </si>
  <si>
    <t>2037/38</t>
  </si>
  <si>
    <t>2038/39</t>
  </si>
  <si>
    <t>2039/40</t>
  </si>
  <si>
    <t>2040/41</t>
  </si>
  <si>
    <t>2041/42</t>
  </si>
  <si>
    <t>2042/43</t>
  </si>
  <si>
    <t>2043/44</t>
  </si>
  <si>
    <t>2044/45</t>
  </si>
  <si>
    <t>2045/46</t>
  </si>
  <si>
    <t>2046/47</t>
  </si>
  <si>
    <t>2047/48</t>
  </si>
  <si>
    <t>2048/49</t>
  </si>
  <si>
    <t>2049/50</t>
  </si>
  <si>
    <t>2050/51</t>
  </si>
  <si>
    <t>2052/53</t>
  </si>
  <si>
    <t>2053/54</t>
  </si>
  <si>
    <t>2054/55</t>
  </si>
  <si>
    <t>2055/56</t>
  </si>
  <si>
    <t>2056/57</t>
  </si>
  <si>
    <t>2057/58</t>
  </si>
  <si>
    <t>2058/59</t>
  </si>
  <si>
    <t>2059/60</t>
  </si>
  <si>
    <t>Walking and cycling health benefits</t>
  </si>
  <si>
    <r>
      <t xml:space="preserve">- The procedure assumes that funded projects </t>
    </r>
    <r>
      <rPr>
        <b/>
        <sz val="10"/>
        <rFont val="Verdana"/>
        <family val="2"/>
      </rPr>
      <t>will be completed in the first year</t>
    </r>
    <r>
      <rPr>
        <sz val="10"/>
        <rFont val="Verdana"/>
        <family val="2"/>
      </rPr>
      <t xml:space="preserve"> and will be in service by the start of the year 2.</t>
    </r>
  </si>
  <si>
    <t xml:space="preserve">General cell guide </t>
  </si>
  <si>
    <t xml:space="preserve">   - This worksheet is used to calculate the PV cost of the do minimum. The do minimum is the minimum level of expenditure necessary to keep a road open and generally consists of maintenance work.</t>
  </si>
  <si>
    <t xml:space="preserve">   - This worksheet is used for calculating vehicle operating cost (VOC) savings.</t>
  </si>
  <si>
    <t>Activity/package details</t>
  </si>
  <si>
    <t>Activity/package name</t>
  </si>
  <si>
    <t>AADT at time zero</t>
  </si>
  <si>
    <t>Eval. Period (yrs)</t>
  </si>
  <si>
    <t>Traffic growth rate at time zero (%)</t>
  </si>
  <si>
    <t>W</t>
  </si>
  <si>
    <r>
      <t>PV VOC and CO</t>
    </r>
    <r>
      <rPr>
        <vertAlign val="subscript"/>
        <sz val="8"/>
        <rFont val="Verdana"/>
        <family val="2"/>
      </rPr>
      <t>2</t>
    </r>
    <r>
      <rPr>
        <sz val="8"/>
        <rFont val="Verdana"/>
        <family val="2"/>
      </rPr>
      <t xml:space="preserve"> savings  </t>
    </r>
  </si>
  <si>
    <r>
      <t>D</t>
    </r>
    <r>
      <rPr>
        <sz val="8"/>
        <rFont val="Verdana"/>
        <family val="2"/>
      </rPr>
      <t xml:space="preserve"> x Update factor </t>
    </r>
    <r>
      <rPr>
        <vertAlign val="superscript"/>
        <sz val="8"/>
        <rFont val="Verdana"/>
        <family val="2"/>
      </rPr>
      <t>VOC</t>
    </r>
  </si>
  <si>
    <t xml:space="preserve">PV crash cost savings   </t>
  </si>
  <si>
    <r>
      <t xml:space="preserve">E </t>
    </r>
    <r>
      <rPr>
        <sz val="8"/>
        <rFont val="Verdana"/>
        <family val="2"/>
      </rPr>
      <t xml:space="preserve">x Update factor </t>
    </r>
    <r>
      <rPr>
        <vertAlign val="superscript"/>
        <sz val="8"/>
        <rFont val="Verdana"/>
        <family val="2"/>
      </rPr>
      <t>ACC</t>
    </r>
  </si>
  <si>
    <t>PV net costs</t>
  </si>
  <si>
    <r>
      <t>B</t>
    </r>
    <r>
      <rPr>
        <sz val="8"/>
        <rFont val="Verdana"/>
        <family val="2"/>
      </rPr>
      <t xml:space="preserve"> - </t>
    </r>
    <r>
      <rPr>
        <b/>
        <sz val="8"/>
        <rFont val="Verdana"/>
        <family val="2"/>
      </rPr>
      <t>A</t>
    </r>
  </si>
  <si>
    <t>Total Benefit</t>
  </si>
  <si>
    <t>Travel Time</t>
  </si>
  <si>
    <t>VOC</t>
  </si>
  <si>
    <t>Crash cost</t>
  </si>
  <si>
    <t>PV of annual maintenance costs</t>
  </si>
  <si>
    <t xml:space="preserve">(c) </t>
  </si>
  <si>
    <t>D</t>
  </si>
  <si>
    <t>Worksheet 7 - BCR and incremental analysis</t>
  </si>
  <si>
    <t>% gradient</t>
  </si>
  <si>
    <r>
      <t>Mean vehicle speed</t>
    </r>
    <r>
      <rPr>
        <sz val="8"/>
        <rFont val="Verdana"/>
        <family val="2"/>
      </rPr>
      <t xml:space="preserve"> (over length of route)</t>
    </r>
  </si>
  <si>
    <t>0–30 km/h</t>
  </si>
  <si>
    <t>31-50 km/h</t>
  </si>
  <si>
    <t>51-70 km/h</t>
  </si>
  <si>
    <t>71-90 km/h</t>
  </si>
  <si>
    <t>91-105 km/h</t>
  </si>
  <si>
    <t>1 to 3</t>
  </si>
  <si>
    <t>4 to 6</t>
  </si>
  <si>
    <t>7 to 9</t>
  </si>
  <si>
    <t>10 to 12</t>
  </si>
  <si>
    <t>Do minimum SP3-5</t>
  </si>
  <si>
    <t>Option SP3-5</t>
  </si>
  <si>
    <t>IRI</t>
  </si>
  <si>
    <t>NAASRA</t>
  </si>
  <si>
    <t>CR cents/km</t>
  </si>
  <si>
    <t>m/km</t>
  </si>
  <si>
    <t>counts/</t>
  </si>
  <si>
    <t>urban</t>
  </si>
  <si>
    <t>rural</t>
  </si>
  <si>
    <t>g</t>
  </si>
  <si>
    <t>Growth rate</t>
  </si>
  <si>
    <r>
      <t>Discount factor (DF</t>
    </r>
    <r>
      <rPr>
        <b/>
        <vertAlign val="superscript"/>
        <sz val="8"/>
        <rFont val="Verdana"/>
        <family val="2"/>
      </rPr>
      <t>VOC</t>
    </r>
    <r>
      <rPr>
        <b/>
        <sz val="8"/>
        <rFont val="Verdana"/>
        <family val="2"/>
      </rPr>
      <t>)</t>
    </r>
  </si>
  <si>
    <t>SP3-6 Cell J19</t>
  </si>
  <si>
    <t>≥ 70 km/h</t>
  </si>
  <si>
    <t>discount rate</t>
  </si>
  <si>
    <t>Total cost per crash by vehicle type ($M 2021)</t>
  </si>
  <si>
    <t>Cycle</t>
  </si>
  <si>
    <t>Motorcycle</t>
  </si>
  <si>
    <t>Car, van and other</t>
  </si>
  <si>
    <t>AB, B</t>
  </si>
  <si>
    <t>AD, CB, CC, CO, D</t>
  </si>
  <si>
    <t>AA, AC, AE-AO, GE</t>
  </si>
  <si>
    <t>N, P</t>
  </si>
  <si>
    <t>FB, FC, GD</t>
  </si>
  <si>
    <t>FD, FE, FF, FO</t>
  </si>
  <si>
    <t>FA, GA-GC, GO</t>
  </si>
  <si>
    <t>J, K, L, M</t>
  </si>
  <si>
    <t>Total cost per crash by vehicle type ($000 2021)</t>
  </si>
  <si>
    <t>minor injury crashes</t>
  </si>
  <si>
    <t>serious injury crashes</t>
  </si>
  <si>
    <t>non-injury crashes</t>
  </si>
  <si>
    <t>Under-reporting factors (Tables A26 and A27)</t>
  </si>
  <si>
    <t>tables A89- A91</t>
  </si>
  <si>
    <t>AGPWF(e)</t>
  </si>
  <si>
    <t xml:space="preserve">One </t>
  </si>
  <si>
    <t>Two</t>
  </si>
  <si>
    <t>Three</t>
  </si>
  <si>
    <t>Please make any additional comments or explanatory notes as necessary to aid understanding (note that these fall outside of the set print and TIO upload range)</t>
  </si>
  <si>
    <t>Recorded crashes in period (row 4 crash analysis)</t>
  </si>
  <si>
    <t>Benefits (Present Value)</t>
  </si>
  <si>
    <t xml:space="preserve">Total Benefits Present Value </t>
  </si>
  <si>
    <t>SP5 Isolated intersection improvements - Overview and Guidance</t>
  </si>
  <si>
    <t xml:space="preserve">Designed for the appraisal activities to which the following assumptions apply: </t>
  </si>
  <si>
    <r>
      <t xml:space="preserve">- may be used for an isolated intersection improvement, </t>
    </r>
    <r>
      <rPr>
        <b/>
        <sz val="10"/>
        <rFont val="Verdana"/>
        <family val="2"/>
      </rPr>
      <t>where the undiscounted whole-of-life cost ≤$15,000,000</t>
    </r>
    <r>
      <rPr>
        <sz val="10"/>
        <rFont val="Verdana"/>
        <family val="2"/>
      </rPr>
      <t>.</t>
    </r>
  </si>
  <si>
    <r>
      <t xml:space="preserve">- work categories </t>
    </r>
    <r>
      <rPr>
        <b/>
        <sz val="10"/>
        <rFont val="Verdana"/>
        <family val="2"/>
      </rPr>
      <t>321</t>
    </r>
    <r>
      <rPr>
        <sz val="10"/>
        <rFont val="Verdana"/>
        <family val="2"/>
      </rPr>
      <t xml:space="preserve">, </t>
    </r>
    <r>
      <rPr>
        <b/>
        <sz val="10"/>
        <rFont val="Verdana"/>
        <family val="2"/>
      </rPr>
      <t xml:space="preserve">323 </t>
    </r>
    <r>
      <rPr>
        <sz val="10"/>
        <rFont val="Verdana"/>
        <family val="2"/>
      </rPr>
      <t xml:space="preserve">or </t>
    </r>
    <r>
      <rPr>
        <b/>
        <sz val="10"/>
        <rFont val="Verdana"/>
        <family val="2"/>
      </rPr>
      <t>324</t>
    </r>
    <r>
      <rPr>
        <sz val="10"/>
        <rFont val="Verdana"/>
        <family val="2"/>
      </rPr>
      <t xml:space="preserve"> may apply here.</t>
    </r>
  </si>
  <si>
    <t>- The most recent 5 calendar year crash history of the site including detailed crash listings, collision diagrams, description of common crash factors and diagnosis of the contributing factors should be submitted with the evaluation.</t>
  </si>
  <si>
    <r>
      <rPr>
        <sz val="10"/>
        <color indexed="8"/>
        <rFont val="Arial"/>
        <family val="2"/>
      </rPr>
      <t>For more information please refer to section 4.1 of</t>
    </r>
    <r>
      <rPr>
        <sz val="10"/>
        <color indexed="12"/>
        <rFont val="Arial"/>
        <family val="2"/>
      </rPr>
      <t xml:space="preserve"> </t>
    </r>
    <r>
      <rPr>
        <u/>
        <sz val="10"/>
        <color indexed="12"/>
        <rFont val="Arial"/>
        <family val="2"/>
      </rPr>
      <t>Monetised Benefits and Costs Manual.</t>
    </r>
  </si>
  <si>
    <t xml:space="preserve">   - This worksheet is used to calculate the PV costs of the option 1. A separate worksheet is required for each option evaluated. Up to 4 options in addition to do-minimum can be evaluated.</t>
  </si>
  <si>
    <t>Step 1: Complete SP5-1 Evaluation Summary Items 1-3</t>
  </si>
  <si>
    <t>Step 2: Complete SP5-2 Cost of Do Minimum</t>
  </si>
  <si>
    <t>Step 3: Complete SP5-3 (1) to SP5-3 (4) Cost of Option(s)</t>
  </si>
  <si>
    <t>Step 4: Complete SP 5-4 to SP 5-6 for each option</t>
  </si>
  <si>
    <t>Step 5: Complete SP5-1 Evaluation Summary Items 4-11 for each option</t>
  </si>
  <si>
    <t>Step 6: Select Preferred Option* and Finalise SP5-1 Based on Preferred Option</t>
  </si>
  <si>
    <t>Step 7: Complete SP5-7 Incremental Analysis</t>
  </si>
  <si>
    <t>SP5 Isolated intersection improvements</t>
  </si>
  <si>
    <t>Worksheet 1 provides a summary of the general data used for the evaluation and the analysis results. The information required is a subset of the information entered into Transport Investment Online.</t>
  </si>
  <si>
    <t>By analysing the traffic count data (for at least the last 5 years and preferably
for the last 10 years) - see Appendix A2.7.</t>
  </si>
  <si>
    <t>Traffic volume entering the intersection</t>
  </si>
  <si>
    <t>in the year</t>
  </si>
  <si>
    <r>
      <t>PV Cost (</t>
    </r>
    <r>
      <rPr>
        <b/>
        <sz val="8"/>
        <rFont val="Verdana"/>
        <family val="2"/>
      </rPr>
      <t>A</t>
    </r>
    <r>
      <rPr>
        <sz val="8"/>
        <rFont val="Verdana"/>
        <family val="2"/>
      </rPr>
      <t xml:space="preserve"> / </t>
    </r>
    <r>
      <rPr>
        <b/>
        <sz val="8"/>
        <rFont val="Verdana"/>
        <family val="2"/>
      </rPr>
      <t>B</t>
    </r>
    <r>
      <rPr>
        <sz val="8"/>
        <rFont val="Verdana"/>
        <family val="2"/>
      </rPr>
      <t>)</t>
    </r>
  </si>
  <si>
    <t>SP5-2</t>
  </si>
  <si>
    <t>SP5-3 (1)</t>
  </si>
  <si>
    <t>SP5-3 (2)</t>
  </si>
  <si>
    <t>SP5-3 (3)</t>
  </si>
  <si>
    <t>SP5-3 (4)</t>
  </si>
  <si>
    <t>W +Y + Z</t>
  </si>
  <si>
    <t>PV 1st year benefits</t>
  </si>
  <si>
    <t>Impacts</t>
  </si>
  <si>
    <t>Travel hours</t>
  </si>
  <si>
    <t>DSI saving</t>
  </si>
  <si>
    <t>Worksheet 2 - Cost of the do-minimum</t>
  </si>
  <si>
    <t>Year 1 $</t>
  </si>
  <si>
    <t>Should be obtained from maintenance records and resealing records.</t>
  </si>
  <si>
    <t>Year 2 $</t>
  </si>
  <si>
    <t>Year 3 $</t>
  </si>
  <si>
    <t>Assessed future maintenance costs</t>
  </si>
  <si>
    <t>Total = $</t>
  </si>
  <si>
    <t>PV of periodic maintenance costs (include any capital works)</t>
  </si>
  <si>
    <t>PV</t>
  </si>
  <si>
    <t>PV of annual operating costs</t>
  </si>
  <si>
    <t>PV cost of the do-minimum</t>
  </si>
  <si>
    <r>
      <t xml:space="preserve">(a) + (b) + (c) </t>
    </r>
    <r>
      <rPr>
        <sz val="8"/>
        <rFont val="Verdana"/>
        <family val="2"/>
      </rPr>
      <t>= $</t>
    </r>
  </si>
  <si>
    <t>Worksheet 3 - Cost of Option</t>
  </si>
  <si>
    <t>Worksheet 3 is used for calculating the PV cost of the isolated intersection improvements.</t>
  </si>
  <si>
    <t>PV of estimated cost of proposed work (as per attached estimate sheets)</t>
  </si>
  <si>
    <t>PV of maintenance cost in year 1</t>
  </si>
  <si>
    <t xml:space="preserve"> = $</t>
  </si>
  <si>
    <t>PV of annual maintenance  costs following completion of the work</t>
  </si>
  <si>
    <t>inclusive) $</t>
  </si>
  <si>
    <t>Sum of PV of periodic maintenance = $</t>
  </si>
  <si>
    <t>PV cost of annual operating costs (separate to maintenance costs)</t>
  </si>
  <si>
    <t>PV of total costs of the preferred option</t>
  </si>
  <si>
    <r>
      <t xml:space="preserve">PV total costs </t>
    </r>
    <r>
      <rPr>
        <b/>
        <sz val="8"/>
        <rFont val="Verdana"/>
        <family val="2"/>
      </rPr>
      <t>(a)</t>
    </r>
    <r>
      <rPr>
        <sz val="8"/>
        <rFont val="Verdana"/>
        <family val="2"/>
      </rPr>
      <t xml:space="preserve"> + </t>
    </r>
    <r>
      <rPr>
        <b/>
        <sz val="8"/>
        <rFont val="Verdana"/>
        <family val="2"/>
      </rPr>
      <t>(b)</t>
    </r>
    <r>
      <rPr>
        <sz val="8"/>
        <rFont val="Verdana"/>
        <family val="2"/>
      </rPr>
      <t xml:space="preserve"> +</t>
    </r>
    <r>
      <rPr>
        <b/>
        <sz val="8"/>
        <rFont val="Verdana"/>
        <family val="2"/>
      </rPr>
      <t xml:space="preserve"> (c)</t>
    </r>
    <r>
      <rPr>
        <sz val="8"/>
        <rFont val="Verdana"/>
        <family val="2"/>
      </rPr>
      <t xml:space="preserve"> + </t>
    </r>
    <r>
      <rPr>
        <b/>
        <sz val="8"/>
        <rFont val="Verdana"/>
        <family val="2"/>
      </rPr>
      <t>(d)</t>
    </r>
    <r>
      <rPr>
        <sz val="8"/>
        <rFont val="Verdana"/>
        <family val="2"/>
      </rPr>
      <t xml:space="preserve"> + </t>
    </r>
    <r>
      <rPr>
        <b/>
        <sz val="8"/>
        <rFont val="Verdana"/>
        <family val="2"/>
      </rPr>
      <t xml:space="preserve">(e) </t>
    </r>
    <r>
      <rPr>
        <sz val="8"/>
        <rFont val="Verdana"/>
        <family val="2"/>
      </rPr>
      <t>= $</t>
    </r>
  </si>
  <si>
    <t>This worksheet is used for calculating travel time cost savings from modifying or changing the control of an intersection eg, from priority control to traffic signals. Intersection analysis requires modelling to be used for both the do minimum and project option. It is not allowable to compare calculated delay and measured delay. Instead, the measured delay must be used to calibrate the calculated delay.
The annual travel time costs for the do minimum and the project option are to be calculated either using direct output from a suitable computer programme or by aggregating outputs for representative time periods. Output and notes should be attached. Alternatively, fill in the tables in worksheet 4 as per the instructions below.
The travel time cost (TTC) calculations start at the beginning of year 2 (following completion of construction works in year 1) and finish at the end of year 40.</t>
  </si>
  <si>
    <r>
      <t xml:space="preserve">Hourly Travel Time Cost $/hr </t>
    </r>
    <r>
      <rPr>
        <sz val="8"/>
        <rFont val="Verdana"/>
        <family val="2"/>
      </rPr>
      <t>(from table on right)</t>
    </r>
  </si>
  <si>
    <t>Default Travel Time costs (TTC) for standard road types</t>
  </si>
  <si>
    <t>Road Type</t>
  </si>
  <si>
    <t>Description</t>
  </si>
  <si>
    <t>Annual travel time costs</t>
  </si>
  <si>
    <t>Arterial and collector roads within urban areas carrying traffic volumes greater than 7000 vehicles/day.</t>
  </si>
  <si>
    <t>Period</t>
  </si>
  <si>
    <t>Urban roads other than urban arterial.</t>
  </si>
  <si>
    <t>Period start year</t>
  </si>
  <si>
    <t>Arterial and collector roads connecting main centres of population and carrying traffic of over 2500 vehicles/day.</t>
  </si>
  <si>
    <t>Period end year</t>
  </si>
  <si>
    <t>Rural roads other than rural strategic.</t>
  </si>
  <si>
    <t>Midpoint at end of year</t>
  </si>
  <si>
    <t>Duration of period</t>
  </si>
  <si>
    <t>Do-minimum travel time cost at midpoint</t>
  </si>
  <si>
    <t>Option travel time cost at midpoint</t>
  </si>
  <si>
    <r>
      <t>c</t>
    </r>
    <r>
      <rPr>
        <b/>
        <vertAlign val="superscript"/>
        <sz val="8"/>
        <rFont val="Verdana"/>
        <family val="2"/>
      </rPr>
      <t>1</t>
    </r>
  </si>
  <si>
    <r>
      <t>c</t>
    </r>
    <r>
      <rPr>
        <b/>
        <vertAlign val="superscript"/>
        <sz val="8"/>
        <rFont val="Verdana"/>
        <family val="2"/>
      </rPr>
      <t>2</t>
    </r>
  </si>
  <si>
    <r>
      <t>c</t>
    </r>
    <r>
      <rPr>
        <b/>
        <vertAlign val="superscript"/>
        <sz val="8"/>
        <rFont val="Verdana"/>
        <family val="2"/>
      </rPr>
      <t>3</t>
    </r>
  </si>
  <si>
    <r>
      <t>c</t>
    </r>
    <r>
      <rPr>
        <b/>
        <vertAlign val="superscript"/>
        <sz val="8"/>
        <rFont val="Verdana"/>
        <family val="2"/>
      </rPr>
      <t>4</t>
    </r>
  </si>
  <si>
    <r>
      <t>c</t>
    </r>
    <r>
      <rPr>
        <b/>
        <vertAlign val="superscript"/>
        <sz val="8"/>
        <rFont val="Verdana"/>
        <family val="2"/>
      </rPr>
      <t>5</t>
    </r>
  </si>
  <si>
    <r>
      <t>Midpoint benefits</t>
    </r>
    <r>
      <rPr>
        <b/>
        <sz val="8"/>
        <rFont val="Verdana"/>
        <family val="2"/>
      </rPr>
      <t xml:space="preserve"> (1) </t>
    </r>
    <r>
      <rPr>
        <sz val="8"/>
        <rFont val="Verdana"/>
        <family val="2"/>
      </rPr>
      <t xml:space="preserve">- </t>
    </r>
    <r>
      <rPr>
        <b/>
        <sz val="8"/>
        <rFont val="Verdana"/>
        <family val="2"/>
      </rPr>
      <t>(2)</t>
    </r>
  </si>
  <si>
    <t>PV travel time cost savings</t>
  </si>
  <si>
    <r>
      <t xml:space="preserve"> = [</t>
    </r>
    <r>
      <rPr>
        <b/>
        <sz val="8"/>
        <rFont val="Verdana"/>
        <family val="2"/>
      </rPr>
      <t>c</t>
    </r>
    <r>
      <rPr>
        <b/>
        <vertAlign val="superscript"/>
        <sz val="8"/>
        <rFont val="Verdana"/>
        <family val="2"/>
      </rPr>
      <t>1</t>
    </r>
    <r>
      <rPr>
        <sz val="8"/>
        <rFont val="Verdana"/>
        <family val="2"/>
      </rPr>
      <t xml:space="preserve"> + </t>
    </r>
    <r>
      <rPr>
        <b/>
        <sz val="8"/>
        <rFont val="Verdana"/>
        <family val="2"/>
      </rPr>
      <t>c</t>
    </r>
    <r>
      <rPr>
        <b/>
        <vertAlign val="superscript"/>
        <sz val="8"/>
        <rFont val="Verdana"/>
        <family val="2"/>
      </rPr>
      <t>2</t>
    </r>
    <r>
      <rPr>
        <b/>
        <sz val="8"/>
        <rFont val="Verdana"/>
        <family val="2"/>
      </rPr>
      <t xml:space="preserve"> </t>
    </r>
    <r>
      <rPr>
        <sz val="8"/>
        <rFont val="Verdana"/>
        <family val="2"/>
      </rPr>
      <t xml:space="preserve">+ </t>
    </r>
    <r>
      <rPr>
        <b/>
        <sz val="8"/>
        <rFont val="Verdana"/>
        <family val="2"/>
      </rPr>
      <t>c</t>
    </r>
    <r>
      <rPr>
        <b/>
        <vertAlign val="superscript"/>
        <sz val="8"/>
        <rFont val="Verdana"/>
        <family val="2"/>
      </rPr>
      <t>3</t>
    </r>
    <r>
      <rPr>
        <sz val="8"/>
        <rFont val="Verdana"/>
        <family val="2"/>
      </rPr>
      <t xml:space="preserve"> + </t>
    </r>
    <r>
      <rPr>
        <b/>
        <sz val="8"/>
        <rFont val="Verdana"/>
        <family val="2"/>
      </rPr>
      <t>c</t>
    </r>
    <r>
      <rPr>
        <b/>
        <vertAlign val="superscript"/>
        <sz val="8"/>
        <rFont val="Verdana"/>
        <family val="2"/>
      </rPr>
      <t>4</t>
    </r>
    <r>
      <rPr>
        <b/>
        <sz val="8"/>
        <rFont val="Verdana"/>
        <family val="2"/>
      </rPr>
      <t xml:space="preserve"> </t>
    </r>
    <r>
      <rPr>
        <sz val="8"/>
        <rFont val="Verdana"/>
        <family val="2"/>
      </rPr>
      <t xml:space="preserve">+ </t>
    </r>
    <r>
      <rPr>
        <b/>
        <sz val="8"/>
        <rFont val="Verdana"/>
        <family val="2"/>
      </rPr>
      <t>c</t>
    </r>
    <r>
      <rPr>
        <b/>
        <vertAlign val="superscript"/>
        <sz val="8"/>
        <rFont val="Verdana"/>
        <family val="2"/>
      </rPr>
      <t>5</t>
    </r>
    <r>
      <rPr>
        <sz val="8"/>
        <rFont val="Verdana"/>
        <family val="2"/>
      </rPr>
      <t xml:space="preserve"> ] </t>
    </r>
  </si>
  <si>
    <r>
      <t xml:space="preserve">Transfer the PV travel time cost savings, </t>
    </r>
    <r>
      <rPr>
        <b/>
        <sz val="8"/>
        <rFont val="Verdana"/>
        <family val="2"/>
      </rPr>
      <t>C</t>
    </r>
    <r>
      <rPr>
        <sz val="8"/>
        <rFont val="Verdana"/>
        <family val="2"/>
      </rPr>
      <t xml:space="preserve"> for the preferred option to </t>
    </r>
    <r>
      <rPr>
        <b/>
        <sz val="8"/>
        <rFont val="Verdana"/>
        <family val="2"/>
      </rPr>
      <t>C</t>
    </r>
    <r>
      <rPr>
        <sz val="8"/>
        <rFont val="Verdana"/>
        <family val="2"/>
      </rPr>
      <t xml:space="preserve"> on worksheet 1</t>
    </r>
  </si>
  <si>
    <t>Total TT savings</t>
  </si>
  <si>
    <t>Hours saved</t>
  </si>
  <si>
    <r>
      <t>SP5 Isolated intersection improvements</t>
    </r>
    <r>
      <rPr>
        <sz val="8"/>
        <rFont val="Verdana"/>
        <family val="2"/>
      </rPr>
      <t xml:space="preserve"> </t>
    </r>
  </si>
  <si>
    <t>Worksheet 5 - Vehicle operating cost savings</t>
  </si>
  <si>
    <t>This worksheet is used for calculating vehicle operating cost savings from modifying or changing the control of an intersection eg, from priority control to traffic signals. Intersection analysis requires modelling to be used for both the do minimum and project option.
The annual VOC for the do minimum and the project option are to be calculated either using direct output from a suitable computer programme (such as SIDRA, INTANAL or SCATES) or by aggregating outputs for representative time periods. Output and notes should be attached. Alternatively, fill in the tables in worksheet 5 as per the instructions below.
For intersections, VOC are not directly proportional to growth in traffic volumes. Hence, the calculations of VOC savings are undertaken in eight yearly steps and the discounted values are summed to more accurately reflect the savings over the 40 year evaluation period.
The VOC calculations start at the beginning of year 2 (following completion of construction works in year 1) and finish at the end of year 40.</t>
  </si>
  <si>
    <t>Annual VOC</t>
  </si>
  <si>
    <t>Mid point at end of year</t>
  </si>
  <si>
    <t>Do-minimum VOC at midpoint</t>
  </si>
  <si>
    <t>Option VOC at midpoint</t>
  </si>
  <si>
    <r>
      <t xml:space="preserve">Midpoint benefits </t>
    </r>
    <r>
      <rPr>
        <b/>
        <sz val="8"/>
        <rFont val="Verdana"/>
        <family val="2"/>
      </rPr>
      <t>(1)</t>
    </r>
    <r>
      <rPr>
        <sz val="8"/>
        <rFont val="Verdana"/>
        <family val="2"/>
      </rPr>
      <t xml:space="preserve"> -</t>
    </r>
    <r>
      <rPr>
        <b/>
        <sz val="8"/>
        <rFont val="Verdana"/>
        <family val="2"/>
      </rPr>
      <t xml:space="preserve"> (2)</t>
    </r>
  </si>
  <si>
    <t>PV VOC and CO2 savings</t>
  </si>
  <si>
    <r>
      <t>VOC and CO</t>
    </r>
    <r>
      <rPr>
        <vertAlign val="subscript"/>
        <sz val="8"/>
        <rFont val="Verdana"/>
        <family val="2"/>
      </rPr>
      <t>2</t>
    </r>
    <r>
      <rPr>
        <sz val="8"/>
        <rFont val="Verdana"/>
        <family val="2"/>
      </rPr>
      <t xml:space="preserve"> savings</t>
    </r>
  </si>
  <si>
    <r>
      <t xml:space="preserve"> = [</t>
    </r>
    <r>
      <rPr>
        <b/>
        <sz val="8"/>
        <rFont val="Verdana"/>
        <family val="2"/>
      </rPr>
      <t>c</t>
    </r>
    <r>
      <rPr>
        <b/>
        <vertAlign val="superscript"/>
        <sz val="8"/>
        <rFont val="Verdana"/>
        <family val="2"/>
      </rPr>
      <t>1</t>
    </r>
    <r>
      <rPr>
        <sz val="8"/>
        <rFont val="Verdana"/>
        <family val="2"/>
      </rPr>
      <t xml:space="preserve"> + </t>
    </r>
    <r>
      <rPr>
        <b/>
        <sz val="8"/>
        <rFont val="Verdana"/>
        <family val="2"/>
      </rPr>
      <t>c</t>
    </r>
    <r>
      <rPr>
        <b/>
        <vertAlign val="superscript"/>
        <sz val="8"/>
        <rFont val="Verdana"/>
        <family val="2"/>
      </rPr>
      <t>2</t>
    </r>
    <r>
      <rPr>
        <b/>
        <sz val="8"/>
        <rFont val="Verdana"/>
        <family val="2"/>
      </rPr>
      <t xml:space="preserve"> </t>
    </r>
    <r>
      <rPr>
        <sz val="8"/>
        <rFont val="Verdana"/>
        <family val="2"/>
      </rPr>
      <t xml:space="preserve">+ </t>
    </r>
    <r>
      <rPr>
        <b/>
        <sz val="8"/>
        <rFont val="Verdana"/>
        <family val="2"/>
      </rPr>
      <t>c</t>
    </r>
    <r>
      <rPr>
        <b/>
        <vertAlign val="superscript"/>
        <sz val="8"/>
        <rFont val="Verdana"/>
        <family val="2"/>
      </rPr>
      <t>3</t>
    </r>
    <r>
      <rPr>
        <sz val="8"/>
        <rFont val="Verdana"/>
        <family val="2"/>
      </rPr>
      <t xml:space="preserve"> + </t>
    </r>
    <r>
      <rPr>
        <b/>
        <sz val="8"/>
        <rFont val="Verdana"/>
        <family val="2"/>
      </rPr>
      <t>c</t>
    </r>
    <r>
      <rPr>
        <b/>
        <vertAlign val="superscript"/>
        <sz val="8"/>
        <rFont val="Verdana"/>
        <family val="2"/>
      </rPr>
      <t>4</t>
    </r>
    <r>
      <rPr>
        <b/>
        <sz val="8"/>
        <rFont val="Verdana"/>
        <family val="2"/>
      </rPr>
      <t xml:space="preserve"> </t>
    </r>
    <r>
      <rPr>
        <sz val="8"/>
        <rFont val="Verdana"/>
        <family val="2"/>
      </rPr>
      <t xml:space="preserve">+ </t>
    </r>
    <r>
      <rPr>
        <b/>
        <sz val="8"/>
        <rFont val="Verdana"/>
        <family val="2"/>
      </rPr>
      <t>c</t>
    </r>
    <r>
      <rPr>
        <b/>
        <vertAlign val="superscript"/>
        <sz val="8"/>
        <rFont val="Verdana"/>
        <family val="2"/>
      </rPr>
      <t>5</t>
    </r>
    <r>
      <rPr>
        <sz val="8"/>
        <rFont val="Verdana"/>
        <family val="2"/>
      </rPr>
      <t xml:space="preserve"> ] x 1.04</t>
    </r>
  </si>
  <si>
    <r>
      <t>Transfer the PV of VOC and CO</t>
    </r>
    <r>
      <rPr>
        <vertAlign val="subscript"/>
        <sz val="8"/>
        <rFont val="Verdana"/>
        <family val="2"/>
      </rPr>
      <t>2</t>
    </r>
    <r>
      <rPr>
        <sz val="8"/>
        <rFont val="Verdana"/>
        <family val="2"/>
      </rPr>
      <t xml:space="preserve"> savings, </t>
    </r>
    <r>
      <rPr>
        <b/>
        <sz val="8"/>
        <rFont val="Verdana"/>
        <family val="2"/>
      </rPr>
      <t>D</t>
    </r>
    <r>
      <rPr>
        <sz val="8"/>
        <rFont val="Verdana"/>
        <family val="2"/>
      </rPr>
      <t xml:space="preserve"> for the preferred option to </t>
    </r>
    <r>
      <rPr>
        <b/>
        <sz val="8"/>
        <rFont val="Verdana"/>
        <family val="2"/>
      </rPr>
      <t>D</t>
    </r>
    <r>
      <rPr>
        <sz val="8"/>
        <rFont val="Verdana"/>
        <family val="2"/>
      </rPr>
      <t xml:space="preserve"> on worksheet 1.</t>
    </r>
  </si>
  <si>
    <t>BCR calculations</t>
  </si>
  <si>
    <t>Option D</t>
  </si>
  <si>
    <t xml:space="preserve">Benefits </t>
  </si>
  <si>
    <t>Travel time cost savings (PV)</t>
  </si>
  <si>
    <r>
      <t xml:space="preserve">Type in the values of </t>
    </r>
    <r>
      <rPr>
        <b/>
        <sz val="8"/>
        <rFont val="Verdana"/>
        <family val="2"/>
      </rPr>
      <t>X</t>
    </r>
    <r>
      <rPr>
        <sz val="8"/>
        <rFont val="Verdana"/>
        <family val="2"/>
      </rPr>
      <t xml:space="preserve">, </t>
    </r>
    <r>
      <rPr>
        <b/>
        <sz val="8"/>
        <rFont val="Verdana"/>
        <family val="2"/>
      </rPr>
      <t>Y</t>
    </r>
    <r>
      <rPr>
        <sz val="8"/>
        <rFont val="Verdana"/>
        <family val="2"/>
      </rPr>
      <t xml:space="preserve">, and </t>
    </r>
    <r>
      <rPr>
        <b/>
        <sz val="8"/>
        <rFont val="Verdana"/>
        <family val="2"/>
      </rPr>
      <t>Z</t>
    </r>
    <r>
      <rPr>
        <sz val="8"/>
        <rFont val="Verdana"/>
        <family val="2"/>
      </rPr>
      <t xml:space="preserve"> from the worksheet 1. 
These should be calculated separately for each option.</t>
    </r>
  </si>
  <si>
    <t>VOC and CO2 savings (PV)</t>
  </si>
  <si>
    <t>Crash cost savings (PV)</t>
  </si>
  <si>
    <t>PV total benefits</t>
  </si>
  <si>
    <t>Capital costs (PV)</t>
  </si>
  <si>
    <t>Maintenance costs (PV)</t>
  </si>
  <si>
    <t>PV total costs (PV)</t>
  </si>
  <si>
    <r>
      <t>BCR</t>
    </r>
    <r>
      <rPr>
        <b/>
        <vertAlign val="subscript"/>
        <sz val="8"/>
        <color indexed="8"/>
        <rFont val="Verdana"/>
        <family val="2"/>
      </rPr>
      <t xml:space="preserve">N </t>
    </r>
  </si>
  <si>
    <r>
      <t>Incremental BCR</t>
    </r>
    <r>
      <rPr>
        <vertAlign val="subscript"/>
        <sz val="8"/>
        <color indexed="8"/>
        <rFont val="Verdana"/>
        <family val="2"/>
      </rPr>
      <t>N</t>
    </r>
    <r>
      <rPr>
        <b/>
        <sz val="8"/>
        <color indexed="8"/>
        <rFont val="Verdana"/>
        <family val="2"/>
      </rPr>
      <t xml:space="preserve">
(7)=(6)</t>
    </r>
    <r>
      <rPr>
        <sz val="8"/>
        <color indexed="8"/>
        <rFont val="Verdana"/>
        <family val="2"/>
      </rPr>
      <t>/</t>
    </r>
    <r>
      <rPr>
        <b/>
        <sz val="8"/>
        <color indexed="8"/>
        <rFont val="Verdana"/>
        <family val="2"/>
      </rPr>
      <t xml:space="preserve"> (5)</t>
    </r>
  </si>
  <si>
    <r>
      <t>MBCM</t>
    </r>
    <r>
      <rPr>
        <sz val="8"/>
        <rFont val="Verdana"/>
        <family val="2"/>
      </rPr>
      <t xml:space="preserve"> - Table 16 for full range of values</t>
    </r>
  </si>
  <si>
    <t>Do minimum SP5-2</t>
  </si>
  <si>
    <t>Option 1 SP5-3(1)</t>
  </si>
  <si>
    <t>Option 2 SP5-3(2)</t>
  </si>
  <si>
    <t>Option 3 SP5-3(3)</t>
  </si>
  <si>
    <t>Option 3 SP5-3(4)</t>
  </si>
  <si>
    <t>no number</t>
  </si>
  <si>
    <t/>
  </si>
  <si>
    <t>SP5-1: 'Evaluation Summary</t>
  </si>
  <si>
    <t>SP5-2: 'Cost of do-minimum</t>
  </si>
  <si>
    <t>SP5-3(1): 'Cost of the option 1</t>
  </si>
  <si>
    <t>SP5-3(2): 'Cost of the option 2</t>
  </si>
  <si>
    <t>SP5-3(3): 'Cost of the option 3</t>
  </si>
  <si>
    <t>SP5-4: 'Travel time cost savings</t>
  </si>
  <si>
    <t>SP5-5: 'Vehicle operating cost savings</t>
  </si>
  <si>
    <t>SP5-6: 'Crash cost savings</t>
  </si>
  <si>
    <t>SP5-7: 'BCR and incremental analysis</t>
  </si>
  <si>
    <t xml:space="preserve">Discount rate </t>
  </si>
  <si>
    <t>Base year</t>
  </si>
  <si>
    <t>Cycle/pedestrian growth rate</t>
  </si>
  <si>
    <t>DF</t>
  </si>
  <si>
    <t>Table A21: Crash trend adjustments factors</t>
  </si>
  <si>
    <t>50 and 60km/h</t>
  </si>
  <si>
    <t>70km/h and above</t>
  </si>
  <si>
    <t>Shadow price of carbon median value</t>
  </si>
  <si>
    <t>Total Monetised Benefits</t>
  </si>
  <si>
    <t>BCR</t>
  </si>
  <si>
    <t>Travel time cost ($/hour July 2021)</t>
  </si>
  <si>
    <t>Periodic costs forecast to maintain the planned condition (business as usual).</t>
  </si>
  <si>
    <t>Forecast annual costs required to maintain the planned condition (business as usual). Operating costs must be distinct from, and in addition to, maintenance costs.</t>
  </si>
  <si>
    <t>Periodic costs required to maintain the existing condition (business as usual).</t>
  </si>
  <si>
    <t>Annual costs required to maintain the existing condition (business as usual).</t>
  </si>
  <si>
    <t>Annual costs required to maintain the existing condition (business as usual). Operating costs must be distinct from, and in addition to, maintenance costs.</t>
  </si>
  <si>
    <t>Annual costs forecast for inspections and maintenance after completion of the project</t>
  </si>
  <si>
    <t>Local road and state highway improvements</t>
  </si>
  <si>
    <t>Urban</t>
  </si>
  <si>
    <t>Rural</t>
  </si>
  <si>
    <t>30 to 70 km/h speed limit areas</t>
  </si>
  <si>
    <t>80 to 100 km/h speed limit areas (excluding motorways)</t>
  </si>
  <si>
    <t>Crash cost, 80-110km/h limit (Tables A32 to A35)</t>
  </si>
  <si>
    <t>Crash cost, 30-50km/h limit (Tables A28 to A31)</t>
  </si>
  <si>
    <t>Mean speed adjustment (between 50 and 80km/h) = ((1)  - 50)/30</t>
  </si>
  <si>
    <r>
      <t xml:space="preserve">Cost per crash = </t>
    </r>
    <r>
      <rPr>
        <b/>
        <sz val="8"/>
        <rFont val="Verdana"/>
        <family val="2"/>
      </rPr>
      <t>(12)</t>
    </r>
    <r>
      <rPr>
        <sz val="8"/>
        <rFont val="Verdana"/>
        <family val="2"/>
      </rPr>
      <t xml:space="preserve"> or </t>
    </r>
    <r>
      <rPr>
        <b/>
        <sz val="8"/>
        <rFont val="Verdana"/>
        <family val="2"/>
      </rPr>
      <t>(13)</t>
    </r>
    <r>
      <rPr>
        <sz val="8"/>
        <rFont val="Verdana"/>
        <family val="2"/>
      </rPr>
      <t xml:space="preserve"> or </t>
    </r>
    <r>
      <rPr>
        <b/>
        <sz val="8"/>
        <rFont val="Verdana"/>
        <family val="2"/>
      </rPr>
      <t>(13)</t>
    </r>
    <r>
      <rPr>
        <sz val="8"/>
        <rFont val="Verdana"/>
        <family val="2"/>
      </rPr>
      <t xml:space="preserve"> + </t>
    </r>
    <r>
      <rPr>
        <b/>
        <sz val="8"/>
        <rFont val="Verdana"/>
        <family val="2"/>
      </rPr>
      <t>(14)</t>
    </r>
    <r>
      <rPr>
        <sz val="8"/>
        <rFont val="Verdana"/>
        <family val="2"/>
      </rPr>
      <t xml:space="preserve"> x [</t>
    </r>
    <r>
      <rPr>
        <b/>
        <sz val="8"/>
        <rFont val="Verdana"/>
        <family val="2"/>
      </rPr>
      <t>(12)</t>
    </r>
    <r>
      <rPr>
        <sz val="8"/>
        <rFont val="Verdana"/>
        <family val="2"/>
      </rPr>
      <t xml:space="preserve"> - </t>
    </r>
    <r>
      <rPr>
        <b/>
        <sz val="8"/>
        <rFont val="Verdana"/>
        <family val="2"/>
      </rPr>
      <t>(13)</t>
    </r>
    <r>
      <rPr>
        <sz val="8"/>
        <rFont val="Verdana"/>
        <family val="2"/>
      </rPr>
      <t>]</t>
    </r>
  </si>
  <si>
    <r>
      <t xml:space="preserve">Cost per crash = </t>
    </r>
    <r>
      <rPr>
        <b/>
        <sz val="8"/>
        <rFont val="Verdana"/>
        <family val="2"/>
      </rPr>
      <t>(21)</t>
    </r>
    <r>
      <rPr>
        <sz val="8"/>
        <rFont val="Verdana"/>
        <family val="2"/>
      </rPr>
      <t xml:space="preserve"> or </t>
    </r>
    <r>
      <rPr>
        <b/>
        <sz val="8"/>
        <rFont val="Verdana"/>
        <family val="2"/>
      </rPr>
      <t>(22)</t>
    </r>
    <r>
      <rPr>
        <sz val="8"/>
        <rFont val="Verdana"/>
        <family val="2"/>
      </rPr>
      <t xml:space="preserve"> or </t>
    </r>
    <r>
      <rPr>
        <b/>
        <sz val="8"/>
        <rFont val="Verdana"/>
        <family val="2"/>
      </rPr>
      <t xml:space="preserve">(22) </t>
    </r>
    <r>
      <rPr>
        <sz val="8"/>
        <rFont val="Verdana"/>
        <family val="2"/>
      </rPr>
      <t>+</t>
    </r>
    <r>
      <rPr>
        <b/>
        <sz val="8"/>
        <rFont val="Verdana"/>
        <family val="2"/>
      </rPr>
      <t xml:space="preserve"> (23) </t>
    </r>
    <r>
      <rPr>
        <sz val="8"/>
        <rFont val="Verdana"/>
        <family val="2"/>
      </rPr>
      <t>x</t>
    </r>
    <r>
      <rPr>
        <b/>
        <sz val="8"/>
        <rFont val="Verdana"/>
        <family val="2"/>
      </rPr>
      <t xml:space="preserve"> </t>
    </r>
    <r>
      <rPr>
        <sz val="8"/>
        <rFont val="Verdana"/>
        <family val="2"/>
      </rPr>
      <t>[</t>
    </r>
    <r>
      <rPr>
        <b/>
        <sz val="8"/>
        <rFont val="Verdana"/>
        <family val="2"/>
      </rPr>
      <t xml:space="preserve">(21) </t>
    </r>
    <r>
      <rPr>
        <sz val="8"/>
        <rFont val="Verdana"/>
        <family val="2"/>
      </rPr>
      <t>-</t>
    </r>
    <r>
      <rPr>
        <b/>
        <sz val="8"/>
        <rFont val="Verdana"/>
        <family val="2"/>
      </rPr>
      <t xml:space="preserve"> (22)</t>
    </r>
    <r>
      <rPr>
        <sz val="8"/>
        <rFont val="Verdana"/>
        <family val="2"/>
      </rPr>
      <t>]</t>
    </r>
  </si>
  <si>
    <t>Table A23: Ratio of fatal to serious crash severities by movement category for 30 to 50km/h speed limit areas</t>
  </si>
  <si>
    <t xml:space="preserve">Table A24: Ratio of fatal to serious crash severities by movement category for 60 to 70km/h speed limit areas  </t>
  </si>
  <si>
    <t>Table A25: Ratio of fatal to serious crash severities by movement category for 80 to 110km/h speed limit areas</t>
  </si>
  <si>
    <t>Table A26: Factors for converting from reported injury accidents to total injury accident</t>
  </si>
  <si>
    <t>Injuried person category</t>
  </si>
  <si>
    <t>30 to 70km/h speed limit areas</t>
  </si>
  <si>
    <t xml:space="preserve">Remote rural 100km/h speed limit areas </t>
  </si>
  <si>
    <t>Table A27: Factor for converting from reported non-injury crashes to total non-injury crashes</t>
  </si>
  <si>
    <t>Total cost per crash by vehicle type ($ 2021)</t>
  </si>
  <si>
    <t>2024 update</t>
  </si>
  <si>
    <t>Table A28: Cost per crash by movement and vehicle involvement for fatal injury crashes in 30 to 50km/h speed limit areas</t>
  </si>
  <si>
    <t>30 to 50km/h speed limit areas fatal injury crashes</t>
  </si>
  <si>
    <t>Table A29: Cost per crash by movement and vehicle involvement for serious injury crashes in 30 to 50km/h speed limit areas</t>
  </si>
  <si>
    <t>30 to 50km/h speed limit areas serious injury crashes</t>
  </si>
  <si>
    <t>Total cost per crash by vehicle type ($’000 2021)</t>
  </si>
  <si>
    <t>Table A30: Cost per crash by movement and vehicle involvement for minor injury crashes in 30 to 50km/h speed limit areas</t>
  </si>
  <si>
    <t xml:space="preserve">30 to 50km/h speed limit </t>
  </si>
  <si>
    <t xml:space="preserve">Table A31: Cost per crash by movement and vehicle involvement for non-injury crashes in 30 to 50km/h speed limit areas </t>
  </si>
  <si>
    <t>30 to 50km/h speed limit areas non-injury crashes</t>
  </si>
  <si>
    <t>Table A32: Cost per crash by movement and vehicle involvement for fatal injury crashes in 80 to 110km/h speed limit areas</t>
  </si>
  <si>
    <t>80 to 110km/h speed limit areas fatal injury crashes</t>
  </si>
  <si>
    <t>Table A33: Cost per crash by movement and vehicle involvement for serious injury crashes in 80 to 110km/h speed limit areas</t>
  </si>
  <si>
    <t xml:space="preserve">80 to 110km/h speed limit </t>
  </si>
  <si>
    <t>Table A34: Cost per crash by movement and vehicle involvement for minor injury crashes in 80 to 110km/h speed limit areas</t>
  </si>
  <si>
    <t xml:space="preserve">Table A35: Cost per crash by movement and vehicle involvement for non-injury crashes in 80 to 110km/h speed limit areas </t>
  </si>
  <si>
    <t xml:space="preserve">
Table A23: Ratio of fatal to serious crash severities by movement category for 30 to 50km/h speed limit areas</t>
  </si>
  <si>
    <t>Annual single payment present worth factors</t>
  </si>
  <si>
    <t xml:space="preserve"> Annual uniform series present worth factors</t>
  </si>
  <si>
    <t>Annual arithmetic growth present worth factors</t>
  </si>
  <si>
    <t>Time (years)</t>
  </si>
  <si>
    <t>2% &amp; 1.5% discount rate</t>
  </si>
  <si>
    <t>2% up to 30 years and 1.5% after 30 years</t>
  </si>
  <si>
    <t>SP5-3(1)</t>
  </si>
  <si>
    <t>SP5-3(2)</t>
  </si>
  <si>
    <t>Evaluation Period: 
(baseline and forecast year) 
e.g 2025 - 2065</t>
  </si>
  <si>
    <r>
      <t>[(</t>
    </r>
    <r>
      <rPr>
        <b/>
        <sz val="8"/>
        <rFont val="Verdana"/>
        <family val="2"/>
      </rPr>
      <t>W</t>
    </r>
    <r>
      <rPr>
        <sz val="8"/>
        <rFont val="Verdana"/>
        <family val="2"/>
      </rPr>
      <t xml:space="preserve"> + </t>
    </r>
    <r>
      <rPr>
        <b/>
        <sz val="8"/>
        <rFont val="Verdana"/>
        <family val="2"/>
      </rPr>
      <t>Y</t>
    </r>
    <r>
      <rPr>
        <sz val="8"/>
        <rFont val="Verdana"/>
        <family val="2"/>
      </rPr>
      <t xml:space="preserve">) / DF + ( </t>
    </r>
    <r>
      <rPr>
        <b/>
        <sz val="8"/>
        <rFont val="Verdana"/>
        <family val="2"/>
      </rPr>
      <t>Z</t>
    </r>
    <r>
      <rPr>
        <sz val="8"/>
        <rFont val="Verdana"/>
        <family val="2"/>
      </rPr>
      <t xml:space="preserve"> / DF)] x 0.98</t>
    </r>
  </si>
  <si>
    <t>Worksheet 2 is used to calculate the PV cost of the do minimum. The do minimum is the minimum level of expenditure necessary to keep an intersection open and generally consists of maintenance work.
In a limited number of cases, the do minimum will involve capital expenditure. The cost of any works (including investigation, design and construction) must be included in the evaluation. The costs should be discounted to present value by multiplying by the SPPWF for year 1 (0.98) and reported as one of the periodic maintenance costs.</t>
  </si>
  <si>
    <t>Spreadsheet May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</si>
</sst>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6" formatCode="&quot;$&quot;#,##0;[Red]\-&quot;$&quot;#,##0"/>
    <numFmt numFmtId="44" formatCode="_-&quot;$&quot;* #,##0.00_-;\-&quot;$&quot;* #,##0.00_-;_-&quot;$&quot;* &quot;-&quot;??_-;_-@_-"/>
    <numFmt numFmtId="43" formatCode="_-* #,##0.00_-;\-* #,##0.00_-;_-* &quot;-&quot;??_-;_-@_-"/>
    <numFmt numFmtId="164" formatCode="d/mm/yyyy;@"/>
    <numFmt numFmtId="165" formatCode="&quot;$&quot;#,##0;[Red]&quot;$&quot;#,##0"/>
    <numFmt numFmtId="166" formatCode="#,##0.0;[Red]#,##0.0"/>
    <numFmt numFmtId="167" formatCode="0.0"/>
    <numFmt numFmtId="168" formatCode="0.000"/>
    <numFmt numFmtId="169" formatCode="#,##0_ ;\-#,##0\ "/>
    <numFmt numFmtId="170" formatCode="&quot;$&quot;#,##0"/>
    <numFmt numFmtId="171" formatCode="_-* #,##0_-;\-* #,##0_-;_-* &quot;-&quot;??_-;_-@_-"/>
    <numFmt numFmtId="172" formatCode="0.0000"/>
    <numFmt numFmtId="173" formatCode="_-* #,##0.0_-;\-* #,##0.0_-;_-* &quot;-&quot;??_-;_-@_-"/>
    <numFmt numFmtId="174" formatCode="mm\-yyyy"/>
    <numFmt numFmtId="175" formatCode="#,##0.0"/>
    <numFmt numFmtId="176" formatCode="0.0%"/>
  </numFmts>
  <fonts count="118">
    <font>
      <sz val="12"/>
      <color theme="1"/>
      <name val="Calibri"/>
      <family val="2"/>
      <scheme val="minor"/>
    </font>
    <font>
      <sz val="11"/>
      <color theme="1"/>
      <name val="Calibri"/>
      <family val="2"/>
      <scheme val="minor"/>
    </font>
    <font>
      <sz val="11"/>
      <color theme="1"/>
      <name val="Calibri"/>
      <family val="2"/>
      <scheme val="minor"/>
    </font>
    <font>
      <sz val="8"/>
      <name val="Calibri"/>
      <family val="2"/>
    </font>
    <font>
      <sz val="12"/>
      <color indexed="56"/>
      <name val="Whitney Semibold"/>
    </font>
    <font>
      <b/>
      <sz val="12"/>
      <color indexed="56"/>
      <name val="Calibri"/>
      <family val="2"/>
    </font>
    <font>
      <sz val="12"/>
      <color indexed="63"/>
      <name val="Calibri"/>
      <family val="2"/>
    </font>
    <font>
      <sz val="10"/>
      <color indexed="9"/>
      <name val="Calibri"/>
      <family val="2"/>
    </font>
    <font>
      <b/>
      <sz val="12"/>
      <color indexed="9"/>
      <name val="Calibri"/>
      <family val="2"/>
    </font>
    <font>
      <sz val="12"/>
      <color theme="1"/>
      <name val="Whitney Light"/>
    </font>
    <font>
      <sz val="12"/>
      <color theme="1"/>
      <name val="Whitney Book"/>
    </font>
    <font>
      <sz val="12"/>
      <color theme="1" tint="0.34998626667073579"/>
      <name val="Whitney Light"/>
    </font>
    <font>
      <b/>
      <sz val="12"/>
      <color rgb="FF043B61"/>
      <name val="Calibri"/>
      <family val="2"/>
    </font>
    <font>
      <sz val="12"/>
      <color theme="1"/>
      <name val="Calibri"/>
      <family val="2"/>
    </font>
    <font>
      <b/>
      <sz val="12"/>
      <color theme="1"/>
      <name val="Calibri"/>
      <family val="2"/>
    </font>
    <font>
      <sz val="12"/>
      <color theme="1" tint="0.34998626667073579"/>
      <name val="Calibri"/>
      <family val="2"/>
    </font>
    <font>
      <b/>
      <sz val="14"/>
      <color rgb="FF043B61"/>
      <name val="Calibri"/>
      <family val="2"/>
    </font>
    <font>
      <b/>
      <sz val="30"/>
      <color theme="0"/>
      <name val="Calibri"/>
      <family val="2"/>
    </font>
    <font>
      <b/>
      <sz val="28"/>
      <color theme="0"/>
      <name val="Calibri"/>
      <family val="2"/>
    </font>
    <font>
      <sz val="12"/>
      <color rgb="FF043B61"/>
      <name val="Whitney Semibold"/>
    </font>
    <font>
      <sz val="14"/>
      <color rgb="FF043B61"/>
      <name val="Calibri"/>
      <family val="2"/>
    </font>
    <font>
      <b/>
      <sz val="12"/>
      <color theme="1"/>
      <name val="Calibri"/>
      <family val="2"/>
      <scheme val="minor"/>
    </font>
    <font>
      <u/>
      <sz val="12"/>
      <color theme="10"/>
      <name val="Calibri"/>
      <family val="2"/>
      <scheme val="minor"/>
    </font>
    <font>
      <u/>
      <sz val="12"/>
      <color theme="11"/>
      <name val="Calibri"/>
      <family val="2"/>
      <scheme val="minor"/>
    </font>
    <font>
      <sz val="12"/>
      <color rgb="FF80A30A"/>
      <name val="Whitney Semibold"/>
    </font>
    <font>
      <b/>
      <sz val="12"/>
      <color indexed="50"/>
      <name val="Calibri"/>
      <family val="2"/>
    </font>
    <font>
      <sz val="12"/>
      <color indexed="50"/>
      <name val="Whitney Semibold"/>
    </font>
    <font>
      <i/>
      <sz val="12"/>
      <color indexed="63"/>
      <name val="Calibri"/>
      <family val="2"/>
    </font>
    <font>
      <sz val="12"/>
      <color theme="1" tint="0.249977111117893"/>
      <name val="Calibri"/>
      <family val="2"/>
    </font>
    <font>
      <b/>
      <sz val="12"/>
      <color indexed="52"/>
      <name val="Calibri"/>
      <family val="2"/>
    </font>
    <font>
      <sz val="12"/>
      <color indexed="53"/>
      <name val="Whitney Semibold"/>
    </font>
    <font>
      <b/>
      <sz val="12"/>
      <color indexed="53"/>
      <name val="Calibri"/>
      <family val="2"/>
    </font>
    <font>
      <b/>
      <sz val="12"/>
      <color indexed="17"/>
      <name val="Calibri"/>
      <family val="2"/>
    </font>
    <font>
      <i/>
      <sz val="12"/>
      <color indexed="50"/>
      <name val="Calibri"/>
      <family val="2"/>
    </font>
    <font>
      <b/>
      <sz val="12"/>
      <color indexed="57"/>
      <name val="Calibri"/>
      <family val="2"/>
    </font>
    <font>
      <i/>
      <sz val="12"/>
      <color indexed="57"/>
      <name val="Calibri"/>
      <family val="2"/>
    </font>
    <font>
      <sz val="12"/>
      <color rgb="FF80A30A"/>
      <name val="Whitney Semibold"/>
      <family val="2"/>
    </font>
    <font>
      <sz val="11"/>
      <color theme="0"/>
      <name val="Calibri"/>
      <family val="2"/>
    </font>
    <font>
      <sz val="12"/>
      <color theme="1"/>
      <name val="Calibri"/>
      <family val="2"/>
      <scheme val="minor"/>
    </font>
    <font>
      <sz val="12"/>
      <color rgb="FF80A30A"/>
      <name val="Calibri"/>
      <family val="2"/>
    </font>
    <font>
      <sz val="12"/>
      <color indexed="9"/>
      <name val="Calibri"/>
      <family val="2"/>
    </font>
    <font>
      <sz val="10"/>
      <color theme="0"/>
      <name val="Calibri"/>
      <family val="2"/>
    </font>
    <font>
      <sz val="12"/>
      <color indexed="57"/>
      <name val="Calibri"/>
      <family val="2"/>
    </font>
    <font>
      <sz val="10"/>
      <color theme="1"/>
      <name val="Lucida Sans"/>
      <family val="2"/>
    </font>
    <font>
      <b/>
      <sz val="11"/>
      <color theme="1"/>
      <name val="Calibri"/>
      <family val="2"/>
      <scheme val="minor"/>
    </font>
    <font>
      <i/>
      <sz val="12"/>
      <name val="Calibri"/>
      <family val="2"/>
    </font>
    <font>
      <sz val="10"/>
      <name val="Arial"/>
      <family val="2"/>
    </font>
    <font>
      <sz val="8"/>
      <name val="Lucida Sans"/>
      <family val="2"/>
    </font>
    <font>
      <sz val="9"/>
      <name val="Lucida Sans"/>
      <family val="2"/>
    </font>
    <font>
      <sz val="9"/>
      <color theme="1"/>
      <name val="Calibri"/>
      <family val="2"/>
      <scheme val="minor"/>
    </font>
    <font>
      <sz val="10"/>
      <color theme="1"/>
      <name val="Calibri"/>
      <family val="2"/>
      <scheme val="minor"/>
    </font>
    <font>
      <b/>
      <sz val="10"/>
      <color theme="1"/>
      <name val="Calibri"/>
      <family val="2"/>
      <scheme val="minor"/>
    </font>
    <font>
      <i/>
      <sz val="10"/>
      <color theme="1"/>
      <name val="Calibri"/>
      <family val="2"/>
      <scheme val="minor"/>
    </font>
    <font>
      <i/>
      <sz val="8"/>
      <color theme="1"/>
      <name val="Calibri"/>
      <family val="2"/>
      <scheme val="minor"/>
    </font>
    <font>
      <i/>
      <sz val="11"/>
      <color theme="1"/>
      <name val="Calibri"/>
      <family val="2"/>
      <scheme val="minor"/>
    </font>
    <font>
      <i/>
      <sz val="9"/>
      <color theme="1"/>
      <name val="Calibri"/>
      <family val="2"/>
      <scheme val="minor"/>
    </font>
    <font>
      <sz val="6"/>
      <name val="Arial"/>
      <family val="2"/>
    </font>
    <font>
      <b/>
      <sz val="9"/>
      <name val="Lucida Sans"/>
      <family val="2"/>
    </font>
    <font>
      <sz val="10"/>
      <name val="Verdana"/>
      <family val="2"/>
    </font>
    <font>
      <u/>
      <sz val="10"/>
      <color indexed="12"/>
      <name val="Arial"/>
      <family val="2"/>
    </font>
    <font>
      <b/>
      <sz val="10"/>
      <name val="Verdana"/>
      <family val="2"/>
    </font>
    <font>
      <b/>
      <i/>
      <sz val="9"/>
      <name val="Verdana"/>
      <family val="2"/>
    </font>
    <font>
      <b/>
      <u/>
      <sz val="10"/>
      <name val="Verdana"/>
      <family val="2"/>
    </font>
    <font>
      <sz val="8"/>
      <name val="Verdana"/>
      <family val="2"/>
    </font>
    <font>
      <b/>
      <i/>
      <sz val="10"/>
      <name val="Verdana"/>
      <family val="2"/>
    </font>
    <font>
      <i/>
      <sz val="8"/>
      <name val="Verdana"/>
      <family val="2"/>
    </font>
    <font>
      <i/>
      <sz val="10"/>
      <name val="Verdana"/>
      <family val="2"/>
    </font>
    <font>
      <sz val="8"/>
      <color theme="3"/>
      <name val="Verdana"/>
      <family val="2"/>
    </font>
    <font>
      <sz val="10"/>
      <color indexed="8"/>
      <name val="Arial"/>
      <family val="2"/>
    </font>
    <font>
      <sz val="10"/>
      <color theme="3"/>
      <name val="Verdana"/>
      <family val="2"/>
    </font>
    <font>
      <b/>
      <u/>
      <sz val="10"/>
      <color theme="3"/>
      <name val="Verdana"/>
      <family val="2"/>
    </font>
    <font>
      <b/>
      <sz val="12"/>
      <name val="Verdana"/>
      <family val="2"/>
    </font>
    <font>
      <sz val="9"/>
      <name val="Verdana"/>
      <family val="2"/>
    </font>
    <font>
      <b/>
      <sz val="8"/>
      <name val="Verdana"/>
      <family val="2"/>
    </font>
    <font>
      <vertAlign val="superscript"/>
      <sz val="8"/>
      <name val="Verdana"/>
      <family val="2"/>
    </font>
    <font>
      <vertAlign val="subscript"/>
      <sz val="8"/>
      <name val="Verdana"/>
      <family val="2"/>
    </font>
    <font>
      <u/>
      <sz val="8"/>
      <color indexed="12"/>
      <name val="Verdana"/>
      <family val="2"/>
    </font>
    <font>
      <sz val="6"/>
      <name val="Verdana"/>
      <family val="2"/>
    </font>
    <font>
      <sz val="8"/>
      <color indexed="81"/>
      <name val="Verdana"/>
      <family val="2"/>
    </font>
    <font>
      <b/>
      <sz val="8"/>
      <color indexed="81"/>
      <name val="Verdana"/>
      <family val="2"/>
    </font>
    <font>
      <b/>
      <sz val="8"/>
      <color indexed="9"/>
      <name val="Verdana"/>
      <family val="2"/>
    </font>
    <font>
      <sz val="8"/>
      <color indexed="9"/>
      <name val="Verdana"/>
      <family val="2"/>
    </font>
    <font>
      <sz val="8"/>
      <color indexed="81"/>
      <name val="Tahoma"/>
      <family val="2"/>
    </font>
    <font>
      <b/>
      <sz val="8"/>
      <color indexed="8"/>
      <name val="Verdana"/>
      <family val="2"/>
    </font>
    <font>
      <sz val="8"/>
      <color indexed="8"/>
      <name val="Verdana"/>
      <family val="2"/>
    </font>
    <font>
      <vertAlign val="subscript"/>
      <sz val="8"/>
      <color indexed="8"/>
      <name val="Verdana"/>
      <family val="2"/>
    </font>
    <font>
      <sz val="10"/>
      <name val="Arial"/>
      <family val="2"/>
    </font>
    <font>
      <b/>
      <sz val="9"/>
      <name val="Verdana"/>
      <family val="2"/>
    </font>
    <font>
      <sz val="16"/>
      <name val="Verdana"/>
      <family val="2"/>
    </font>
    <font>
      <sz val="12"/>
      <name val="Palatino"/>
    </font>
    <font>
      <b/>
      <sz val="12"/>
      <color theme="1" tint="0.249977111117893"/>
      <name val="Calibri"/>
      <family val="2"/>
    </font>
    <font>
      <b/>
      <sz val="12"/>
      <color theme="1" tint="0.34998626667073579"/>
      <name val="Calibri"/>
      <family val="2"/>
    </font>
    <font>
      <sz val="8"/>
      <color theme="1"/>
      <name val="Calibri"/>
      <family val="2"/>
    </font>
    <font>
      <b/>
      <sz val="8"/>
      <color theme="1"/>
      <name val="Calibri"/>
      <family val="2"/>
    </font>
    <font>
      <u/>
      <sz val="10"/>
      <color theme="10"/>
      <name val="Arial"/>
      <family val="2"/>
    </font>
    <font>
      <b/>
      <sz val="11"/>
      <color theme="1"/>
      <name val="Arial"/>
      <family val="2"/>
    </font>
    <font>
      <sz val="11"/>
      <color theme="1"/>
      <name val="Arial"/>
      <family val="2"/>
    </font>
    <font>
      <sz val="11"/>
      <color rgb="FFFFFFFF"/>
      <name val="Arial"/>
      <family val="2"/>
    </font>
    <font>
      <sz val="12"/>
      <color rgb="FFFF0000"/>
      <name val="Calibri"/>
      <family val="2"/>
      <scheme val="minor"/>
    </font>
    <font>
      <b/>
      <sz val="15"/>
      <color theme="3"/>
      <name val="Calibri"/>
      <family val="2"/>
      <scheme val="minor"/>
    </font>
    <font>
      <b/>
      <sz val="11"/>
      <name val="Verdana"/>
      <family val="2"/>
    </font>
    <font>
      <vertAlign val="subscript"/>
      <sz val="8"/>
      <color indexed="81"/>
      <name val="Verdana"/>
      <family val="2"/>
    </font>
    <font>
      <b/>
      <vertAlign val="superscript"/>
      <sz val="8"/>
      <name val="Verdana"/>
      <family val="2"/>
    </font>
    <font>
      <sz val="10"/>
      <name val="Arial"/>
      <family val="2"/>
    </font>
    <font>
      <sz val="10"/>
      <color indexed="12"/>
      <name val="Arial"/>
      <family val="2"/>
    </font>
    <font>
      <sz val="10"/>
      <name val="Whitney Condensed Book"/>
      <family val="3"/>
    </font>
    <font>
      <b/>
      <sz val="7"/>
      <name val="Verdana"/>
      <family val="2"/>
    </font>
    <font>
      <sz val="7"/>
      <name val="Verdana"/>
      <family val="2"/>
    </font>
    <font>
      <b/>
      <vertAlign val="superscript"/>
      <sz val="8"/>
      <color indexed="81"/>
      <name val="Verdana"/>
      <family val="2"/>
    </font>
    <font>
      <b/>
      <sz val="9"/>
      <color indexed="81"/>
      <name val="Tahoma"/>
      <family val="2"/>
    </font>
    <font>
      <sz val="9"/>
      <color indexed="81"/>
      <name val="Tahoma"/>
      <family val="2"/>
    </font>
    <font>
      <b/>
      <sz val="8"/>
      <color indexed="63"/>
      <name val="Verdana"/>
      <family val="2"/>
    </font>
    <font>
      <b/>
      <vertAlign val="subscript"/>
      <sz val="8"/>
      <color indexed="8"/>
      <name val="Verdana"/>
      <family val="2"/>
    </font>
    <font>
      <sz val="8"/>
      <color theme="1"/>
      <name val="Verdana"/>
      <family val="2"/>
    </font>
    <font>
      <b/>
      <sz val="10"/>
      <color rgb="FF000000"/>
      <name val="Arial"/>
      <family val="2"/>
    </font>
    <font>
      <sz val="10"/>
      <color theme="1"/>
      <name val="Arial"/>
      <family val="2"/>
    </font>
    <font>
      <sz val="10"/>
      <color rgb="FFFFFFFF"/>
      <name val="Arial"/>
      <family val="2"/>
    </font>
    <font>
      <sz val="10"/>
      <color rgb="FF000000"/>
      <name val="Arial"/>
      <family val="2"/>
    </font>
  </fonts>
  <fills count="28">
    <fill>
      <patternFill patternType="none"/>
    </fill>
    <fill>
      <patternFill patternType="gray125"/>
    </fill>
    <fill>
      <patternFill patternType="solid">
        <fgColor rgb="FF043B61"/>
        <bgColor indexed="64"/>
      </patternFill>
    </fill>
    <fill>
      <patternFill patternType="solid">
        <fgColor theme="4" tint="0.59999389629810485"/>
        <bgColor theme="4" tint="0.59999389629810485"/>
      </patternFill>
    </fill>
    <fill>
      <patternFill patternType="solid">
        <fgColor theme="4" tint="0.79998168889431442"/>
        <bgColor theme="4" tint="0.79998168889431442"/>
      </patternFill>
    </fill>
    <fill>
      <patternFill patternType="solid">
        <fgColor rgb="FFFFFF00"/>
        <bgColor indexed="64"/>
      </patternFill>
    </fill>
    <fill>
      <patternFill patternType="solid">
        <fgColor theme="0" tint="-4.9989318521683403E-2"/>
        <bgColor indexed="64"/>
      </patternFill>
    </fill>
    <fill>
      <patternFill patternType="solid">
        <fgColor theme="0"/>
        <bgColor indexed="64"/>
      </patternFill>
    </fill>
    <fill>
      <patternFill patternType="solid">
        <fgColor theme="5" tint="0.79998168889431442"/>
        <bgColor indexed="64"/>
      </patternFill>
    </fill>
    <fill>
      <patternFill patternType="solid">
        <fgColor indexed="22"/>
        <bgColor indexed="64"/>
      </patternFill>
    </fill>
    <fill>
      <patternFill patternType="solid">
        <fgColor theme="9" tint="0.79998168889431442"/>
        <bgColor indexed="64"/>
      </patternFill>
    </fill>
    <fill>
      <patternFill patternType="solid">
        <fgColor rgb="FF92D050"/>
        <bgColor indexed="64"/>
      </patternFill>
    </fill>
    <fill>
      <patternFill patternType="solid">
        <fgColor indexed="9"/>
        <bgColor indexed="64"/>
      </patternFill>
    </fill>
    <fill>
      <patternFill patternType="solid">
        <fgColor indexed="26"/>
        <bgColor indexed="64"/>
      </patternFill>
    </fill>
    <fill>
      <patternFill patternType="solid">
        <fgColor theme="7" tint="0.59999389629810485"/>
        <bgColor indexed="64"/>
      </patternFill>
    </fill>
    <fill>
      <patternFill patternType="solid">
        <fgColor theme="9" tint="-0.249977111117893"/>
        <bgColor indexed="64"/>
      </patternFill>
    </fill>
    <fill>
      <patternFill patternType="gray125">
        <bgColor indexed="22"/>
      </patternFill>
    </fill>
    <fill>
      <patternFill patternType="solid">
        <fgColor indexed="14"/>
        <bgColor indexed="64"/>
      </patternFill>
    </fill>
    <fill>
      <patternFill patternType="solid">
        <fgColor indexed="53"/>
        <bgColor indexed="64"/>
      </patternFill>
    </fill>
    <fill>
      <patternFill patternType="solid">
        <fgColor rgb="FFFF00FF"/>
        <bgColor indexed="64"/>
      </patternFill>
    </fill>
    <fill>
      <patternFill patternType="solid">
        <fgColor rgb="FFFFFFCC"/>
        <bgColor indexed="64"/>
      </patternFill>
    </fill>
    <fill>
      <patternFill patternType="solid">
        <fgColor rgb="FF2575AE"/>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theme="1" tint="0.499984740745262"/>
        <bgColor indexed="64"/>
      </patternFill>
    </fill>
    <fill>
      <patternFill patternType="solid">
        <fgColor theme="3" tint="0.79998168889431442"/>
        <bgColor indexed="64"/>
      </patternFill>
    </fill>
    <fill>
      <patternFill patternType="solid">
        <fgColor theme="0" tint="-0.249977111117893"/>
        <bgColor indexed="64"/>
      </patternFill>
    </fill>
    <fill>
      <patternFill patternType="solid">
        <fgColor rgb="FFFFFF00"/>
        <bgColor rgb="FF000000"/>
      </patternFill>
    </fill>
  </fills>
  <borders count="120">
    <border>
      <left/>
      <right/>
      <top/>
      <bottom/>
      <diagonal/>
    </border>
    <border>
      <left style="thin">
        <color theme="1" tint="0.249977111117893"/>
      </left>
      <right/>
      <top/>
      <bottom/>
      <diagonal/>
    </border>
    <border>
      <left/>
      <right style="thin">
        <color theme="1" tint="0.249977111117893"/>
      </right>
      <top/>
      <bottom/>
      <diagonal/>
    </border>
    <border>
      <left style="thin">
        <color theme="1" tint="0.249977111117893"/>
      </left>
      <right/>
      <top/>
      <bottom style="thin">
        <color theme="1" tint="0.249977111117893"/>
      </bottom>
      <diagonal/>
    </border>
    <border>
      <left/>
      <right style="thin">
        <color theme="1" tint="0.249977111117893"/>
      </right>
      <top/>
      <bottom style="thin">
        <color theme="1" tint="0.249977111117893"/>
      </bottom>
      <diagonal/>
    </border>
    <border>
      <left style="thin">
        <color theme="1" tint="0.249977111117893"/>
      </left>
      <right style="thin">
        <color theme="1" tint="0.249977111117893"/>
      </right>
      <top style="thin">
        <color theme="1" tint="0.249977111117893"/>
      </top>
      <bottom style="thin">
        <color theme="1" tint="0.249977111117893"/>
      </bottom>
      <diagonal/>
    </border>
    <border>
      <left style="thin">
        <color theme="1" tint="0.249977111117893"/>
      </left>
      <right/>
      <top style="thin">
        <color theme="1" tint="0.249977111117893"/>
      </top>
      <bottom style="thin">
        <color theme="1" tint="0.249977111117893"/>
      </bottom>
      <diagonal/>
    </border>
    <border>
      <left/>
      <right style="thin">
        <color theme="1" tint="0.249977111117893"/>
      </right>
      <top style="thin">
        <color theme="1" tint="0.249977111117893"/>
      </top>
      <bottom style="thin">
        <color theme="1" tint="0.249977111117893"/>
      </bottom>
      <diagonal/>
    </border>
    <border>
      <left/>
      <right/>
      <top/>
      <bottom style="thin">
        <color theme="1" tint="0.249977111117893"/>
      </bottom>
      <diagonal/>
    </border>
    <border>
      <left/>
      <right/>
      <top style="thin">
        <color theme="1" tint="0.249977111117893"/>
      </top>
      <bottom/>
      <diagonal/>
    </border>
    <border>
      <left/>
      <right/>
      <top style="thin">
        <color theme="1" tint="0.249977111117893"/>
      </top>
      <bottom style="thin">
        <color theme="1" tint="0.249977111117893"/>
      </bottom>
      <diagonal/>
    </border>
    <border>
      <left style="thin">
        <color theme="1" tint="0.249977111117893"/>
      </left>
      <right/>
      <top style="thin">
        <color theme="1" tint="0.249977111117893"/>
      </top>
      <bottom/>
      <diagonal/>
    </border>
    <border>
      <left/>
      <right style="thin">
        <color theme="1" tint="0.249977111117893"/>
      </right>
      <top style="thin">
        <color theme="1" tint="0.249977111117893"/>
      </top>
      <bottom/>
      <diagonal/>
    </border>
    <border>
      <left style="thin">
        <color theme="1" tint="0.249977111117893"/>
      </left>
      <right style="thin">
        <color theme="1" tint="0.249977111117893"/>
      </right>
      <top style="thin">
        <color theme="1" tint="0.249977111117893"/>
      </top>
      <bottom/>
      <diagonal/>
    </border>
    <border>
      <left style="thin">
        <color theme="1" tint="0.249977111117893"/>
      </left>
      <right style="thin">
        <color theme="1" tint="0.249977111117893"/>
      </right>
      <top/>
      <bottom style="thin">
        <color theme="1" tint="0.249977111117893"/>
      </bottom>
      <diagonal/>
    </border>
    <border>
      <left/>
      <right/>
      <top style="thin">
        <color theme="0"/>
      </top>
      <bottom style="thin">
        <color theme="0"/>
      </bottom>
      <diagonal/>
    </border>
    <border>
      <left/>
      <right/>
      <top style="thin">
        <color theme="0"/>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medium">
        <color indexed="64"/>
      </right>
      <top/>
      <bottom/>
      <diagonal/>
    </border>
    <border>
      <left style="thin">
        <color theme="1" tint="0.249977111117893"/>
      </left>
      <right style="medium">
        <color indexed="64"/>
      </right>
      <top style="thin">
        <color theme="1" tint="0.249977111117893"/>
      </top>
      <bottom style="thin">
        <color theme="1" tint="0.249977111117893"/>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ck">
        <color theme="0" tint="-4.9989318521683403E-2"/>
      </left>
      <right style="thick">
        <color theme="0" tint="-4.9989318521683403E-2"/>
      </right>
      <top style="thick">
        <color theme="0" tint="-4.9989318521683403E-2"/>
      </top>
      <bottom/>
      <diagonal/>
    </border>
    <border>
      <left/>
      <right style="thick">
        <color theme="0" tint="-4.9989318521683403E-2"/>
      </right>
      <top style="thick">
        <color theme="0" tint="-4.9989318521683403E-2"/>
      </top>
      <bottom style="thick">
        <color theme="0" tint="-4.9989318521683403E-2"/>
      </bottom>
      <diagonal/>
    </border>
    <border>
      <left style="thick">
        <color theme="0" tint="-4.9989318521683403E-2"/>
      </left>
      <right/>
      <top style="thick">
        <color theme="0" tint="-4.9989318521683403E-2"/>
      </top>
      <bottom style="thick">
        <color theme="0" tint="-4.9989318521683403E-2"/>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theme="0" tint="-4.9989318521683403E-2"/>
      </left>
      <right style="medium">
        <color theme="0" tint="-4.9989318521683403E-2"/>
      </right>
      <top style="medium">
        <color theme="0" tint="-4.9989318521683403E-2"/>
      </top>
      <bottom style="medium">
        <color theme="0" tint="-4.9989318521683403E-2"/>
      </bottom>
      <diagonal/>
    </border>
    <border>
      <left/>
      <right style="medium">
        <color theme="0" tint="-4.9989318521683403E-2"/>
      </right>
      <top style="medium">
        <color theme="0" tint="-4.9989318521683403E-2"/>
      </top>
      <bottom style="medium">
        <color theme="0" tint="-4.9989318521683403E-2"/>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right/>
      <top style="medium">
        <color theme="0" tint="-4.9989318521683403E-2"/>
      </top>
      <bottom style="medium">
        <color theme="0" tint="-4.9989318521683403E-2"/>
      </bottom>
      <diagonal/>
    </border>
    <border>
      <left style="thick">
        <color indexed="64"/>
      </left>
      <right style="thick">
        <color indexed="64"/>
      </right>
      <top style="thick">
        <color indexed="64"/>
      </top>
      <bottom style="thick">
        <color indexed="64"/>
      </bottom>
      <diagonal/>
    </border>
    <border>
      <left style="medium">
        <color indexed="64"/>
      </left>
      <right style="medium">
        <color indexed="64"/>
      </right>
      <top/>
      <bottom style="medium">
        <color indexed="64"/>
      </bottom>
      <diagonal/>
    </border>
    <border>
      <left style="thin">
        <color indexed="9"/>
      </left>
      <right style="thin">
        <color indexed="9"/>
      </right>
      <top style="thin">
        <color indexed="9"/>
      </top>
      <bottom/>
      <diagonal/>
    </border>
    <border>
      <left style="thin">
        <color indexed="9"/>
      </left>
      <right style="thin">
        <color indexed="9"/>
      </right>
      <top style="thin">
        <color indexed="9"/>
      </top>
      <bottom style="thin">
        <color indexed="9"/>
      </bottom>
      <diagonal/>
    </border>
    <border>
      <left style="thin">
        <color indexed="9"/>
      </left>
      <right style="thin">
        <color indexed="9"/>
      </right>
      <top/>
      <bottom style="thin">
        <color indexed="9"/>
      </bottom>
      <diagonal/>
    </border>
    <border>
      <left style="thin">
        <color indexed="9"/>
      </left>
      <right/>
      <top/>
      <bottom/>
      <diagonal/>
    </border>
    <border>
      <left style="thin">
        <color indexed="9"/>
      </left>
      <right style="thin">
        <color indexed="9"/>
      </right>
      <top/>
      <bottom/>
      <diagonal/>
    </border>
    <border>
      <left/>
      <right style="thin">
        <color indexed="9"/>
      </right>
      <top/>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top/>
      <bottom style="medium">
        <color indexed="64"/>
      </bottom>
      <diagonal/>
    </border>
    <border>
      <left style="medium">
        <color indexed="64"/>
      </left>
      <right/>
      <top/>
      <bottom style="medium">
        <color indexed="64"/>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right/>
      <top/>
      <bottom style="medium">
        <color rgb="FFFFFFFF"/>
      </bottom>
      <diagonal/>
    </border>
    <border>
      <left/>
      <right/>
      <top/>
      <bottom style="medium">
        <color rgb="FF2575AE"/>
      </bottom>
      <diagonal/>
    </border>
    <border>
      <left/>
      <right/>
      <top/>
      <bottom style="thick">
        <color theme="4"/>
      </bottom>
      <diagonal/>
    </border>
    <border>
      <left/>
      <right/>
      <top style="thick">
        <color theme="0"/>
      </top>
      <bottom/>
      <diagonal/>
    </border>
    <border>
      <left style="medium">
        <color theme="0" tint="-4.9989318521683403E-2"/>
      </left>
      <right style="medium">
        <color theme="0" tint="-4.9989318521683403E-2"/>
      </right>
      <top style="medium">
        <color theme="0" tint="-4.9989318521683403E-2"/>
      </top>
      <bottom/>
      <diagonal/>
    </border>
    <border>
      <left style="medium">
        <color theme="0" tint="-4.9989318521683403E-2"/>
      </left>
      <right/>
      <top style="medium">
        <color theme="0" tint="-4.9989318521683403E-2"/>
      </top>
      <bottom style="medium">
        <color theme="0" tint="-4.9989318521683403E-2"/>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medium">
        <color indexed="64"/>
      </left>
      <right style="medium">
        <color indexed="64"/>
      </right>
      <top/>
      <bottom/>
      <diagonal/>
    </border>
    <border>
      <left/>
      <right/>
      <top style="medium">
        <color rgb="FF2575AE"/>
      </top>
      <bottom style="medium">
        <color rgb="FFFFFFFF"/>
      </bottom>
      <diagonal/>
    </border>
    <border>
      <left/>
      <right/>
      <top style="medium">
        <color rgb="FF2575AE"/>
      </top>
      <bottom/>
      <diagonal/>
    </border>
    <border>
      <left style="medium">
        <color rgb="FFFFFFFF"/>
      </left>
      <right/>
      <top style="medium">
        <color rgb="FF2575AE"/>
      </top>
      <bottom/>
      <diagonal/>
    </border>
    <border>
      <left style="medium">
        <color rgb="FFFFFFFF"/>
      </left>
      <right/>
      <top/>
      <bottom style="medium">
        <color rgb="FFFFFFFF"/>
      </bottom>
      <diagonal/>
    </border>
    <border>
      <left style="medium">
        <color rgb="FFFFFFFF"/>
      </left>
      <right/>
      <top/>
      <bottom style="medium">
        <color rgb="FF2575AE"/>
      </bottom>
      <diagonal/>
    </border>
    <border>
      <left/>
      <right/>
      <top/>
      <bottom style="thin">
        <color indexed="9"/>
      </bottom>
      <diagonal/>
    </border>
    <border>
      <left/>
      <right/>
      <top style="thin">
        <color indexed="9"/>
      </top>
      <bottom/>
      <diagonal/>
    </border>
    <border>
      <left style="medium">
        <color theme="0" tint="-4.9989318521683403E-2"/>
      </left>
      <right style="medium">
        <color theme="0" tint="-4.9989318521683403E-2"/>
      </right>
      <top style="medium">
        <color theme="0" tint="-4.9989318521683403E-2"/>
      </top>
      <bottom style="thin">
        <color indexed="64"/>
      </bottom>
      <diagonal/>
    </border>
    <border>
      <left style="medium">
        <color indexed="64"/>
      </left>
      <right style="medium">
        <color theme="0" tint="-4.9989318521683403E-2"/>
      </right>
      <top style="medium">
        <color indexed="64"/>
      </top>
      <bottom style="medium">
        <color theme="0" tint="-4.9989318521683403E-2"/>
      </bottom>
      <diagonal/>
    </border>
    <border>
      <left style="medium">
        <color theme="0" tint="-4.9989318521683403E-2"/>
      </left>
      <right style="medium">
        <color indexed="64"/>
      </right>
      <top style="medium">
        <color indexed="64"/>
      </top>
      <bottom style="medium">
        <color theme="0" tint="-4.9989318521683403E-2"/>
      </bottom>
      <diagonal/>
    </border>
    <border>
      <left style="medium">
        <color theme="0" tint="-4.9989318521683403E-2"/>
      </left>
      <right style="medium">
        <color theme="0" tint="-4.9989318521683403E-2"/>
      </right>
      <top/>
      <bottom style="medium">
        <color theme="0" tint="-4.9989318521683403E-2"/>
      </bottom>
      <diagonal/>
    </border>
    <border>
      <left style="medium">
        <color indexed="64"/>
      </left>
      <right style="medium">
        <color theme="0" tint="-4.9989318521683403E-2"/>
      </right>
      <top style="medium">
        <color theme="0" tint="-4.9989318521683403E-2"/>
      </top>
      <bottom style="medium">
        <color indexed="64"/>
      </bottom>
      <diagonal/>
    </border>
    <border>
      <left style="medium">
        <color theme="0" tint="-4.9989318521683403E-2"/>
      </left>
      <right style="medium">
        <color indexed="64"/>
      </right>
      <top style="medium">
        <color theme="0" tint="-4.9989318521683403E-2"/>
      </top>
      <bottom style="medium">
        <color indexed="64"/>
      </bottom>
      <diagonal/>
    </border>
    <border>
      <left/>
      <right style="thin">
        <color indexed="9"/>
      </right>
      <top/>
      <bottom style="thin">
        <color indexed="9"/>
      </bottom>
      <diagonal/>
    </border>
    <border>
      <left style="thin">
        <color indexed="9"/>
      </left>
      <right/>
      <top/>
      <bottom style="thin">
        <color indexed="9"/>
      </bottom>
      <diagonal/>
    </border>
    <border>
      <left/>
      <right style="thin">
        <color indexed="9"/>
      </right>
      <top style="thin">
        <color indexed="9"/>
      </top>
      <bottom style="thin">
        <color indexed="9"/>
      </bottom>
      <diagonal/>
    </border>
    <border>
      <left style="thin">
        <color indexed="9"/>
      </left>
      <right/>
      <top style="thin">
        <color indexed="9"/>
      </top>
      <bottom style="thin">
        <color indexed="9"/>
      </bottom>
      <diagonal/>
    </border>
    <border>
      <left/>
      <right style="thin">
        <color indexed="9"/>
      </right>
      <top style="thin">
        <color indexed="9"/>
      </top>
      <bottom/>
      <diagonal/>
    </border>
    <border>
      <left style="thin">
        <color indexed="9"/>
      </left>
      <right/>
      <top style="thin">
        <color indexed="9"/>
      </top>
      <bottom/>
      <diagonal/>
    </border>
    <border>
      <left/>
      <right/>
      <top/>
      <bottom style="thin">
        <color theme="0"/>
      </bottom>
      <diagonal/>
    </border>
    <border>
      <left/>
      <right style="medium">
        <color theme="0" tint="-4.9989318521683403E-2"/>
      </right>
      <top style="medium">
        <color theme="0" tint="-4.9989318521683403E-2"/>
      </top>
      <bottom/>
      <diagonal/>
    </border>
    <border>
      <left style="medium">
        <color theme="0" tint="-4.9989318521683403E-2"/>
      </left>
      <right/>
      <top style="medium">
        <color theme="0" tint="-4.9989318521683403E-2"/>
      </top>
      <bottom/>
      <diagonal/>
    </border>
    <border>
      <left/>
      <right style="thin">
        <color theme="0" tint="-0.249977111117893"/>
      </right>
      <top style="thin">
        <color theme="0" tint="-0.249977111117893"/>
      </top>
      <bottom style="thin">
        <color theme="0" tint="-0.249977111117893"/>
      </bottom>
      <diagonal/>
    </border>
    <border>
      <left style="medium">
        <color theme="1"/>
      </left>
      <right/>
      <top style="medium">
        <color theme="1"/>
      </top>
      <bottom/>
      <diagonal/>
    </border>
    <border>
      <left/>
      <right/>
      <top style="medium">
        <color theme="1"/>
      </top>
      <bottom/>
      <diagonal/>
    </border>
    <border>
      <left/>
      <right style="medium">
        <color theme="1"/>
      </right>
      <top style="medium">
        <color theme="1"/>
      </top>
      <bottom/>
      <diagonal/>
    </border>
    <border>
      <left style="medium">
        <color indexed="64"/>
      </left>
      <right/>
      <top style="medium">
        <color indexed="64"/>
      </top>
      <bottom style="thin">
        <color theme="1" tint="0.249977111117893"/>
      </bottom>
      <diagonal/>
    </border>
    <border>
      <left/>
      <right style="thin">
        <color theme="1" tint="0.249977111117893"/>
      </right>
      <top style="medium">
        <color indexed="64"/>
      </top>
      <bottom style="thin">
        <color theme="1" tint="0.249977111117893"/>
      </bottom>
      <diagonal/>
    </border>
    <border>
      <left style="thin">
        <color theme="1" tint="0.249977111117893"/>
      </left>
      <right/>
      <top style="medium">
        <color indexed="64"/>
      </top>
      <bottom style="thin">
        <color theme="1" tint="0.249977111117893"/>
      </bottom>
      <diagonal/>
    </border>
    <border>
      <left/>
      <right/>
      <top style="medium">
        <color indexed="64"/>
      </top>
      <bottom style="thin">
        <color theme="1" tint="0.249977111117893"/>
      </bottom>
      <diagonal/>
    </border>
    <border>
      <left style="thin">
        <color theme="1" tint="0.249977111117893"/>
      </left>
      <right style="medium">
        <color indexed="64"/>
      </right>
      <top style="medium">
        <color indexed="64"/>
      </top>
      <bottom style="thin">
        <color theme="1" tint="0.249977111117893"/>
      </bottom>
      <diagonal/>
    </border>
    <border>
      <left style="medium">
        <color indexed="64"/>
      </left>
      <right/>
      <top style="thin">
        <color theme="1" tint="0.249977111117893"/>
      </top>
      <bottom/>
      <diagonal/>
    </border>
    <border>
      <left/>
      <right style="medium">
        <color indexed="64"/>
      </right>
      <top style="thin">
        <color theme="1" tint="0.249977111117893"/>
      </top>
      <bottom/>
      <diagonal/>
    </border>
    <border>
      <left style="medium">
        <color indexed="64"/>
      </left>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thin">
        <color theme="1" tint="0.249977111117893"/>
      </bottom>
      <diagonal/>
    </border>
    <border>
      <left/>
      <right style="medium">
        <color indexed="64"/>
      </right>
      <top/>
      <bottom style="thin">
        <color theme="1" tint="0.249977111117893"/>
      </bottom>
      <diagonal/>
    </border>
    <border>
      <left/>
      <right style="medium">
        <color indexed="64"/>
      </right>
      <top style="thin">
        <color theme="1" tint="0.249977111117893"/>
      </top>
      <bottom style="thin">
        <color theme="1" tint="0.249977111117893"/>
      </bottom>
      <diagonal/>
    </border>
    <border>
      <left style="medium">
        <color indexed="64"/>
      </left>
      <right style="thin">
        <color theme="1" tint="0.249977111117893"/>
      </right>
      <top style="thin">
        <color theme="1" tint="0.249977111117893"/>
      </top>
      <bottom style="thin">
        <color theme="1" tint="0.249977111117893"/>
      </bottom>
      <diagonal/>
    </border>
    <border>
      <left style="medium">
        <color indexed="64"/>
      </left>
      <right/>
      <top style="thin">
        <color theme="1" tint="0.249977111117893"/>
      </top>
      <bottom style="thin">
        <color theme="1" tint="0.249977111117893"/>
      </bottom>
      <diagonal/>
    </border>
    <border>
      <left style="medium">
        <color indexed="64"/>
      </left>
      <right style="thin">
        <color theme="1" tint="0.249977111117893"/>
      </right>
      <top style="thin">
        <color theme="1" tint="0.249977111117893"/>
      </top>
      <bottom style="medium">
        <color indexed="64"/>
      </bottom>
      <diagonal/>
    </border>
    <border>
      <left style="thin">
        <color theme="1" tint="0.249977111117893"/>
      </left>
      <right style="thin">
        <color theme="1" tint="0.249977111117893"/>
      </right>
      <top style="thin">
        <color theme="1" tint="0.249977111117893"/>
      </top>
      <bottom style="medium">
        <color indexed="64"/>
      </bottom>
      <diagonal/>
    </border>
    <border>
      <left style="thin">
        <color theme="1" tint="0.249977111117893"/>
      </left>
      <right style="medium">
        <color indexed="64"/>
      </right>
      <top style="thin">
        <color theme="1" tint="0.249977111117893"/>
      </top>
      <bottom style="medium">
        <color indexed="64"/>
      </bottom>
      <diagonal/>
    </border>
    <border>
      <left style="thin">
        <color theme="1" tint="0.249977111117893"/>
      </left>
      <right style="medium">
        <color indexed="64"/>
      </right>
      <top/>
      <bottom style="thin">
        <color theme="1" tint="0.249977111117893"/>
      </bottom>
      <diagonal/>
    </border>
    <border>
      <left style="thin">
        <color theme="1" tint="0.249977111117893"/>
      </left>
      <right style="medium">
        <color indexed="64"/>
      </right>
      <top style="thin">
        <color theme="1" tint="0.249977111117893"/>
      </top>
      <bottom/>
      <diagonal/>
    </border>
    <border>
      <left style="thin">
        <color indexed="9"/>
      </left>
      <right style="thin">
        <color theme="0"/>
      </right>
      <top/>
      <bottom style="thin">
        <color indexed="9"/>
      </bottom>
      <diagonal/>
    </border>
    <border>
      <left style="thin">
        <color indexed="9"/>
      </left>
      <right style="thin">
        <color theme="0"/>
      </right>
      <top style="thin">
        <color indexed="9"/>
      </top>
      <bottom style="thin">
        <color indexed="9"/>
      </bottom>
      <diagonal/>
    </border>
    <border>
      <left style="thin">
        <color theme="0" tint="-0.24994659260841701"/>
      </left>
      <right/>
      <top style="thin">
        <color theme="0" tint="-0.24994659260841701"/>
      </top>
      <bottom style="thin">
        <color theme="0" tint="-0.24994659260841701"/>
      </bottom>
      <diagonal/>
    </border>
    <border>
      <left/>
      <right/>
      <top style="thin">
        <color theme="0" tint="-0.24994659260841701"/>
      </top>
      <bottom style="thin">
        <color theme="0" tint="-0.24994659260841701"/>
      </bottom>
      <diagonal/>
    </border>
    <border>
      <left/>
      <right style="thin">
        <color theme="0" tint="-0.24994659260841701"/>
      </right>
      <top style="thin">
        <color theme="0" tint="-0.24994659260841701"/>
      </top>
      <bottom style="thin">
        <color theme="0" tint="-0.24994659260841701"/>
      </bottom>
      <diagonal/>
    </border>
    <border>
      <left/>
      <right/>
      <top style="medium">
        <color rgb="FFFFFFFF"/>
      </top>
      <bottom style="medium">
        <color rgb="FF2575AE"/>
      </bottom>
      <diagonal/>
    </border>
    <border>
      <left/>
      <right/>
      <top style="medium">
        <color rgb="FF2575AE"/>
      </top>
      <bottom style="medium">
        <color rgb="FF2575AE"/>
      </bottom>
      <diagonal/>
    </border>
  </borders>
  <cellStyleXfs count="101">
    <xf numFmtId="0" fontId="0" fillId="0" borderId="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43" fillId="0" borderId="0"/>
    <xf numFmtId="43" fontId="38" fillId="0" borderId="0" applyFont="0" applyFill="0" applyBorder="0" applyAlignment="0" applyProtection="0"/>
    <xf numFmtId="9" fontId="38" fillId="0" borderId="0" applyFont="0" applyFill="0" applyBorder="0" applyAlignment="0" applyProtection="0"/>
    <xf numFmtId="0" fontId="46" fillId="0" borderId="0"/>
    <xf numFmtId="0" fontId="38" fillId="0" borderId="0"/>
    <xf numFmtId="44" fontId="46" fillId="0" borderId="0" applyFont="0" applyFill="0" applyBorder="0" applyAlignment="0" applyProtection="0"/>
    <xf numFmtId="0" fontId="47" fillId="0" borderId="0">
      <alignment vertical="top"/>
    </xf>
    <xf numFmtId="43" fontId="46" fillId="0" borderId="0" applyFont="0" applyFill="0" applyBorder="0" applyAlignment="0" applyProtection="0"/>
    <xf numFmtId="9" fontId="46" fillId="0" borderId="0" applyFont="0" applyFill="0" applyBorder="0" applyAlignment="0" applyProtection="0"/>
    <xf numFmtId="0" fontId="59" fillId="0" borderId="0" applyNumberFormat="0" applyFill="0" applyBorder="0" applyAlignment="0" applyProtection="0">
      <alignment vertical="top"/>
      <protection locked="0"/>
    </xf>
    <xf numFmtId="0" fontId="63" fillId="11" borderId="44">
      <alignment vertical="center"/>
    </xf>
    <xf numFmtId="0" fontId="86" fillId="0" borderId="0"/>
    <xf numFmtId="0" fontId="2" fillId="0" borderId="0"/>
    <xf numFmtId="0" fontId="46" fillId="0" borderId="0"/>
    <xf numFmtId="0" fontId="94" fillId="0" borderId="0" applyNumberFormat="0" applyFill="0" applyBorder="0" applyAlignment="0" applyProtection="0"/>
    <xf numFmtId="44" fontId="38" fillId="0" borderId="0" applyFont="0" applyFill="0" applyBorder="0" applyAlignment="0" applyProtection="0"/>
    <xf numFmtId="0" fontId="99" fillId="0" borderId="61" applyNumberFormat="0" applyFill="0" applyAlignment="0" applyProtection="0"/>
    <xf numFmtId="0" fontId="1" fillId="0" borderId="0"/>
    <xf numFmtId="0" fontId="103" fillId="0" borderId="0"/>
    <xf numFmtId="0" fontId="22" fillId="0" borderId="0" applyNumberFormat="0" applyFill="0" applyBorder="0" applyAlignment="0" applyProtection="0"/>
  </cellStyleXfs>
  <cellXfs count="642">
    <xf numFmtId="0" fontId="0" fillId="0" borderId="0" xfId="0"/>
    <xf numFmtId="0" fontId="9" fillId="0" borderId="0" xfId="0" applyFont="1"/>
    <xf numFmtId="0" fontId="9" fillId="0" borderId="0" xfId="0" applyFont="1" applyAlignment="1">
      <alignment vertical="center"/>
    </xf>
    <xf numFmtId="0" fontId="0" fillId="0" borderId="0" xfId="0" applyAlignment="1">
      <alignment vertical="center"/>
    </xf>
    <xf numFmtId="0" fontId="13" fillId="0" borderId="0" xfId="0" applyFont="1"/>
    <xf numFmtId="0" fontId="12" fillId="0" borderId="5" xfId="0" applyFont="1" applyBorder="1"/>
    <xf numFmtId="0" fontId="14" fillId="0" borderId="0" xfId="0" applyFont="1"/>
    <xf numFmtId="0" fontId="13" fillId="0" borderId="0" xfId="0" applyFont="1" applyAlignment="1">
      <alignment vertical="top"/>
    </xf>
    <xf numFmtId="0" fontId="14" fillId="0" borderId="0" xfId="0" applyFont="1" applyAlignment="1">
      <alignment vertical="top"/>
    </xf>
    <xf numFmtId="0" fontId="15" fillId="0" borderId="0" xfId="0" applyFont="1"/>
    <xf numFmtId="0" fontId="21" fillId="3" borderId="15" xfId="0" applyFont="1" applyFill="1" applyBorder="1"/>
    <xf numFmtId="0" fontId="21" fillId="3" borderId="16" xfId="0" applyFont="1" applyFill="1" applyBorder="1"/>
    <xf numFmtId="0" fontId="13" fillId="0" borderId="0" xfId="0" applyFont="1" applyAlignment="1">
      <alignment wrapText="1"/>
    </xf>
    <xf numFmtId="0" fontId="15" fillId="0" borderId="5" xfId="0" applyFont="1" applyBorder="1" applyAlignment="1">
      <alignment wrapText="1"/>
    </xf>
    <xf numFmtId="0" fontId="10" fillId="0" borderId="0" xfId="0" applyFont="1" applyAlignment="1">
      <alignment vertical="center"/>
    </xf>
    <xf numFmtId="0" fontId="38" fillId="3" borderId="16" xfId="0" applyFont="1" applyFill="1" applyBorder="1"/>
    <xf numFmtId="0" fontId="12" fillId="0" borderId="0" xfId="0" applyFont="1"/>
    <xf numFmtId="0" fontId="15" fillId="0" borderId="5" xfId="0" applyFont="1" applyBorder="1" applyAlignment="1">
      <alignment horizontal="center" wrapText="1"/>
    </xf>
    <xf numFmtId="0" fontId="0" fillId="0" borderId="0" xfId="0" quotePrefix="1" applyAlignment="1">
      <alignment horizontal="left"/>
    </xf>
    <xf numFmtId="0" fontId="0" fillId="3" borderId="15" xfId="0" applyFill="1" applyBorder="1"/>
    <xf numFmtId="0" fontId="0" fillId="3" borderId="16" xfId="0" applyFill="1" applyBorder="1"/>
    <xf numFmtId="0" fontId="0" fillId="4" borderId="15" xfId="0" applyFill="1" applyBorder="1"/>
    <xf numFmtId="0" fontId="19" fillId="0" borderId="8" xfId="0" applyFont="1" applyBorder="1"/>
    <xf numFmtId="0" fontId="24" fillId="0" borderId="8" xfId="0" applyFont="1" applyBorder="1"/>
    <xf numFmtId="0" fontId="24" fillId="0" borderId="10" xfId="0" applyFont="1" applyBorder="1"/>
    <xf numFmtId="0" fontId="46" fillId="0" borderId="0" xfId="84"/>
    <xf numFmtId="3" fontId="48" fillId="5" borderId="0" xfId="87" applyNumberFormat="1" applyFont="1" applyFill="1" applyAlignment="1">
      <alignment horizontal="left" vertical="top"/>
    </xf>
    <xf numFmtId="0" fontId="48" fillId="5" borderId="0" xfId="87" applyFont="1" applyFill="1">
      <alignment vertical="top"/>
    </xf>
    <xf numFmtId="2" fontId="48" fillId="5" borderId="0" xfId="87" applyNumberFormat="1" applyFont="1" applyFill="1" applyAlignment="1">
      <alignment horizontal="left" vertical="top"/>
    </xf>
    <xf numFmtId="167" fontId="48" fillId="5" borderId="0" xfId="87" applyNumberFormat="1" applyFont="1" applyFill="1" applyAlignment="1">
      <alignment horizontal="left" vertical="top"/>
    </xf>
    <xf numFmtId="0" fontId="48" fillId="5" borderId="0" xfId="87" applyFont="1" applyFill="1" applyAlignment="1">
      <alignment horizontal="left" vertical="top"/>
    </xf>
    <xf numFmtId="49" fontId="48" fillId="5" borderId="0" xfId="87" applyNumberFormat="1" applyFont="1" applyFill="1" applyAlignment="1">
      <alignment horizontal="left" vertical="top"/>
    </xf>
    <xf numFmtId="1" fontId="48" fillId="5" borderId="0" xfId="87" applyNumberFormat="1" applyFont="1" applyFill="1" applyAlignment="1">
      <alignment horizontal="left" vertical="top"/>
    </xf>
    <xf numFmtId="169" fontId="48" fillId="5" borderId="0" xfId="87" applyNumberFormat="1" applyFont="1" applyFill="1" applyAlignment="1">
      <alignment horizontal="left" vertical="top"/>
    </xf>
    <xf numFmtId="0" fontId="57" fillId="5" borderId="0" xfId="87" applyFont="1" applyFill="1" applyAlignment="1">
      <alignment horizontal="left" vertical="top"/>
    </xf>
    <xf numFmtId="0" fontId="57" fillId="5" borderId="0" xfId="87" applyFont="1" applyFill="1">
      <alignment vertical="top"/>
    </xf>
    <xf numFmtId="0" fontId="63" fillId="12" borderId="0" xfId="84" applyFont="1" applyFill="1" applyAlignment="1">
      <alignment vertical="center"/>
    </xf>
    <xf numFmtId="0" fontId="48" fillId="0" borderId="0" xfId="87" applyFont="1">
      <alignment vertical="top"/>
    </xf>
    <xf numFmtId="1" fontId="15" fillId="0" borderId="5" xfId="0" applyNumberFormat="1" applyFont="1" applyBorder="1" applyAlignment="1">
      <alignment wrapText="1"/>
    </xf>
    <xf numFmtId="171" fontId="15" fillId="0" borderId="5" xfId="82" applyNumberFormat="1" applyFont="1" applyBorder="1" applyAlignment="1">
      <alignment wrapText="1"/>
    </xf>
    <xf numFmtId="0" fontId="91" fillId="0" borderId="5" xfId="0" applyFont="1" applyBorder="1" applyAlignment="1">
      <alignment wrapText="1"/>
    </xf>
    <xf numFmtId="3" fontId="13" fillId="0" borderId="0" xfId="0" applyNumberFormat="1" applyFont="1"/>
    <xf numFmtId="0" fontId="12" fillId="0" borderId="0" xfId="0" applyFont="1" applyAlignment="1">
      <alignment horizontal="right" wrapText="1"/>
    </xf>
    <xf numFmtId="172" fontId="0" fillId="0" borderId="0" xfId="0" applyNumberFormat="1"/>
    <xf numFmtId="43" fontId="14" fillId="0" borderId="0" xfId="82" applyFont="1"/>
    <xf numFmtId="3" fontId="14" fillId="0" borderId="0" xfId="0" applyNumberFormat="1" applyFont="1"/>
    <xf numFmtId="0" fontId="92" fillId="0" borderId="0" xfId="0" applyFont="1" applyAlignment="1">
      <alignment wrapText="1"/>
    </xf>
    <xf numFmtId="2" fontId="13" fillId="0" borderId="0" xfId="0" applyNumberFormat="1" applyFont="1"/>
    <xf numFmtId="0" fontId="93" fillId="0" borderId="0" xfId="0" applyFont="1" applyAlignment="1">
      <alignment wrapText="1"/>
    </xf>
    <xf numFmtId="2" fontId="14" fillId="0" borderId="0" xfId="0" applyNumberFormat="1" applyFont="1"/>
    <xf numFmtId="0" fontId="63" fillId="0" borderId="52" xfId="84" applyFont="1" applyBorder="1" applyAlignment="1">
      <alignment horizontal="center" vertical="top" wrapText="1"/>
    </xf>
    <xf numFmtId="0" fontId="63" fillId="0" borderId="45" xfId="84" applyFont="1" applyBorder="1" applyAlignment="1">
      <alignment horizontal="center" vertical="top" wrapText="1"/>
    </xf>
    <xf numFmtId="0" fontId="73" fillId="16" borderId="53" xfId="84" applyFont="1" applyFill="1" applyBorder="1" applyAlignment="1">
      <alignment horizontal="center" wrapText="1"/>
    </xf>
    <xf numFmtId="0" fontId="46" fillId="0" borderId="0" xfId="84" applyAlignment="1">
      <alignment horizontal="center"/>
    </xf>
    <xf numFmtId="9" fontId="46" fillId="0" borderId="0" xfId="84" applyNumberFormat="1"/>
    <xf numFmtId="0" fontId="72" fillId="0" borderId="52" xfId="84" applyFont="1" applyBorder="1" applyAlignment="1">
      <alignment horizontal="center" vertical="top" wrapText="1"/>
    </xf>
    <xf numFmtId="0" fontId="72" fillId="0" borderId="45" xfId="84" applyFont="1" applyBorder="1" applyAlignment="1">
      <alignment vertical="top" wrapText="1"/>
    </xf>
    <xf numFmtId="0" fontId="87" fillId="9" borderId="45" xfId="84" applyFont="1" applyFill="1" applyBorder="1" applyAlignment="1">
      <alignment wrapText="1"/>
    </xf>
    <xf numFmtId="0" fontId="87" fillId="9" borderId="54" xfId="84" applyFont="1" applyFill="1" applyBorder="1" applyAlignment="1">
      <alignment wrapText="1"/>
    </xf>
    <xf numFmtId="0" fontId="87" fillId="0" borderId="0" xfId="84" applyFont="1" applyAlignment="1">
      <alignment horizontal="left" indent="9"/>
    </xf>
    <xf numFmtId="0" fontId="88" fillId="0" borderId="0" xfId="84" applyFont="1" applyAlignment="1">
      <alignment horizontal="left" indent="6"/>
    </xf>
    <xf numFmtId="0" fontId="89" fillId="0" borderId="52" xfId="84" applyFont="1" applyBorder="1" applyAlignment="1">
      <alignment horizontal="center" vertical="top" wrapText="1"/>
    </xf>
    <xf numFmtId="0" fontId="72" fillId="0" borderId="0" xfId="84" applyFont="1"/>
    <xf numFmtId="0" fontId="46" fillId="18" borderId="0" xfId="84" applyFill="1"/>
    <xf numFmtId="3" fontId="72" fillId="0" borderId="52" xfId="84" applyNumberFormat="1" applyFont="1" applyBorder="1" applyAlignment="1">
      <alignment horizontal="right" wrapText="1"/>
    </xf>
    <xf numFmtId="0" fontId="87" fillId="0" borderId="0" xfId="84" applyFont="1" applyAlignment="1">
      <alignment wrapText="1"/>
    </xf>
    <xf numFmtId="0" fontId="87" fillId="0" borderId="0" xfId="84" applyFont="1" applyAlignment="1">
      <alignment horizontal="center" wrapText="1"/>
    </xf>
    <xf numFmtId="0" fontId="87" fillId="9" borderId="21" xfId="84" applyFont="1" applyFill="1" applyBorder="1" applyAlignment="1">
      <alignment horizontal="center" wrapText="1"/>
    </xf>
    <xf numFmtId="0" fontId="72" fillId="0" borderId="52" xfId="84" applyFont="1" applyBorder="1" applyAlignment="1">
      <alignment horizontal="center" wrapText="1"/>
    </xf>
    <xf numFmtId="0" fontId="87" fillId="9" borderId="53" xfId="84" applyFont="1" applyFill="1" applyBorder="1" applyAlignment="1">
      <alignment horizontal="center" vertical="top" wrapText="1"/>
    </xf>
    <xf numFmtId="0" fontId="72" fillId="0" borderId="52" xfId="84" applyFont="1" applyBorder="1" applyAlignment="1">
      <alignment horizontal="center"/>
    </xf>
    <xf numFmtId="0" fontId="87" fillId="9" borderId="31" xfId="84" applyFont="1" applyFill="1" applyBorder="1" applyAlignment="1">
      <alignment horizontal="center"/>
    </xf>
    <xf numFmtId="0" fontId="72" fillId="9" borderId="31" xfId="84" applyFont="1" applyFill="1" applyBorder="1" applyAlignment="1">
      <alignment horizontal="center"/>
    </xf>
    <xf numFmtId="0" fontId="72" fillId="9" borderId="53" xfId="84" applyFont="1" applyFill="1" applyBorder="1" applyAlignment="1">
      <alignment horizontal="center"/>
    </xf>
    <xf numFmtId="0" fontId="46" fillId="19" borderId="0" xfId="84" applyFill="1"/>
    <xf numFmtId="0" fontId="87" fillId="9" borderId="0" xfId="84" applyFont="1" applyFill="1" applyAlignment="1">
      <alignment wrapText="1"/>
    </xf>
    <xf numFmtId="2" fontId="72" fillId="0" borderId="52" xfId="84" applyNumberFormat="1" applyFont="1" applyBorder="1" applyAlignment="1">
      <alignment horizontal="center" vertical="top" wrapText="1"/>
    </xf>
    <xf numFmtId="9" fontId="87" fillId="9" borderId="52" xfId="84" applyNumberFormat="1" applyFont="1" applyFill="1" applyBorder="1" applyAlignment="1">
      <alignment horizontal="center" vertical="top" wrapText="1"/>
    </xf>
    <xf numFmtId="10" fontId="87" fillId="9" borderId="52" xfId="84" applyNumberFormat="1" applyFont="1" applyFill="1" applyBorder="1" applyAlignment="1">
      <alignment horizontal="center" vertical="top" wrapText="1"/>
    </xf>
    <xf numFmtId="0" fontId="63" fillId="13" borderId="29" xfId="84" applyFont="1" applyFill="1" applyBorder="1" applyAlignment="1" applyProtection="1">
      <alignment vertical="center" wrapText="1" shrinkToFit="1"/>
      <protection locked="0"/>
    </xf>
    <xf numFmtId="6" fontId="91" fillId="0" borderId="5" xfId="85" applyNumberFormat="1" applyFont="1" applyBorder="1" applyAlignment="1">
      <alignment horizontal="center" vertical="top" wrapText="1"/>
    </xf>
    <xf numFmtId="165" fontId="91" fillId="0" borderId="22" xfId="85" applyNumberFormat="1" applyFont="1" applyBorder="1" applyAlignment="1">
      <alignment horizontal="right" vertical="top" wrapText="1"/>
    </xf>
    <xf numFmtId="0" fontId="95" fillId="0" borderId="0" xfId="0" applyFont="1" applyAlignment="1">
      <alignment vertical="center"/>
    </xf>
    <xf numFmtId="0" fontId="96" fillId="0" borderId="60" xfId="0" applyFont="1" applyBorder="1" applyAlignment="1">
      <alignment vertical="center" wrapText="1"/>
    </xf>
    <xf numFmtId="0" fontId="63" fillId="0" borderId="58" xfId="84" applyFont="1" applyBorder="1" applyAlignment="1">
      <alignment vertical="center"/>
    </xf>
    <xf numFmtId="0" fontId="98" fillId="3" borderId="16" xfId="0" applyFont="1" applyFill="1" applyBorder="1"/>
    <xf numFmtId="9" fontId="0" fillId="0" borderId="0" xfId="0" applyNumberFormat="1"/>
    <xf numFmtId="1" fontId="0" fillId="0" borderId="0" xfId="0" applyNumberFormat="1"/>
    <xf numFmtId="0" fontId="46" fillId="0" borderId="0" xfId="94"/>
    <xf numFmtId="172" fontId="46" fillId="0" borderId="0" xfId="94" applyNumberFormat="1"/>
    <xf numFmtId="44" fontId="9" fillId="0" borderId="0" xfId="96" applyFont="1"/>
    <xf numFmtId="0" fontId="73" fillId="9" borderId="54" xfId="84" applyFont="1" applyFill="1" applyBorder="1" applyAlignment="1">
      <alignment wrapText="1"/>
    </xf>
    <xf numFmtId="0" fontId="73" fillId="9" borderId="45" xfId="84" applyFont="1" applyFill="1" applyBorder="1" applyAlignment="1">
      <alignment wrapText="1"/>
    </xf>
    <xf numFmtId="0" fontId="73" fillId="9" borderId="52" xfId="84" applyFont="1" applyFill="1" applyBorder="1" applyAlignment="1">
      <alignment horizontal="center" vertical="top" wrapText="1"/>
    </xf>
    <xf numFmtId="167" fontId="1" fillId="0" borderId="26" xfId="98" applyNumberFormat="1" applyBorder="1"/>
    <xf numFmtId="0" fontId="1" fillId="0" borderId="0" xfId="98" applyAlignment="1">
      <alignment horizontal="center" vertical="center" wrapText="1"/>
    </xf>
    <xf numFmtId="0" fontId="1" fillId="0" borderId="0" xfId="98" applyAlignment="1">
      <alignment horizontal="center"/>
    </xf>
    <xf numFmtId="0" fontId="1" fillId="0" borderId="0" xfId="98"/>
    <xf numFmtId="0" fontId="46" fillId="0" borderId="0" xfId="84" applyAlignment="1">
      <alignment horizontal="left"/>
    </xf>
    <xf numFmtId="0" fontId="73" fillId="9" borderId="54" xfId="84" applyFont="1" applyFill="1" applyBorder="1" applyAlignment="1">
      <alignment horizontal="center" vertical="top" wrapText="1"/>
    </xf>
    <xf numFmtId="0" fontId="73" fillId="9" borderId="23" xfId="84" applyFont="1" applyFill="1" applyBorder="1" applyAlignment="1">
      <alignment horizontal="center" vertical="top" wrapText="1"/>
    </xf>
    <xf numFmtId="0" fontId="73" fillId="9" borderId="24" xfId="84" applyFont="1" applyFill="1" applyBorder="1" applyAlignment="1">
      <alignment horizontal="center" vertical="top" wrapText="1"/>
    </xf>
    <xf numFmtId="0" fontId="63" fillId="0" borderId="0" xfId="84" applyFont="1" applyAlignment="1">
      <alignment horizontal="left" vertical="top" wrapText="1"/>
    </xf>
    <xf numFmtId="0" fontId="73" fillId="9" borderId="66" xfId="84" applyFont="1" applyFill="1" applyBorder="1" applyAlignment="1">
      <alignment horizontal="center" vertical="top" wrapText="1"/>
    </xf>
    <xf numFmtId="0" fontId="73" fillId="9" borderId="21" xfId="84" applyFont="1" applyFill="1" applyBorder="1" applyAlignment="1">
      <alignment horizontal="center" vertical="top" wrapText="1"/>
    </xf>
    <xf numFmtId="0" fontId="73" fillId="9" borderId="0" xfId="84" applyFont="1" applyFill="1" applyAlignment="1">
      <alignment horizontal="center" vertical="top" wrapText="1"/>
    </xf>
    <xf numFmtId="0" fontId="46" fillId="9" borderId="45" xfId="84" applyFill="1" applyBorder="1" applyAlignment="1">
      <alignment vertical="top" wrapText="1"/>
    </xf>
    <xf numFmtId="0" fontId="46" fillId="9" borderId="52" xfId="84" applyFill="1" applyBorder="1" applyAlignment="1">
      <alignment vertical="top" wrapText="1"/>
    </xf>
    <xf numFmtId="0" fontId="46" fillId="9" borderId="55" xfId="84" applyFill="1" applyBorder="1" applyAlignment="1">
      <alignment vertical="top" wrapText="1"/>
    </xf>
    <xf numFmtId="0" fontId="63" fillId="0" borderId="55" xfId="84" applyFont="1" applyBorder="1" applyAlignment="1">
      <alignment horizontal="center" vertical="top" wrapText="1"/>
    </xf>
    <xf numFmtId="0" fontId="73" fillId="9" borderId="53" xfId="84" applyFont="1" applyFill="1" applyBorder="1" applyAlignment="1">
      <alignment vertical="top" wrapText="1"/>
    </xf>
    <xf numFmtId="9" fontId="63" fillId="0" borderId="31" xfId="84" applyNumberFormat="1" applyFont="1" applyBorder="1" applyAlignment="1">
      <alignment horizontal="center" wrapText="1"/>
    </xf>
    <xf numFmtId="10" fontId="63" fillId="0" borderId="31" xfId="84" applyNumberFormat="1" applyFont="1" applyBorder="1" applyAlignment="1">
      <alignment horizontal="center" wrapText="1"/>
    </xf>
    <xf numFmtId="0" fontId="73" fillId="9" borderId="45" xfId="84" applyFont="1" applyFill="1" applyBorder="1" applyAlignment="1">
      <alignment vertical="top" wrapText="1"/>
    </xf>
    <xf numFmtId="2" fontId="63" fillId="0" borderId="52" xfId="84" applyNumberFormat="1" applyFont="1" applyBorder="1" applyAlignment="1">
      <alignment horizontal="center" wrapText="1"/>
    </xf>
    <xf numFmtId="0" fontId="73" fillId="9" borderId="53" xfId="84" applyFont="1" applyFill="1" applyBorder="1" applyAlignment="1">
      <alignment horizontal="center" wrapText="1"/>
    </xf>
    <xf numFmtId="0" fontId="63" fillId="0" borderId="52" xfId="84" applyFont="1" applyBorder="1" applyAlignment="1">
      <alignment horizontal="center" wrapText="1"/>
    </xf>
    <xf numFmtId="0" fontId="46" fillId="17" borderId="0" xfId="84" applyFill="1"/>
    <xf numFmtId="4" fontId="50" fillId="0" borderId="0" xfId="0" applyNumberFormat="1" applyFont="1"/>
    <xf numFmtId="0" fontId="97" fillId="21" borderId="60" xfId="0" applyFont="1" applyFill="1" applyBorder="1" applyAlignment="1">
      <alignment vertical="center" wrapText="1"/>
    </xf>
    <xf numFmtId="167" fontId="96" fillId="0" borderId="60" xfId="0" applyNumberFormat="1" applyFont="1" applyBorder="1" applyAlignment="1">
      <alignment vertical="center" wrapText="1"/>
    </xf>
    <xf numFmtId="0" fontId="96" fillId="0" borderId="0" xfId="0" applyFont="1" applyAlignment="1">
      <alignment vertical="center" wrapText="1"/>
    </xf>
    <xf numFmtId="1" fontId="96" fillId="0" borderId="60" xfId="0" applyNumberFormat="1" applyFont="1" applyBorder="1" applyAlignment="1">
      <alignment vertical="center" wrapText="1"/>
    </xf>
    <xf numFmtId="0" fontId="97" fillId="21" borderId="67" xfId="0" applyFont="1" applyFill="1" applyBorder="1" applyAlignment="1">
      <alignment vertical="center" wrapText="1"/>
    </xf>
    <xf numFmtId="173" fontId="96" fillId="0" borderId="60" xfId="0" applyNumberFormat="1" applyFont="1" applyBorder="1" applyAlignment="1">
      <alignment vertical="center" wrapText="1"/>
    </xf>
    <xf numFmtId="0" fontId="97" fillId="21" borderId="71" xfId="0" applyFont="1" applyFill="1" applyBorder="1" applyAlignment="1">
      <alignment vertical="center" wrapText="1"/>
    </xf>
    <xf numFmtId="0" fontId="97" fillId="21" borderId="68" xfId="0" applyFont="1" applyFill="1" applyBorder="1" applyAlignment="1">
      <alignment vertical="center" wrapText="1"/>
    </xf>
    <xf numFmtId="0" fontId="97" fillId="21" borderId="69" xfId="0" applyFont="1" applyFill="1" applyBorder="1" applyAlignment="1">
      <alignment vertical="center" wrapText="1"/>
    </xf>
    <xf numFmtId="0" fontId="97" fillId="21" borderId="70" xfId="0" applyFont="1" applyFill="1" applyBorder="1" applyAlignment="1">
      <alignment vertical="center" wrapText="1"/>
    </xf>
    <xf numFmtId="4" fontId="99" fillId="0" borderId="61" xfId="97" applyNumberFormat="1" applyAlignment="1"/>
    <xf numFmtId="9" fontId="0" fillId="0" borderId="0" xfId="83" applyFont="1"/>
    <xf numFmtId="172" fontId="0" fillId="5" borderId="0" xfId="0" applyNumberFormat="1" applyFill="1"/>
    <xf numFmtId="0" fontId="44" fillId="6" borderId="0" xfId="99" applyFont="1" applyFill="1"/>
    <xf numFmtId="0" fontId="103" fillId="6" borderId="0" xfId="99" applyFill="1"/>
    <xf numFmtId="0" fontId="46" fillId="6" borderId="0" xfId="99" applyFont="1" applyFill="1" applyProtection="1">
      <protection locked="0"/>
    </xf>
    <xf numFmtId="0" fontId="56" fillId="6" borderId="0" xfId="99" applyFont="1" applyFill="1"/>
    <xf numFmtId="0" fontId="103" fillId="0" borderId="0" xfId="99"/>
    <xf numFmtId="0" fontId="53" fillId="6" borderId="0" xfId="99" applyFont="1" applyFill="1"/>
    <xf numFmtId="0" fontId="54" fillId="6" borderId="0" xfId="99" applyFont="1" applyFill="1"/>
    <xf numFmtId="0" fontId="55" fillId="6" borderId="0" xfId="99" applyFont="1" applyFill="1"/>
    <xf numFmtId="0" fontId="54" fillId="0" borderId="0" xfId="99" applyFont="1"/>
    <xf numFmtId="0" fontId="50" fillId="6" borderId="0" xfId="99" applyFont="1" applyFill="1" applyAlignment="1">
      <alignment horizontal="left" vertical="center"/>
    </xf>
    <xf numFmtId="0" fontId="52" fillId="6" borderId="0" xfId="99" applyFont="1" applyFill="1" applyAlignment="1">
      <alignment vertical="center"/>
    </xf>
    <xf numFmtId="0" fontId="49" fillId="7" borderId="26" xfId="99" applyFont="1" applyFill="1" applyBorder="1"/>
    <xf numFmtId="0" fontId="53" fillId="6" borderId="0" xfId="99" applyFont="1" applyFill="1" applyAlignment="1">
      <alignment vertical="center"/>
    </xf>
    <xf numFmtId="0" fontId="49" fillId="6" borderId="0" xfId="99" applyFont="1" applyFill="1"/>
    <xf numFmtId="0" fontId="50" fillId="6" borderId="0" xfId="99" applyFont="1" applyFill="1" applyAlignment="1">
      <alignment horizontal="right" vertical="center"/>
    </xf>
    <xf numFmtId="174" fontId="50" fillId="7" borderId="27" xfId="99" applyNumberFormat="1" applyFont="1" applyFill="1" applyBorder="1" applyAlignment="1">
      <alignment horizontal="right" vertical="center"/>
    </xf>
    <xf numFmtId="1" fontId="50" fillId="7" borderId="26" xfId="99" applyNumberFormat="1" applyFont="1" applyFill="1" applyBorder="1" applyAlignment="1">
      <alignment horizontal="right" vertical="center"/>
    </xf>
    <xf numFmtId="0" fontId="52" fillId="6" borderId="20" xfId="99" applyFont="1" applyFill="1" applyBorder="1" applyAlignment="1">
      <alignment vertical="center"/>
    </xf>
    <xf numFmtId="0" fontId="51" fillId="6" borderId="0" xfId="99" applyFont="1" applyFill="1" applyAlignment="1">
      <alignment horizontal="left" vertical="center"/>
    </xf>
    <xf numFmtId="169" fontId="50" fillId="7" borderId="26" xfId="88" applyNumberFormat="1" applyFont="1" applyFill="1" applyBorder="1" applyAlignment="1">
      <alignment horizontal="right" vertical="center"/>
    </xf>
    <xf numFmtId="2" fontId="50" fillId="7" borderId="26" xfId="89" applyNumberFormat="1" applyFont="1" applyFill="1" applyBorder="1" applyAlignment="1">
      <alignment horizontal="right" vertical="center"/>
    </xf>
    <xf numFmtId="0" fontId="103" fillId="5" borderId="0" xfId="99" applyFill="1"/>
    <xf numFmtId="4" fontId="103" fillId="5" borderId="0" xfId="99" applyNumberFormat="1" applyFill="1" applyAlignment="1">
      <alignment horizontal="left"/>
    </xf>
    <xf numFmtId="0" fontId="52" fillId="6" borderId="0" xfId="99" applyFont="1" applyFill="1" applyAlignment="1">
      <alignment horizontal="left" vertical="center"/>
    </xf>
    <xf numFmtId="4" fontId="50" fillId="7" borderId="26" xfId="88" applyNumberFormat="1" applyFont="1" applyFill="1" applyBorder="1" applyAlignment="1">
      <alignment horizontal="right" vertical="center"/>
    </xf>
    <xf numFmtId="0" fontId="50" fillId="7" borderId="26" xfId="99" applyFont="1" applyFill="1" applyBorder="1" applyAlignment="1">
      <alignment horizontal="left" vertical="center"/>
    </xf>
    <xf numFmtId="2" fontId="50" fillId="7" borderId="26" xfId="99" applyNumberFormat="1" applyFont="1" applyFill="1" applyBorder="1" applyAlignment="1">
      <alignment horizontal="right" vertical="center"/>
    </xf>
    <xf numFmtId="49" fontId="50" fillId="7" borderId="26" xfId="99" applyNumberFormat="1" applyFont="1" applyFill="1" applyBorder="1" applyAlignment="1" applyProtection="1">
      <alignment horizontal="right" vertical="center"/>
      <protection locked="0"/>
    </xf>
    <xf numFmtId="0" fontId="50" fillId="7" borderId="26" xfId="99" applyFont="1" applyFill="1" applyBorder="1" applyAlignment="1" applyProtection="1">
      <alignment horizontal="right" vertical="center"/>
      <protection locked="0"/>
    </xf>
    <xf numFmtId="0" fontId="50" fillId="7" borderId="26" xfId="99" applyFont="1" applyFill="1" applyBorder="1" applyAlignment="1">
      <alignment horizontal="right" vertical="center"/>
    </xf>
    <xf numFmtId="167" fontId="50" fillId="7" borderId="26" xfId="99" applyNumberFormat="1" applyFont="1" applyFill="1" applyBorder="1" applyAlignment="1">
      <alignment horizontal="right" vertical="center"/>
    </xf>
    <xf numFmtId="3" fontId="50" fillId="7" borderId="26" xfId="99" applyNumberFormat="1" applyFont="1" applyFill="1" applyBorder="1" applyAlignment="1">
      <alignment horizontal="right" vertical="center"/>
    </xf>
    <xf numFmtId="0" fontId="50" fillId="6" borderId="0" xfId="99" applyFont="1" applyFill="1" applyAlignment="1" applyProtection="1">
      <alignment horizontal="left" vertical="center"/>
      <protection locked="0"/>
    </xf>
    <xf numFmtId="0" fontId="50" fillId="7" borderId="26" xfId="88" applyNumberFormat="1" applyFont="1" applyFill="1" applyBorder="1" applyAlignment="1" applyProtection="1">
      <alignment horizontal="left" vertical="center"/>
    </xf>
    <xf numFmtId="3" fontId="50" fillId="7" borderId="26" xfId="99" applyNumberFormat="1" applyFont="1" applyFill="1" applyBorder="1" applyAlignment="1" applyProtection="1">
      <alignment horizontal="right" vertical="center"/>
      <protection locked="0"/>
    </xf>
    <xf numFmtId="0" fontId="49" fillId="7" borderId="0" xfId="99" applyFont="1" applyFill="1"/>
    <xf numFmtId="0" fontId="51" fillId="6" borderId="0" xfId="99" applyFont="1" applyFill="1" applyAlignment="1" applyProtection="1">
      <alignment horizontal="left" vertical="center"/>
      <protection locked="0"/>
    </xf>
    <xf numFmtId="0" fontId="50" fillId="7" borderId="26" xfId="88" applyNumberFormat="1" applyFont="1" applyFill="1" applyBorder="1" applyAlignment="1" applyProtection="1">
      <alignment horizontal="right" vertical="center"/>
    </xf>
    <xf numFmtId="0" fontId="50" fillId="6" borderId="0" xfId="99" applyFont="1" applyFill="1" applyAlignment="1">
      <alignment horizontal="left" vertical="center" indent="15"/>
    </xf>
    <xf numFmtId="0" fontId="103" fillId="5" borderId="0" xfId="99" applyFill="1" applyAlignment="1">
      <alignment wrapText="1"/>
    </xf>
    <xf numFmtId="0" fontId="58" fillId="7" borderId="0" xfId="94" applyFont="1" applyFill="1"/>
    <xf numFmtId="0" fontId="60" fillId="15" borderId="33" xfId="94" applyFont="1" applyFill="1" applyBorder="1"/>
    <xf numFmtId="0" fontId="71" fillId="15" borderId="32" xfId="94" applyFont="1" applyFill="1" applyBorder="1" applyAlignment="1">
      <alignment horizontal="left" vertical="center"/>
    </xf>
    <xf numFmtId="0" fontId="60" fillId="15" borderId="32" xfId="94" applyFont="1" applyFill="1" applyBorder="1"/>
    <xf numFmtId="0" fontId="60" fillId="15" borderId="32" xfId="99" applyFont="1" applyFill="1" applyBorder="1"/>
    <xf numFmtId="0" fontId="60" fillId="15" borderId="31" xfId="94" applyFont="1" applyFill="1" applyBorder="1"/>
    <xf numFmtId="0" fontId="70" fillId="14" borderId="0" xfId="94" applyFont="1" applyFill="1" applyAlignment="1">
      <alignment vertical="center"/>
    </xf>
    <xf numFmtId="0" fontId="67" fillId="14" borderId="0" xfId="94" applyFont="1" applyFill="1" applyAlignment="1">
      <alignment horizontal="left" vertical="top" wrapText="1"/>
    </xf>
    <xf numFmtId="0" fontId="61" fillId="7" borderId="0" xfId="94" applyFont="1" applyFill="1" applyAlignment="1">
      <alignment horizontal="left" vertical="center" wrapText="1"/>
    </xf>
    <xf numFmtId="0" fontId="67" fillId="7" borderId="0" xfId="94" applyFont="1" applyFill="1" applyAlignment="1">
      <alignment horizontal="left" vertical="center" wrapText="1"/>
    </xf>
    <xf numFmtId="0" fontId="67" fillId="7" borderId="0" xfId="94" applyFont="1" applyFill="1" applyAlignment="1">
      <alignment horizontal="left" vertical="top" wrapText="1"/>
    </xf>
    <xf numFmtId="0" fontId="58" fillId="7" borderId="0" xfId="94" quotePrefix="1" applyFont="1" applyFill="1" applyAlignment="1">
      <alignment horizontal="left" vertical="center"/>
    </xf>
    <xf numFmtId="0" fontId="69" fillId="7" borderId="0" xfId="94" applyFont="1" applyFill="1" applyAlignment="1">
      <alignment horizontal="left" vertical="center"/>
    </xf>
    <xf numFmtId="0" fontId="69" fillId="7" borderId="0" xfId="94" applyFont="1" applyFill="1" applyAlignment="1">
      <alignment horizontal="left" vertical="top"/>
    </xf>
    <xf numFmtId="0" fontId="67" fillId="7" borderId="0" xfId="94" applyFont="1" applyFill="1" applyAlignment="1">
      <alignment horizontal="left" vertical="top"/>
    </xf>
    <xf numFmtId="0" fontId="58" fillId="7" borderId="0" xfId="94" applyFont="1" applyFill="1" applyAlignment="1">
      <alignment vertical="center" wrapText="1"/>
    </xf>
    <xf numFmtId="0" fontId="58" fillId="7" borderId="0" xfId="94" applyFont="1" applyFill="1" applyAlignment="1">
      <alignment vertical="top" wrapText="1"/>
    </xf>
    <xf numFmtId="0" fontId="63" fillId="7" borderId="0" xfId="94" applyFont="1" applyFill="1" applyAlignment="1">
      <alignment vertical="top" wrapText="1"/>
    </xf>
    <xf numFmtId="0" fontId="58" fillId="7" borderId="0" xfId="94" applyFont="1" applyFill="1" applyAlignment="1">
      <alignment vertical="center"/>
    </xf>
    <xf numFmtId="0" fontId="58" fillId="9" borderId="0" xfId="94" applyFont="1" applyFill="1"/>
    <xf numFmtId="0" fontId="65" fillId="7" borderId="0" xfId="94" applyFont="1" applyFill="1" applyAlignment="1">
      <alignment vertical="top" wrapText="1"/>
    </xf>
    <xf numFmtId="0" fontId="66" fillId="7" borderId="0" xfId="94" applyFont="1" applyFill="1" applyAlignment="1">
      <alignment vertical="top" wrapText="1"/>
    </xf>
    <xf numFmtId="0" fontId="64" fillId="7" borderId="0" xfId="94" applyFont="1" applyFill="1" applyAlignment="1">
      <alignment horizontal="left" vertical="center" wrapText="1"/>
    </xf>
    <xf numFmtId="0" fontId="58" fillId="7" borderId="0" xfId="94" quotePrefix="1" applyFont="1" applyFill="1" applyAlignment="1">
      <alignment horizontal="left"/>
    </xf>
    <xf numFmtId="0" fontId="63" fillId="7" borderId="0" xfId="94" quotePrefix="1" applyFont="1" applyFill="1" applyAlignment="1">
      <alignment horizontal="left"/>
    </xf>
    <xf numFmtId="0" fontId="58" fillId="7" borderId="0" xfId="94" quotePrefix="1" applyFont="1" applyFill="1" applyAlignment="1">
      <alignment horizontal="left" vertical="top"/>
    </xf>
    <xf numFmtId="0" fontId="63" fillId="7" borderId="0" xfId="94" quotePrefix="1" applyFont="1" applyFill="1" applyAlignment="1">
      <alignment horizontal="left" vertical="top"/>
    </xf>
    <xf numFmtId="0" fontId="58" fillId="7" borderId="0" xfId="94" quotePrefix="1" applyFont="1" applyFill="1" applyAlignment="1">
      <alignment vertical="center"/>
    </xf>
    <xf numFmtId="0" fontId="58" fillId="11" borderId="17" xfId="94" applyFont="1" applyFill="1" applyBorder="1" applyAlignment="1">
      <alignment vertical="center"/>
    </xf>
    <xf numFmtId="0" fontId="58" fillId="11" borderId="19" xfId="94" applyFont="1" applyFill="1" applyBorder="1" applyAlignment="1">
      <alignment vertical="center"/>
    </xf>
    <xf numFmtId="0" fontId="58" fillId="7" borderId="0" xfId="94" quotePrefix="1" applyFont="1" applyFill="1" applyAlignment="1">
      <alignment vertical="top"/>
    </xf>
    <xf numFmtId="0" fontId="62" fillId="10" borderId="0" xfId="94" applyFont="1" applyFill="1"/>
    <xf numFmtId="0" fontId="61" fillId="10" borderId="0" xfId="94" applyFont="1" applyFill="1"/>
    <xf numFmtId="0" fontId="58" fillId="10" borderId="0" xfId="94" applyFont="1" applyFill="1"/>
    <xf numFmtId="0" fontId="62" fillId="7" borderId="0" xfId="94" applyFont="1" applyFill="1"/>
    <xf numFmtId="0" fontId="61" fillId="7" borderId="0" xfId="94" applyFont="1" applyFill="1"/>
    <xf numFmtId="0" fontId="58" fillId="6" borderId="0" xfId="94" applyFont="1" applyFill="1"/>
    <xf numFmtId="0" fontId="60" fillId="7" borderId="0" xfId="94" applyFont="1" applyFill="1" applyAlignment="1">
      <alignment horizontal="left" vertical="center"/>
    </xf>
    <xf numFmtId="0" fontId="58" fillId="8" borderId="0" xfId="99" applyFont="1" applyFill="1"/>
    <xf numFmtId="0" fontId="58" fillId="7" borderId="0" xfId="99" applyFont="1" applyFill="1"/>
    <xf numFmtId="0" fontId="72" fillId="12" borderId="0" xfId="99" applyFont="1" applyFill="1" applyAlignment="1">
      <alignment vertical="center"/>
    </xf>
    <xf numFmtId="0" fontId="63" fillId="12" borderId="0" xfId="99" applyFont="1" applyFill="1" applyAlignment="1">
      <alignment vertical="center"/>
    </xf>
    <xf numFmtId="0" fontId="71" fillId="12" borderId="0" xfId="99" applyFont="1" applyFill="1" applyAlignment="1">
      <alignment horizontal="left" vertical="center"/>
    </xf>
    <xf numFmtId="0" fontId="77" fillId="12" borderId="0" xfId="99" applyFont="1" applyFill="1" applyAlignment="1">
      <alignment horizontal="left" vertical="center"/>
    </xf>
    <xf numFmtId="0" fontId="63" fillId="0" borderId="0" xfId="99" applyFont="1"/>
    <xf numFmtId="0" fontId="58" fillId="12" borderId="0" xfId="99" applyFont="1" applyFill="1" applyAlignment="1">
      <alignment vertical="center"/>
    </xf>
    <xf numFmtId="0" fontId="73" fillId="12" borderId="0" xfId="99" applyFont="1" applyFill="1" applyAlignment="1">
      <alignment horizontal="left" vertical="center"/>
    </xf>
    <xf numFmtId="0" fontId="63" fillId="12" borderId="0" xfId="99" applyFont="1" applyFill="1" applyAlignment="1">
      <alignment horizontal="center" vertical="center"/>
    </xf>
    <xf numFmtId="0" fontId="73" fillId="6" borderId="34" xfId="99" applyFont="1" applyFill="1" applyBorder="1" applyAlignment="1">
      <alignment horizontal="center" vertical="center"/>
    </xf>
    <xf numFmtId="0" fontId="63" fillId="6" borderId="34" xfId="99" applyFont="1" applyFill="1" applyBorder="1" applyAlignment="1">
      <alignment vertical="center"/>
    </xf>
    <xf numFmtId="0" fontId="63" fillId="6" borderId="34" xfId="99" applyFont="1" applyFill="1" applyBorder="1" applyAlignment="1">
      <alignment horizontal="center" vertical="center"/>
    </xf>
    <xf numFmtId="0" fontId="73" fillId="6" borderId="34" xfId="99" applyFont="1" applyFill="1" applyBorder="1" applyAlignment="1">
      <alignment vertical="center"/>
    </xf>
    <xf numFmtId="0" fontId="63" fillId="12" borderId="62" xfId="99" applyFont="1" applyFill="1" applyBorder="1" applyAlignment="1">
      <alignment vertical="center"/>
    </xf>
    <xf numFmtId="0" fontId="73" fillId="12" borderId="0" xfId="99" applyFont="1" applyFill="1" applyAlignment="1">
      <alignment vertical="center"/>
    </xf>
    <xf numFmtId="0" fontId="73" fillId="6" borderId="34" xfId="99" applyFont="1" applyFill="1" applyBorder="1" applyAlignment="1">
      <alignment horizontal="left" vertical="center"/>
    </xf>
    <xf numFmtId="0" fontId="73" fillId="12" borderId="62" xfId="99" applyFont="1" applyFill="1" applyBorder="1" applyAlignment="1">
      <alignment vertical="center"/>
    </xf>
    <xf numFmtId="49" fontId="63" fillId="6" borderId="34" xfId="99" applyNumberFormat="1" applyFont="1" applyFill="1" applyBorder="1" applyAlignment="1">
      <alignment horizontal="right" vertical="center"/>
    </xf>
    <xf numFmtId="0" fontId="63" fillId="6" borderId="34" xfId="99" applyFont="1" applyFill="1" applyBorder="1" applyAlignment="1">
      <alignment horizontal="right" vertical="center"/>
    </xf>
    <xf numFmtId="0" fontId="73" fillId="6" borderId="34" xfId="99" applyFont="1" applyFill="1" applyBorder="1" applyAlignment="1">
      <alignment horizontal="right" vertical="center"/>
    </xf>
    <xf numFmtId="0" fontId="63" fillId="6" borderId="0" xfId="99" applyFont="1" applyFill="1" applyAlignment="1">
      <alignment horizontal="center" vertical="center"/>
    </xf>
    <xf numFmtId="0" fontId="63" fillId="6" borderId="34" xfId="99" applyFont="1" applyFill="1" applyBorder="1" applyAlignment="1">
      <alignment horizontal="left" vertical="center"/>
    </xf>
    <xf numFmtId="0" fontId="63" fillId="6" borderId="0" xfId="99" applyFont="1" applyFill="1" applyAlignment="1">
      <alignment vertical="center"/>
    </xf>
    <xf numFmtId="0" fontId="63" fillId="12" borderId="72" xfId="99" applyFont="1" applyFill="1" applyBorder="1" applyAlignment="1">
      <alignment vertical="center"/>
    </xf>
    <xf numFmtId="0" fontId="63" fillId="6" borderId="72" xfId="99" applyFont="1" applyFill="1" applyBorder="1" applyAlignment="1">
      <alignment vertical="center"/>
    </xf>
    <xf numFmtId="0" fontId="72" fillId="12" borderId="72" xfId="99" applyFont="1" applyFill="1" applyBorder="1" applyAlignment="1">
      <alignment vertical="center"/>
    </xf>
    <xf numFmtId="0" fontId="63" fillId="12" borderId="73" xfId="99" applyFont="1" applyFill="1" applyBorder="1" applyAlignment="1">
      <alignment vertical="center"/>
    </xf>
    <xf numFmtId="0" fontId="63" fillId="6" borderId="73" xfId="99" applyFont="1" applyFill="1" applyBorder="1" applyAlignment="1">
      <alignment vertical="center"/>
    </xf>
    <xf numFmtId="0" fontId="72" fillId="12" borderId="73" xfId="99" applyFont="1" applyFill="1" applyBorder="1" applyAlignment="1">
      <alignment vertical="center"/>
    </xf>
    <xf numFmtId="3" fontId="63" fillId="6" borderId="0" xfId="99" applyNumberFormat="1" applyFont="1" applyFill="1" applyAlignment="1">
      <alignment vertical="center"/>
    </xf>
    <xf numFmtId="0" fontId="73" fillId="12" borderId="0" xfId="99" applyFont="1" applyFill="1" applyAlignment="1">
      <alignment horizontal="center" vertical="center"/>
    </xf>
    <xf numFmtId="0" fontId="73" fillId="6" borderId="64" xfId="99" applyFont="1" applyFill="1" applyBorder="1" applyAlignment="1">
      <alignment horizontal="left" vertical="center"/>
    </xf>
    <xf numFmtId="1" fontId="73" fillId="6" borderId="43" xfId="99" applyNumberFormat="1" applyFont="1" applyFill="1" applyBorder="1" applyAlignment="1">
      <alignment horizontal="left" vertical="center"/>
    </xf>
    <xf numFmtId="0" fontId="63" fillId="12" borderId="0" xfId="99" applyFont="1" applyFill="1"/>
    <xf numFmtId="1" fontId="63" fillId="12" borderId="0" xfId="99" applyNumberFormat="1" applyFont="1" applyFill="1" applyAlignment="1">
      <alignment vertical="center"/>
    </xf>
    <xf numFmtId="0" fontId="58" fillId="12" borderId="0" xfId="99" applyFont="1" applyFill="1" applyAlignment="1">
      <alignment horizontal="center" vertical="center"/>
    </xf>
    <xf numFmtId="0" fontId="72" fillId="12" borderId="0" xfId="99" applyFont="1" applyFill="1" applyAlignment="1">
      <alignment horizontal="center" vertical="center"/>
    </xf>
    <xf numFmtId="2" fontId="63" fillId="6" borderId="34" xfId="99" applyNumberFormat="1" applyFont="1" applyFill="1" applyBorder="1" applyAlignment="1">
      <alignment vertical="center"/>
    </xf>
    <xf numFmtId="0" fontId="80" fillId="22" borderId="34" xfId="99" applyFont="1" applyFill="1" applyBorder="1" applyAlignment="1">
      <alignment horizontal="center" vertical="center"/>
    </xf>
    <xf numFmtId="0" fontId="63" fillId="13" borderId="34" xfId="99" applyFont="1" applyFill="1" applyBorder="1" applyAlignment="1" applyProtection="1">
      <alignment horizontal="center" vertical="center" wrapText="1"/>
      <protection locked="0"/>
    </xf>
    <xf numFmtId="0" fontId="105" fillId="12" borderId="0" xfId="99" applyFont="1" applyFill="1" applyAlignment="1">
      <alignment vertical="center"/>
    </xf>
    <xf numFmtId="49" fontId="63" fillId="6" borderId="34" xfId="99" applyNumberFormat="1" applyFont="1" applyFill="1" applyBorder="1" applyAlignment="1">
      <alignment vertical="center"/>
    </xf>
    <xf numFmtId="0" fontId="73" fillId="6" borderId="0" xfId="99" applyFont="1" applyFill="1" applyAlignment="1">
      <alignment horizontal="left" vertical="center"/>
    </xf>
    <xf numFmtId="0" fontId="63" fillId="6" borderId="0" xfId="99" applyFont="1" applyFill="1" applyAlignment="1">
      <alignment horizontal="left" wrapText="1"/>
    </xf>
    <xf numFmtId="2" fontId="63" fillId="20" borderId="26" xfId="99" applyNumberFormat="1" applyFont="1" applyFill="1" applyBorder="1" applyAlignment="1" applyProtection="1">
      <alignment wrapText="1"/>
      <protection locked="0"/>
    </xf>
    <xf numFmtId="0" fontId="106" fillId="22" borderId="51" xfId="99" applyFont="1" applyFill="1" applyBorder="1" applyAlignment="1">
      <alignment vertical="center"/>
    </xf>
    <xf numFmtId="0" fontId="106" fillId="22" borderId="50" xfId="99" applyFont="1" applyFill="1" applyBorder="1" applyAlignment="1">
      <alignment horizontal="left" vertical="center"/>
    </xf>
    <xf numFmtId="0" fontId="63" fillId="6" borderId="0" xfId="99" applyFont="1" applyFill="1" applyAlignment="1">
      <alignment horizontal="left" vertical="center"/>
    </xf>
    <xf numFmtId="1" fontId="63" fillId="6" borderId="0" xfId="99" applyNumberFormat="1" applyFont="1" applyFill="1" applyAlignment="1">
      <alignment horizontal="left" vertical="center"/>
    </xf>
    <xf numFmtId="0" fontId="107" fillId="6" borderId="80" xfId="99" applyFont="1" applyFill="1" applyBorder="1" applyAlignment="1">
      <alignment vertical="center"/>
    </xf>
    <xf numFmtId="1" fontId="63" fillId="6" borderId="26" xfId="99" applyNumberFormat="1" applyFont="1" applyFill="1" applyBorder="1" applyAlignment="1">
      <alignment horizontal="center" vertical="center"/>
    </xf>
    <xf numFmtId="0" fontId="107" fillId="6" borderId="82" xfId="99" applyFont="1" applyFill="1" applyBorder="1" applyAlignment="1">
      <alignment vertical="center"/>
    </xf>
    <xf numFmtId="0" fontId="107" fillId="6" borderId="84" xfId="99" applyFont="1" applyFill="1" applyBorder="1" applyAlignment="1">
      <alignment vertical="center"/>
    </xf>
    <xf numFmtId="0" fontId="73" fillId="6" borderId="0" xfId="99" applyFont="1" applyFill="1" applyAlignment="1">
      <alignment horizontal="center" vertical="center"/>
    </xf>
    <xf numFmtId="4" fontId="63" fillId="13" borderId="26" xfId="99" applyNumberFormat="1" applyFont="1" applyFill="1" applyBorder="1" applyAlignment="1" applyProtection="1">
      <alignment horizontal="center" vertical="center"/>
      <protection locked="0"/>
    </xf>
    <xf numFmtId="0" fontId="63" fillId="12" borderId="86" xfId="99" applyFont="1" applyFill="1" applyBorder="1" applyAlignment="1">
      <alignment vertical="center"/>
    </xf>
    <xf numFmtId="1" fontId="73" fillId="22" borderId="26" xfId="99" applyNumberFormat="1" applyFont="1" applyFill="1" applyBorder="1" applyAlignment="1">
      <alignment horizontal="center" vertical="center"/>
    </xf>
    <xf numFmtId="175" fontId="63" fillId="12" borderId="26" xfId="99" applyNumberFormat="1" applyFont="1" applyFill="1" applyBorder="1" applyAlignment="1">
      <alignment horizontal="center" vertical="center"/>
    </xf>
    <xf numFmtId="3" fontId="63" fillId="12" borderId="26" xfId="99" applyNumberFormat="1" applyFont="1" applyFill="1" applyBorder="1" applyAlignment="1">
      <alignment horizontal="center" vertical="center"/>
    </xf>
    <xf numFmtId="1" fontId="63" fillId="6" borderId="0" xfId="99" applyNumberFormat="1" applyFont="1" applyFill="1" applyAlignment="1">
      <alignment vertical="center"/>
    </xf>
    <xf numFmtId="0" fontId="63" fillId="6" borderId="0" xfId="99" applyFont="1" applyFill="1" applyAlignment="1">
      <alignment horizontal="right" vertical="center" wrapText="1"/>
    </xf>
    <xf numFmtId="0" fontId="63" fillId="11" borderId="17" xfId="99" applyFont="1" applyFill="1" applyBorder="1" applyAlignment="1">
      <alignment horizontal="left" vertical="center"/>
    </xf>
    <xf numFmtId="0" fontId="63" fillId="11" borderId="18" xfId="99" applyFont="1" applyFill="1" applyBorder="1" applyAlignment="1">
      <alignment horizontal="left" vertical="center"/>
    </xf>
    <xf numFmtId="0" fontId="63" fillId="11" borderId="19" xfId="99" applyFont="1" applyFill="1" applyBorder="1" applyAlignment="1">
      <alignment horizontal="left" vertical="center"/>
    </xf>
    <xf numFmtId="1" fontId="58" fillId="12" borderId="0" xfId="99" applyNumberFormat="1" applyFont="1" applyFill="1" applyAlignment="1">
      <alignment vertical="center"/>
    </xf>
    <xf numFmtId="49" fontId="63" fillId="6" borderId="0" xfId="99" applyNumberFormat="1" applyFont="1" applyFill="1" applyAlignment="1">
      <alignment horizontal="left" vertical="center"/>
    </xf>
    <xf numFmtId="0" fontId="72" fillId="7" borderId="0" xfId="99" applyFont="1" applyFill="1" applyAlignment="1">
      <alignment vertical="center"/>
    </xf>
    <xf numFmtId="0" fontId="63" fillId="7" borderId="0" xfId="99" applyFont="1" applyFill="1" applyAlignment="1">
      <alignment vertical="center"/>
    </xf>
    <xf numFmtId="0" fontId="63" fillId="7" borderId="0" xfId="99" applyFont="1" applyFill="1" applyAlignment="1">
      <alignment horizontal="center" vertical="center"/>
    </xf>
    <xf numFmtId="0" fontId="71" fillId="7" borderId="0" xfId="99" applyFont="1" applyFill="1" applyAlignment="1">
      <alignment horizontal="left" vertical="center"/>
    </xf>
    <xf numFmtId="0" fontId="58" fillId="7" borderId="0" xfId="99" applyFont="1" applyFill="1" applyAlignment="1">
      <alignment vertical="center"/>
    </xf>
    <xf numFmtId="0" fontId="73" fillId="6" borderId="64" xfId="99" applyFont="1" applyFill="1" applyBorder="1" applyAlignment="1">
      <alignment horizontal="center" vertical="center"/>
    </xf>
    <xf numFmtId="0" fontId="63" fillId="6" borderId="35" xfId="99" applyFont="1" applyFill="1" applyBorder="1" applyAlignment="1">
      <alignment horizontal="center" vertical="center"/>
    </xf>
    <xf numFmtId="0" fontId="73" fillId="22" borderId="50" xfId="99" applyFont="1" applyFill="1" applyBorder="1" applyAlignment="1">
      <alignment horizontal="center" vertical="center"/>
    </xf>
    <xf numFmtId="0" fontId="73" fillId="22" borderId="49" xfId="99" applyFont="1" applyFill="1" applyBorder="1" applyAlignment="1">
      <alignment horizontal="center" vertical="center"/>
    </xf>
    <xf numFmtId="0" fontId="73" fillId="0" borderId="0" xfId="99" applyFont="1" applyAlignment="1">
      <alignment vertical="center"/>
    </xf>
    <xf numFmtId="0" fontId="63" fillId="6" borderId="64" xfId="99" applyFont="1" applyFill="1" applyBorder="1" applyAlignment="1">
      <alignment vertical="center"/>
    </xf>
    <xf numFmtId="0" fontId="73" fillId="6" borderId="35" xfId="99" applyFont="1" applyFill="1" applyBorder="1" applyAlignment="1">
      <alignment horizontal="center" vertical="center"/>
    </xf>
    <xf numFmtId="0" fontId="73" fillId="7" borderId="0" xfId="99" applyFont="1" applyFill="1" applyAlignment="1">
      <alignment horizontal="center" vertical="center"/>
    </xf>
    <xf numFmtId="0" fontId="63" fillId="6" borderId="77" xfId="99" applyFont="1" applyFill="1" applyBorder="1" applyAlignment="1">
      <alignment horizontal="left" vertical="center"/>
    </xf>
    <xf numFmtId="49" fontId="63" fillId="6" borderId="77" xfId="99" applyNumberFormat="1" applyFont="1" applyFill="1" applyBorder="1" applyAlignment="1">
      <alignment horizontal="left" vertical="center"/>
    </xf>
    <xf numFmtId="0" fontId="63" fillId="6" borderId="77" xfId="99" applyFont="1" applyFill="1" applyBorder="1" applyAlignment="1">
      <alignment horizontal="right" vertical="center"/>
    </xf>
    <xf numFmtId="0" fontId="63" fillId="0" borderId="0" xfId="99" applyFont="1" applyAlignment="1">
      <alignment vertical="center"/>
    </xf>
    <xf numFmtId="0" fontId="63" fillId="0" borderId="45" xfId="99" applyFont="1" applyBorder="1" applyAlignment="1">
      <alignment vertical="center" wrapText="1"/>
    </xf>
    <xf numFmtId="0" fontId="63" fillId="12" borderId="0" xfId="99" applyFont="1" applyFill="1" applyAlignment="1">
      <alignment horizontal="center" vertical="center" wrapText="1"/>
    </xf>
    <xf numFmtId="0" fontId="63" fillId="12" borderId="0" xfId="99" applyFont="1" applyFill="1" applyAlignment="1">
      <alignment vertical="center" wrapText="1"/>
    </xf>
    <xf numFmtId="0" fontId="60" fillId="12" borderId="0" xfId="99" applyFont="1" applyFill="1" applyAlignment="1">
      <alignment vertical="center"/>
    </xf>
    <xf numFmtId="49" fontId="63" fillId="12" borderId="35" xfId="99" applyNumberFormat="1" applyFont="1" applyFill="1" applyBorder="1" applyAlignment="1">
      <alignment horizontal="center" vertical="center"/>
    </xf>
    <xf numFmtId="49" fontId="63" fillId="7" borderId="64" xfId="99" applyNumberFormat="1" applyFont="1" applyFill="1" applyBorder="1" applyAlignment="1">
      <alignment horizontal="center" vertical="center"/>
    </xf>
    <xf numFmtId="49" fontId="63" fillId="12" borderId="87" xfId="99" applyNumberFormat="1" applyFont="1" applyFill="1" applyBorder="1" applyAlignment="1">
      <alignment horizontal="center" vertical="center"/>
    </xf>
    <xf numFmtId="49" fontId="63" fillId="7" borderId="88" xfId="99" applyNumberFormat="1" applyFont="1" applyFill="1" applyBorder="1" applyAlignment="1">
      <alignment horizontal="center" vertical="center"/>
    </xf>
    <xf numFmtId="0" fontId="73" fillId="23" borderId="63" xfId="99" applyFont="1" applyFill="1" applyBorder="1" applyAlignment="1">
      <alignment horizontal="center" vertical="center" wrapText="1"/>
    </xf>
    <xf numFmtId="0" fontId="73" fillId="23" borderId="63" xfId="99" applyFont="1" applyFill="1" applyBorder="1" applyAlignment="1">
      <alignment horizontal="center" vertical="center"/>
    </xf>
    <xf numFmtId="0" fontId="83" fillId="6" borderId="34" xfId="99" applyFont="1" applyFill="1" applyBorder="1" applyAlignment="1">
      <alignment vertical="center" wrapText="1"/>
    </xf>
    <xf numFmtId="0" fontId="84" fillId="6" borderId="64" xfId="99" applyFont="1" applyFill="1" applyBorder="1" applyAlignment="1">
      <alignment vertical="center"/>
    </xf>
    <xf numFmtId="0" fontId="84" fillId="6" borderId="43" xfId="99" applyFont="1" applyFill="1" applyBorder="1" applyAlignment="1">
      <alignment vertical="center" wrapText="1"/>
    </xf>
    <xf numFmtId="0" fontId="84" fillId="6" borderId="35" xfId="99" applyFont="1" applyFill="1" applyBorder="1" applyAlignment="1">
      <alignment vertical="center" wrapText="1"/>
    </xf>
    <xf numFmtId="3" fontId="63" fillId="13" borderId="35" xfId="99" applyNumberFormat="1" applyFont="1" applyFill="1" applyBorder="1" applyAlignment="1" applyProtection="1">
      <alignment horizontal="center" vertical="center" shrinkToFit="1"/>
      <protection locked="0"/>
    </xf>
    <xf numFmtId="3" fontId="63" fillId="13" borderId="34" xfId="99" applyNumberFormat="1" applyFont="1" applyFill="1" applyBorder="1" applyAlignment="1" applyProtection="1">
      <alignment horizontal="center" vertical="center" shrinkToFit="1"/>
      <protection locked="0"/>
    </xf>
    <xf numFmtId="0" fontId="84" fillId="6" borderId="34" xfId="99" applyFont="1" applyFill="1" applyBorder="1" applyAlignment="1">
      <alignment vertical="center" wrapText="1"/>
    </xf>
    <xf numFmtId="0" fontId="84" fillId="6" borderId="34" xfId="99" applyFont="1" applyFill="1" applyBorder="1" applyAlignment="1">
      <alignment horizontal="left" vertical="center" wrapText="1"/>
    </xf>
    <xf numFmtId="3" fontId="63" fillId="12" borderId="87" xfId="99" applyNumberFormat="1" applyFont="1" applyFill="1" applyBorder="1" applyAlignment="1">
      <alignment horizontal="center" vertical="center" shrinkToFit="1"/>
    </xf>
    <xf numFmtId="0" fontId="84" fillId="6" borderId="34" xfId="99" applyFont="1" applyFill="1" applyBorder="1" applyAlignment="1">
      <alignment horizontal="left" vertical="center"/>
    </xf>
    <xf numFmtId="0" fontId="83" fillId="6" borderId="64" xfId="99" applyFont="1" applyFill="1" applyBorder="1" applyAlignment="1">
      <alignment vertical="center"/>
    </xf>
    <xf numFmtId="0" fontId="83" fillId="6" borderId="43" xfId="99" applyFont="1" applyFill="1" applyBorder="1" applyAlignment="1">
      <alignment vertical="center"/>
    </xf>
    <xf numFmtId="0" fontId="83" fillId="6" borderId="35" xfId="99" applyFont="1" applyFill="1" applyBorder="1" applyAlignment="1">
      <alignment vertical="center"/>
    </xf>
    <xf numFmtId="2" fontId="63" fillId="12" borderId="63" xfId="99" applyNumberFormat="1" applyFont="1" applyFill="1" applyBorder="1" applyAlignment="1">
      <alignment horizontal="center" vertical="center" shrinkToFit="1"/>
    </xf>
    <xf numFmtId="0" fontId="83" fillId="6" borderId="34" xfId="99" applyFont="1" applyFill="1" applyBorder="1" applyAlignment="1">
      <alignment horizontal="left" vertical="center"/>
    </xf>
    <xf numFmtId="0" fontId="83" fillId="20" borderId="34" xfId="99" applyFont="1" applyFill="1" applyBorder="1" applyAlignment="1" applyProtection="1">
      <alignment vertical="center" wrapText="1"/>
      <protection locked="0"/>
    </xf>
    <xf numFmtId="0" fontId="80" fillId="23" borderId="0" xfId="99" applyFont="1" applyFill="1" applyAlignment="1">
      <alignment vertical="center"/>
    </xf>
    <xf numFmtId="0" fontId="84" fillId="6" borderId="34" xfId="99" applyFont="1" applyFill="1" applyBorder="1" applyAlignment="1">
      <alignment vertical="center"/>
    </xf>
    <xf numFmtId="0" fontId="84" fillId="6" borderId="34" xfId="99" applyFont="1" applyFill="1" applyBorder="1" applyAlignment="1">
      <alignment horizontal="center" vertical="center" wrapText="1"/>
    </xf>
    <xf numFmtId="0" fontId="84" fillId="6" borderId="34" xfId="99" quotePrefix="1" applyFont="1" applyFill="1" applyBorder="1" applyAlignment="1">
      <alignment horizontal="center" vertical="center" wrapText="1"/>
    </xf>
    <xf numFmtId="0" fontId="63" fillId="13" borderId="34" xfId="99" applyFont="1" applyFill="1" applyBorder="1" applyAlignment="1" applyProtection="1">
      <alignment horizontal="center" vertical="center" shrinkToFit="1"/>
      <protection locked="0"/>
    </xf>
    <xf numFmtId="3" fontId="63" fillId="12" borderId="34" xfId="99" applyNumberFormat="1" applyFont="1" applyFill="1" applyBorder="1" applyAlignment="1">
      <alignment horizontal="center" vertical="center"/>
    </xf>
    <xf numFmtId="2" fontId="63" fillId="12" borderId="34" xfId="99" applyNumberFormat="1" applyFont="1" applyFill="1" applyBorder="1" applyAlignment="1">
      <alignment horizontal="center" vertical="center"/>
    </xf>
    <xf numFmtId="2" fontId="0" fillId="19" borderId="0" xfId="0" applyNumberFormat="1" applyFill="1"/>
    <xf numFmtId="2" fontId="46" fillId="0" borderId="0" xfId="84" applyNumberFormat="1"/>
    <xf numFmtId="0" fontId="15" fillId="0" borderId="18" xfId="0" applyFont="1" applyBorder="1" applyAlignment="1">
      <alignment horizontal="left" vertical="top" wrapText="1"/>
    </xf>
    <xf numFmtId="0" fontId="15" fillId="0" borderId="5" xfId="0" applyFont="1" applyBorder="1" applyAlignment="1">
      <alignment horizontal="left" vertical="top" wrapText="1"/>
    </xf>
    <xf numFmtId="0" fontId="63" fillId="12" borderId="57" xfId="84" applyFont="1" applyFill="1" applyBorder="1" applyAlignment="1">
      <alignment vertical="center" wrapText="1"/>
    </xf>
    <xf numFmtId="9" fontId="63" fillId="12" borderId="57" xfId="84" applyNumberFormat="1" applyFont="1" applyFill="1" applyBorder="1" applyAlignment="1">
      <alignment vertical="center"/>
    </xf>
    <xf numFmtId="0" fontId="58" fillId="12" borderId="0" xfId="84" applyFont="1" applyFill="1" applyAlignment="1">
      <alignment vertical="center"/>
    </xf>
    <xf numFmtId="0" fontId="63" fillId="12" borderId="57" xfId="84" applyFont="1" applyFill="1" applyBorder="1" applyAlignment="1">
      <alignment vertical="center"/>
    </xf>
    <xf numFmtId="9" fontId="63" fillId="12" borderId="0" xfId="84" applyNumberFormat="1" applyFont="1" applyFill="1" applyAlignment="1">
      <alignment vertical="center"/>
    </xf>
    <xf numFmtId="0" fontId="46" fillId="0" borderId="57" xfId="84" applyBorder="1"/>
    <xf numFmtId="172" fontId="63" fillId="0" borderId="57" xfId="84" applyNumberFormat="1" applyFont="1" applyBorder="1" applyAlignment="1">
      <alignment vertical="center"/>
    </xf>
    <xf numFmtId="0" fontId="73" fillId="12" borderId="0" xfId="84" applyFont="1" applyFill="1" applyAlignment="1">
      <alignment vertical="center"/>
    </xf>
    <xf numFmtId="0" fontId="63" fillId="7" borderId="0" xfId="84" applyFont="1" applyFill="1" applyAlignment="1">
      <alignment vertical="center"/>
    </xf>
    <xf numFmtId="9" fontId="97" fillId="21" borderId="0" xfId="0" applyNumberFormat="1" applyFont="1" applyFill="1" applyAlignment="1">
      <alignment vertical="center" wrapText="1"/>
    </xf>
    <xf numFmtId="0" fontId="12" fillId="0" borderId="93" xfId="0" applyFont="1" applyBorder="1" applyAlignment="1">
      <alignment vertical="center"/>
    </xf>
    <xf numFmtId="164" fontId="15" fillId="0" borderId="94" xfId="0" applyNumberFormat="1" applyFont="1" applyBorder="1" applyAlignment="1">
      <alignment horizontal="left" vertical="center" wrapText="1"/>
    </xf>
    <xf numFmtId="0" fontId="12" fillId="0" borderId="95" xfId="0" applyFont="1" applyBorder="1" applyAlignment="1">
      <alignment horizontal="left" vertical="center" wrapText="1"/>
    </xf>
    <xf numFmtId="0" fontId="15" fillId="0" borderId="96" xfId="85" applyFont="1" applyBorder="1" applyAlignment="1">
      <alignment horizontal="left" vertical="center" wrapText="1"/>
    </xf>
    <xf numFmtId="0" fontId="12" fillId="0" borderId="95" xfId="0" applyFont="1" applyBorder="1" applyAlignment="1">
      <alignment horizontal="left" vertical="center"/>
    </xf>
    <xf numFmtId="0" fontId="15" fillId="0" borderId="101" xfId="0" applyFont="1" applyBorder="1" applyAlignment="1">
      <alignment horizontal="left" vertical="top" wrapText="1"/>
    </xf>
    <xf numFmtId="0" fontId="15" fillId="0" borderId="102" xfId="0" applyFont="1" applyBorder="1" applyAlignment="1">
      <alignment horizontal="left" vertical="top" wrapText="1"/>
    </xf>
    <xf numFmtId="0" fontId="13" fillId="0" borderId="21" xfId="0" applyFont="1" applyBorder="1"/>
    <xf numFmtId="0" fontId="12" fillId="0" borderId="22" xfId="0" applyFont="1" applyBorder="1"/>
    <xf numFmtId="0" fontId="36" fillId="0" borderId="103" xfId="0" quotePrefix="1" applyFont="1" applyBorder="1" applyAlignment="1">
      <alignment horizontal="left"/>
    </xf>
    <xf numFmtId="0" fontId="9" fillId="0" borderId="21" xfId="0" applyFont="1" applyBorder="1"/>
    <xf numFmtId="165" fontId="15" fillId="0" borderId="22" xfId="85" applyNumberFormat="1" applyFont="1" applyBorder="1" applyAlignment="1">
      <alignment horizontal="right" wrapText="1"/>
    </xf>
    <xf numFmtId="0" fontId="11" fillId="0" borderId="0" xfId="0" applyFont="1"/>
    <xf numFmtId="0" fontId="11" fillId="0" borderId="21" xfId="0" applyFont="1" applyBorder="1"/>
    <xf numFmtId="0" fontId="39" fillId="0" borderId="107" xfId="0" quotePrefix="1" applyFont="1" applyBorder="1" applyAlignment="1">
      <alignment horizontal="left"/>
    </xf>
    <xf numFmtId="0" fontId="39" fillId="0" borderId="103" xfId="0" quotePrefix="1" applyFont="1" applyBorder="1" applyAlignment="1">
      <alignment horizontal="left"/>
    </xf>
    <xf numFmtId="0" fontId="42" fillId="0" borderId="103" xfId="0" quotePrefix="1" applyFont="1" applyBorder="1" applyAlignment="1">
      <alignment horizontal="left"/>
    </xf>
    <xf numFmtId="0" fontId="15" fillId="0" borderId="109" xfId="0" applyFont="1" applyBorder="1" applyAlignment="1">
      <alignment wrapText="1"/>
    </xf>
    <xf numFmtId="0" fontId="15" fillId="0" borderId="109" xfId="0" applyFont="1" applyBorder="1" applyAlignment="1">
      <alignment horizontal="center" wrapText="1"/>
    </xf>
    <xf numFmtId="0" fontId="46" fillId="6" borderId="0" xfId="84" applyFill="1"/>
    <xf numFmtId="0" fontId="46" fillId="25" borderId="0" xfId="84" applyFill="1"/>
    <xf numFmtId="165" fontId="91" fillId="0" borderId="112" xfId="0" applyNumberFormat="1" applyFont="1" applyBorder="1" applyAlignment="1">
      <alignment horizontal="right" vertical="top" wrapText="1"/>
    </xf>
    <xf numFmtId="165" fontId="15" fillId="0" borderId="111" xfId="0" applyNumberFormat="1" applyFont="1" applyBorder="1" applyAlignment="1">
      <alignment horizontal="right" vertical="top" wrapText="1"/>
    </xf>
    <xf numFmtId="166" fontId="15" fillId="0" borderId="111" xfId="0" applyNumberFormat="1" applyFont="1" applyBorder="1" applyAlignment="1">
      <alignment horizontal="right" vertical="top" wrapText="1"/>
    </xf>
    <xf numFmtId="166" fontId="91" fillId="0" borderId="112" xfId="0" applyNumberFormat="1" applyFont="1" applyBorder="1" applyAlignment="1">
      <alignment horizontal="right" vertical="top" wrapText="1"/>
    </xf>
    <xf numFmtId="0" fontId="0" fillId="0" borderId="0" xfId="0" quotePrefix="1"/>
    <xf numFmtId="0" fontId="106" fillId="22" borderId="49" xfId="99" applyFont="1" applyFill="1" applyBorder="1" applyAlignment="1">
      <alignment horizontal="center" vertical="center"/>
    </xf>
    <xf numFmtId="0" fontId="107" fillId="6" borderId="81" xfId="99" applyFont="1" applyFill="1" applyBorder="1" applyAlignment="1">
      <alignment horizontal="center" vertical="center"/>
    </xf>
    <xf numFmtId="0" fontId="107" fillId="6" borderId="83" xfId="99" applyFont="1" applyFill="1" applyBorder="1" applyAlignment="1">
      <alignment horizontal="center" vertical="center"/>
    </xf>
    <xf numFmtId="0" fontId="107" fillId="6" borderId="85" xfId="99" applyFont="1" applyFill="1" applyBorder="1" applyAlignment="1">
      <alignment horizontal="center" vertical="center"/>
    </xf>
    <xf numFmtId="0" fontId="12" fillId="0" borderId="97" xfId="0" applyFont="1" applyBorder="1" applyAlignment="1" applyProtection="1">
      <alignment horizontal="left" vertical="top"/>
      <protection locked="0"/>
    </xf>
    <xf numFmtId="1" fontId="15" fillId="0" borderId="5" xfId="0" applyNumberFormat="1" applyFont="1" applyBorder="1" applyAlignment="1" applyProtection="1">
      <alignment wrapText="1"/>
      <protection locked="0"/>
    </xf>
    <xf numFmtId="0" fontId="15" fillId="0" borderId="5" xfId="0" applyFont="1" applyBorder="1" applyAlignment="1" applyProtection="1">
      <alignment wrapText="1"/>
      <protection locked="0"/>
    </xf>
    <xf numFmtId="0" fontId="15" fillId="0" borderId="109" xfId="0" applyFont="1" applyBorder="1" applyAlignment="1" applyProtection="1">
      <alignment wrapText="1"/>
      <protection locked="0"/>
    </xf>
    <xf numFmtId="165" fontId="15" fillId="0" borderId="22" xfId="85" applyNumberFormat="1" applyFont="1" applyBorder="1" applyAlignment="1" applyProtection="1">
      <alignment horizontal="right" wrapText="1"/>
      <protection locked="0"/>
    </xf>
    <xf numFmtId="165" fontId="15" fillId="0" borderId="110" xfId="85" applyNumberFormat="1" applyFont="1" applyBorder="1" applyAlignment="1" applyProtection="1">
      <alignment horizontal="right" wrapText="1"/>
      <protection locked="0"/>
    </xf>
    <xf numFmtId="0" fontId="22" fillId="7" borderId="0" xfId="100" applyFill="1" applyAlignment="1" applyProtection="1"/>
    <xf numFmtId="0" fontId="73" fillId="26" borderId="47" xfId="84" applyFont="1" applyFill="1" applyBorder="1" applyAlignment="1">
      <alignment horizontal="center" vertical="center" wrapText="1"/>
    </xf>
    <xf numFmtId="0" fontId="73" fillId="26" borderId="47" xfId="84" applyFont="1" applyFill="1" applyBorder="1" applyAlignment="1">
      <alignment horizontal="left" vertical="center" wrapText="1"/>
    </xf>
    <xf numFmtId="0" fontId="63" fillId="6" borderId="48" xfId="84" applyFont="1" applyFill="1" applyBorder="1" applyAlignment="1">
      <alignment horizontal="center" vertical="center"/>
    </xf>
    <xf numFmtId="167" fontId="113" fillId="6" borderId="0" xfId="0" applyNumberFormat="1" applyFont="1" applyFill="1" applyAlignment="1">
      <alignment horizontal="center" vertical="center"/>
    </xf>
    <xf numFmtId="0" fontId="63" fillId="6" borderId="47" xfId="84" applyFont="1" applyFill="1" applyBorder="1" applyAlignment="1">
      <alignment horizontal="center" vertical="center"/>
    </xf>
    <xf numFmtId="167" fontId="113" fillId="6" borderId="86" xfId="0" applyNumberFormat="1" applyFont="1" applyFill="1" applyBorder="1" applyAlignment="1">
      <alignment horizontal="center" vertical="center"/>
    </xf>
    <xf numFmtId="0" fontId="63" fillId="6" borderId="47" xfId="84" applyFont="1" applyFill="1" applyBorder="1" applyAlignment="1">
      <alignment vertical="center" wrapText="1"/>
    </xf>
    <xf numFmtId="167" fontId="63" fillId="6" borderId="47" xfId="84" applyNumberFormat="1" applyFont="1" applyFill="1" applyBorder="1" applyAlignment="1">
      <alignment horizontal="center" vertical="center"/>
    </xf>
    <xf numFmtId="0" fontId="63" fillId="6" borderId="114" xfId="84" applyFont="1" applyFill="1" applyBorder="1" applyAlignment="1">
      <alignment horizontal="center" vertical="center"/>
    </xf>
    <xf numFmtId="167" fontId="113" fillId="6" borderId="15" xfId="0" applyNumberFormat="1" applyFont="1" applyFill="1" applyBorder="1" applyAlignment="1">
      <alignment horizontal="center" vertical="center"/>
    </xf>
    <xf numFmtId="0" fontId="63" fillId="13" borderId="0" xfId="99" applyFont="1" applyFill="1" applyAlignment="1" applyProtection="1">
      <alignment horizontal="center" vertical="center"/>
      <protection locked="0"/>
    </xf>
    <xf numFmtId="0" fontId="97" fillId="21" borderId="0" xfId="0" applyFont="1" applyFill="1" applyAlignment="1">
      <alignment vertical="center" wrapText="1"/>
    </xf>
    <xf numFmtId="0" fontId="97" fillId="21" borderId="59" xfId="0" applyFont="1" applyFill="1" applyBorder="1" applyAlignment="1">
      <alignment vertical="center" wrapText="1"/>
    </xf>
    <xf numFmtId="0" fontId="87" fillId="9" borderId="54" xfId="84" applyFont="1" applyFill="1" applyBorder="1" applyAlignment="1">
      <alignment horizontal="center" wrapText="1"/>
    </xf>
    <xf numFmtId="0" fontId="87" fillId="9" borderId="45" xfId="84" applyFont="1" applyFill="1" applyBorder="1" applyAlignment="1">
      <alignment horizontal="center" wrapText="1"/>
    </xf>
    <xf numFmtId="0" fontId="72" fillId="0" borderId="45" xfId="84" applyFont="1" applyBorder="1" applyAlignment="1">
      <alignment wrapText="1"/>
    </xf>
    <xf numFmtId="0" fontId="87" fillId="9" borderId="31" xfId="84" applyFont="1" applyFill="1" applyBorder="1" applyAlignment="1">
      <alignment horizontal="center" vertical="top" wrapText="1"/>
    </xf>
    <xf numFmtId="0" fontId="87" fillId="9" borderId="23" xfId="84" applyFont="1" applyFill="1" applyBorder="1" applyAlignment="1">
      <alignment horizontal="center" wrapText="1"/>
    </xf>
    <xf numFmtId="0" fontId="87" fillId="9" borderId="52" xfId="84" applyFont="1" applyFill="1" applyBorder="1" applyAlignment="1">
      <alignment horizontal="center" wrapText="1"/>
    </xf>
    <xf numFmtId="0" fontId="88" fillId="0" borderId="0" xfId="84" applyFont="1"/>
    <xf numFmtId="0" fontId="87" fillId="0" borderId="0" xfId="84" applyFont="1"/>
    <xf numFmtId="167" fontId="72" fillId="0" borderId="52" xfId="84" applyNumberFormat="1" applyFont="1" applyBorder="1" applyAlignment="1">
      <alignment horizontal="center"/>
    </xf>
    <xf numFmtId="0" fontId="115" fillId="0" borderId="0" xfId="0" applyFont="1"/>
    <xf numFmtId="0" fontId="116" fillId="21" borderId="60" xfId="0" applyFont="1" applyFill="1" applyBorder="1" applyAlignment="1">
      <alignment vertical="center" wrapText="1"/>
    </xf>
    <xf numFmtId="0" fontId="116" fillId="21" borderId="60" xfId="0" applyFont="1" applyFill="1" applyBorder="1" applyAlignment="1">
      <alignment horizontal="center" vertical="center" wrapText="1"/>
    </xf>
    <xf numFmtId="0" fontId="117" fillId="0" borderId="60" xfId="0" applyFont="1" applyBorder="1" applyAlignment="1">
      <alignment vertical="center" wrapText="1"/>
    </xf>
    <xf numFmtId="0" fontId="117" fillId="0" borderId="60" xfId="0" applyFont="1" applyBorder="1" applyAlignment="1">
      <alignment horizontal="right" vertical="center" wrapText="1"/>
    </xf>
    <xf numFmtId="0" fontId="117" fillId="0" borderId="60" xfId="0" applyFont="1" applyBorder="1" applyAlignment="1">
      <alignment horizontal="center" vertical="center" wrapText="1"/>
    </xf>
    <xf numFmtId="172" fontId="46" fillId="0" borderId="0" xfId="84" applyNumberFormat="1"/>
    <xf numFmtId="172" fontId="46" fillId="27" borderId="0" xfId="94" applyNumberFormat="1" applyFill="1"/>
    <xf numFmtId="0" fontId="46" fillId="27" borderId="0" xfId="84" applyFill="1"/>
    <xf numFmtId="0" fontId="15" fillId="0" borderId="17" xfId="0" applyFont="1" applyBorder="1" applyAlignment="1">
      <alignment horizontal="left" vertical="top" wrapText="1"/>
    </xf>
    <xf numFmtId="0" fontId="15" fillId="0" borderId="18" xfId="0" applyFont="1" applyBorder="1" applyAlignment="1">
      <alignment horizontal="left" vertical="top" wrapText="1"/>
    </xf>
    <xf numFmtId="0" fontId="15" fillId="0" borderId="19" xfId="0" applyFont="1" applyBorder="1" applyAlignment="1">
      <alignment horizontal="left" vertical="top" wrapText="1"/>
    </xf>
    <xf numFmtId="0" fontId="20" fillId="0" borderId="98" xfId="0" applyFont="1" applyBorder="1" applyAlignment="1">
      <alignment horizontal="left" vertical="center"/>
    </xf>
    <xf numFmtId="0" fontId="20" fillId="0" borderId="9" xfId="0" applyFont="1" applyBorder="1" applyAlignment="1">
      <alignment horizontal="left" vertical="center"/>
    </xf>
    <xf numFmtId="0" fontId="28" fillId="0" borderId="107" xfId="0" applyFont="1" applyBorder="1" applyAlignment="1">
      <alignment wrapText="1"/>
    </xf>
    <xf numFmtId="0" fontId="28" fillId="0" borderId="7" xfId="0" applyFont="1" applyBorder="1" applyAlignment="1">
      <alignment wrapText="1"/>
    </xf>
    <xf numFmtId="0" fontId="12" fillId="0" borderId="20" xfId="0" applyFont="1" applyBorder="1" applyAlignment="1">
      <alignment horizontal="left"/>
    </xf>
    <xf numFmtId="0" fontId="28" fillId="0" borderId="108" xfId="0" applyFont="1" applyBorder="1" applyAlignment="1">
      <alignment wrapText="1"/>
    </xf>
    <xf numFmtId="0" fontId="28" fillId="0" borderId="109" xfId="0" applyFont="1" applyBorder="1" applyAlignment="1">
      <alignment wrapText="1"/>
    </xf>
    <xf numFmtId="0" fontId="28" fillId="0" borderId="106" xfId="0" applyFont="1" applyBorder="1"/>
    <xf numFmtId="0" fontId="28" fillId="0" borderId="5" xfId="0" applyFont="1" applyBorder="1"/>
    <xf numFmtId="0" fontId="90" fillId="0" borderId="106" xfId="0" applyFont="1" applyBorder="1"/>
    <xf numFmtId="0" fontId="90" fillId="0" borderId="5" xfId="0" applyFont="1" applyBorder="1"/>
    <xf numFmtId="0" fontId="12" fillId="0" borderId="6" xfId="0" applyFont="1" applyBorder="1" applyAlignment="1">
      <alignment horizontal="center" vertical="center" wrapText="1"/>
    </xf>
    <xf numFmtId="0" fontId="12" fillId="0" borderId="10" xfId="0" applyFont="1" applyBorder="1" applyAlignment="1">
      <alignment horizontal="center" vertical="center"/>
    </xf>
    <xf numFmtId="0" fontId="12" fillId="0" borderId="7" xfId="0" applyFont="1" applyBorder="1" applyAlignment="1">
      <alignment horizontal="center" vertical="center"/>
    </xf>
    <xf numFmtId="0" fontId="19" fillId="0" borderId="6" xfId="0" applyFont="1" applyBorder="1" applyAlignment="1">
      <alignment horizontal="center" vertical="center" wrapText="1"/>
    </xf>
    <xf numFmtId="0" fontId="19" fillId="0" borderId="105" xfId="0" applyFont="1" applyBorder="1" applyAlignment="1">
      <alignment horizontal="center" vertical="center" wrapText="1"/>
    </xf>
    <xf numFmtId="0" fontId="12" fillId="0" borderId="100" xfId="0" applyFont="1" applyBorder="1"/>
    <xf numFmtId="0" fontId="12" fillId="0" borderId="2" xfId="0" applyFont="1" applyBorder="1"/>
    <xf numFmtId="0" fontId="16" fillId="0" borderId="100" xfId="0" applyFont="1" applyBorder="1" applyAlignment="1">
      <alignment horizontal="left"/>
    </xf>
    <xf numFmtId="0" fontId="16" fillId="0" borderId="2" xfId="0" applyFont="1" applyBorder="1" applyAlignment="1">
      <alignment horizontal="left"/>
    </xf>
    <xf numFmtId="0" fontId="12" fillId="0" borderId="3" xfId="0" applyFont="1" applyBorder="1" applyAlignment="1">
      <alignment horizontal="left" vertical="top" wrapText="1"/>
    </xf>
    <xf numFmtId="0" fontId="12" fillId="0" borderId="8" xfId="0" applyFont="1" applyBorder="1" applyAlignment="1">
      <alignment horizontal="left" vertical="top" wrapText="1"/>
    </xf>
    <xf numFmtId="0" fontId="12" fillId="0" borderId="104" xfId="0" applyFont="1" applyBorder="1" applyAlignment="1">
      <alignment horizontal="left" vertical="top" wrapText="1"/>
    </xf>
    <xf numFmtId="0" fontId="12" fillId="0" borderId="103" xfId="0" applyFont="1" applyBorder="1" applyAlignment="1">
      <alignment vertical="top"/>
    </xf>
    <xf numFmtId="0" fontId="12" fillId="0" borderId="8" xfId="0" applyFont="1" applyBorder="1" applyAlignment="1">
      <alignment vertical="top"/>
    </xf>
    <xf numFmtId="0" fontId="12" fillId="0" borderId="4" xfId="0" applyFont="1" applyBorder="1" applyAlignment="1">
      <alignment vertical="top"/>
    </xf>
    <xf numFmtId="0" fontId="15" fillId="0" borderId="13" xfId="0" applyFont="1" applyBorder="1" applyAlignment="1">
      <alignment horizontal="left" vertical="top" wrapText="1"/>
    </xf>
    <xf numFmtId="0" fontId="15" fillId="0" borderId="14" xfId="0" applyFont="1" applyBorder="1" applyAlignment="1">
      <alignment horizontal="left" vertical="top" wrapText="1"/>
    </xf>
    <xf numFmtId="0" fontId="15" fillId="0" borderId="98" xfId="0" applyFont="1" applyBorder="1" applyAlignment="1">
      <alignment vertical="top" wrapText="1"/>
    </xf>
    <xf numFmtId="0" fontId="15" fillId="0" borderId="9" xfId="0" applyFont="1" applyBorder="1" applyAlignment="1">
      <alignment vertical="top" wrapText="1"/>
    </xf>
    <xf numFmtId="0" fontId="15" fillId="0" borderId="12" xfId="0" applyFont="1" applyBorder="1" applyAlignment="1">
      <alignment vertical="top" wrapText="1"/>
    </xf>
    <xf numFmtId="0" fontId="15" fillId="0" borderId="100" xfId="0" applyFont="1" applyBorder="1" applyAlignment="1">
      <alignment vertical="top" wrapText="1"/>
    </xf>
    <xf numFmtId="0" fontId="15" fillId="0" borderId="0" xfId="0" applyFont="1" applyAlignment="1">
      <alignment vertical="top" wrapText="1"/>
    </xf>
    <xf numFmtId="0" fontId="15" fillId="0" borderId="2" xfId="0" applyFont="1" applyBorder="1" applyAlignment="1">
      <alignment vertical="top" wrapText="1"/>
    </xf>
    <xf numFmtId="0" fontId="15" fillId="0" borderId="103" xfId="0" applyFont="1" applyBorder="1" applyAlignment="1">
      <alignment vertical="top" wrapText="1"/>
    </xf>
    <xf numFmtId="0" fontId="15" fillId="0" borderId="8" xfId="0" applyFont="1" applyBorder="1" applyAlignment="1">
      <alignment vertical="top" wrapText="1"/>
    </xf>
    <xf numFmtId="0" fontId="15" fillId="0" borderId="4" xfId="0" applyFont="1" applyBorder="1" applyAlignment="1">
      <alignment vertical="top" wrapText="1"/>
    </xf>
    <xf numFmtId="0" fontId="15" fillId="0" borderId="5" xfId="0" applyFont="1" applyBorder="1" applyAlignment="1">
      <alignment horizontal="left" vertical="top" wrapText="1"/>
    </xf>
    <xf numFmtId="0" fontId="12" fillId="0" borderId="4" xfId="0" applyFont="1" applyBorder="1" applyAlignment="1">
      <alignment horizontal="left" vertical="top" wrapText="1"/>
    </xf>
    <xf numFmtId="0" fontId="15" fillId="0" borderId="11" xfId="0" applyFont="1" applyBorder="1" applyAlignment="1">
      <alignment horizontal="left" vertical="top" wrapText="1"/>
    </xf>
    <xf numFmtId="0" fontId="15" fillId="0" borderId="3" xfId="0" applyFont="1" applyBorder="1" applyAlignment="1">
      <alignment horizontal="left" vertical="top" wrapText="1"/>
    </xf>
    <xf numFmtId="6" fontId="91" fillId="0" borderId="13" xfId="85" applyNumberFormat="1" applyFont="1" applyBorder="1" applyAlignment="1">
      <alignment horizontal="center" vertical="top" wrapText="1"/>
    </xf>
    <xf numFmtId="6" fontId="91" fillId="0" borderId="14" xfId="85" applyNumberFormat="1" applyFont="1" applyBorder="1" applyAlignment="1">
      <alignment horizontal="center" vertical="top" wrapText="1"/>
    </xf>
    <xf numFmtId="0" fontId="17" fillId="2" borderId="90" xfId="0" applyFont="1" applyFill="1" applyBorder="1" applyAlignment="1">
      <alignment vertical="center"/>
    </xf>
    <xf numFmtId="0" fontId="18" fillId="2" borderId="91" xfId="0" applyFont="1" applyFill="1" applyBorder="1" applyAlignment="1">
      <alignment vertical="center"/>
    </xf>
    <xf numFmtId="0" fontId="18" fillId="2" borderId="92" xfId="0" applyFont="1" applyFill="1" applyBorder="1" applyAlignment="1">
      <alignment vertical="center"/>
    </xf>
    <xf numFmtId="0" fontId="12" fillId="0" borderId="98" xfId="0" applyFont="1" applyBorder="1" applyAlignment="1">
      <alignment horizontal="left" vertical="center" wrapText="1"/>
    </xf>
    <xf numFmtId="0" fontId="12" fillId="0" borderId="12" xfId="0" applyFont="1" applyBorder="1" applyAlignment="1">
      <alignment horizontal="left" vertical="center" wrapText="1"/>
    </xf>
    <xf numFmtId="0" fontId="15" fillId="0" borderId="100" xfId="0" applyFont="1" applyBorder="1" applyAlignment="1">
      <alignment horizontal="left" vertical="top" wrapText="1"/>
    </xf>
    <xf numFmtId="0" fontId="15" fillId="0" borderId="2" xfId="0" applyFont="1" applyBorder="1" applyAlignment="1">
      <alignment horizontal="left" vertical="top" wrapText="1"/>
    </xf>
    <xf numFmtId="0" fontId="15" fillId="0" borderId="1" xfId="0" applyFont="1" applyBorder="1" applyAlignment="1" applyProtection="1">
      <alignment horizontal="left" vertical="top" wrapText="1"/>
      <protection locked="0"/>
    </xf>
    <xf numFmtId="0" fontId="15" fillId="0" borderId="2" xfId="0" applyFont="1" applyBorder="1" applyAlignment="1" applyProtection="1">
      <alignment horizontal="left" vertical="top" wrapText="1"/>
      <protection locked="0"/>
    </xf>
    <xf numFmtId="0" fontId="12" fillId="0" borderId="11" xfId="0" applyFont="1" applyBorder="1" applyAlignment="1">
      <alignment horizontal="left" vertical="center"/>
    </xf>
    <xf numFmtId="0" fontId="12" fillId="0" borderId="12" xfId="0" applyFont="1" applyBorder="1" applyAlignment="1">
      <alignment horizontal="left" vertical="center"/>
    </xf>
    <xf numFmtId="0" fontId="12" fillId="0" borderId="99" xfId="0" applyFont="1" applyBorder="1" applyAlignment="1">
      <alignment horizontal="left" vertical="center"/>
    </xf>
    <xf numFmtId="0" fontId="15" fillId="0" borderId="21" xfId="0" applyFont="1" applyBorder="1" applyAlignment="1" applyProtection="1">
      <alignment horizontal="left" vertical="top" wrapText="1"/>
      <protection locked="0"/>
    </xf>
    <xf numFmtId="0" fontId="15" fillId="0" borderId="96" xfId="85" applyFont="1" applyBorder="1" applyAlignment="1" applyProtection="1">
      <alignment horizontal="left" vertical="center" wrapText="1"/>
      <protection locked="0"/>
    </xf>
    <xf numFmtId="0" fontId="50" fillId="7" borderId="26" xfId="99" applyFont="1" applyFill="1" applyBorder="1" applyAlignment="1">
      <alignment horizontal="left" vertical="center" wrapText="1"/>
    </xf>
    <xf numFmtId="0" fontId="50" fillId="7" borderId="17" xfId="99" applyFont="1" applyFill="1" applyBorder="1" applyAlignment="1">
      <alignment horizontal="left" vertical="center" wrapText="1"/>
    </xf>
    <xf numFmtId="0" fontId="50" fillId="7" borderId="18" xfId="99" applyFont="1" applyFill="1" applyBorder="1" applyAlignment="1">
      <alignment horizontal="left" vertical="center" wrapText="1"/>
    </xf>
    <xf numFmtId="0" fontId="50" fillId="7" borderId="19" xfId="99" applyFont="1" applyFill="1" applyBorder="1" applyAlignment="1">
      <alignment horizontal="left" vertical="center" wrapText="1"/>
    </xf>
    <xf numFmtId="0" fontId="58" fillId="7" borderId="0" xfId="94" applyFont="1" applyFill="1" applyAlignment="1">
      <alignment horizontal="left" vertical="center" wrapText="1"/>
    </xf>
    <xf numFmtId="0" fontId="60" fillId="7" borderId="0" xfId="94" quotePrefix="1" applyFont="1" applyFill="1" applyAlignment="1">
      <alignment horizontal="left" vertical="center"/>
    </xf>
    <xf numFmtId="0" fontId="59" fillId="7" borderId="0" xfId="90" quotePrefix="1" applyFill="1" applyAlignment="1" applyProtection="1">
      <alignment horizontal="left" vertical="center"/>
    </xf>
    <xf numFmtId="2" fontId="58" fillId="13" borderId="30" xfId="94" applyNumberFormat="1" applyFont="1" applyFill="1" applyBorder="1" applyAlignment="1" applyProtection="1">
      <alignment horizontal="center" vertical="center"/>
      <protection locked="0"/>
    </xf>
    <xf numFmtId="2" fontId="58" fillId="13" borderId="29" xfId="94" applyNumberFormat="1" applyFont="1" applyFill="1" applyBorder="1" applyAlignment="1" applyProtection="1">
      <alignment horizontal="center" vertical="center"/>
      <protection locked="0"/>
    </xf>
    <xf numFmtId="3" fontId="58" fillId="12" borderId="28" xfId="94" applyNumberFormat="1" applyFont="1" applyFill="1" applyBorder="1" applyAlignment="1">
      <alignment horizontal="center" vertical="center"/>
    </xf>
    <xf numFmtId="0" fontId="63" fillId="20" borderId="34" xfId="99" applyFont="1" applyFill="1" applyBorder="1" applyAlignment="1" applyProtection="1">
      <alignment horizontal="left" vertical="center" wrapText="1" shrinkToFit="1"/>
      <protection locked="0"/>
    </xf>
    <xf numFmtId="49" fontId="63" fillId="20" borderId="34" xfId="99" applyNumberFormat="1" applyFont="1" applyFill="1" applyBorder="1" applyAlignment="1" applyProtection="1">
      <alignment horizontal="center" vertical="center"/>
      <protection locked="0"/>
    </xf>
    <xf numFmtId="0" fontId="63" fillId="11" borderId="42" xfId="99" applyFont="1" applyFill="1" applyBorder="1" applyAlignment="1">
      <alignment horizontal="left" vertical="center" wrapText="1"/>
    </xf>
    <xf numFmtId="0" fontId="63" fillId="11" borderId="41" xfId="99" applyFont="1" applyFill="1" applyBorder="1" applyAlignment="1">
      <alignment horizontal="left" vertical="center" wrapText="1"/>
    </xf>
    <xf numFmtId="0" fontId="63" fillId="11" borderId="40" xfId="99" applyFont="1" applyFill="1" applyBorder="1" applyAlignment="1">
      <alignment horizontal="left" vertical="center" wrapText="1"/>
    </xf>
    <xf numFmtId="0" fontId="63" fillId="11" borderId="37" xfId="99" applyFont="1" applyFill="1" applyBorder="1" applyAlignment="1">
      <alignment horizontal="left" vertical="center" wrapText="1"/>
    </xf>
    <xf numFmtId="0" fontId="63" fillId="11" borderId="20" xfId="99" applyFont="1" applyFill="1" applyBorder="1" applyAlignment="1">
      <alignment horizontal="left" vertical="center" wrapText="1"/>
    </xf>
    <xf numFmtId="0" fontId="63" fillId="11" borderId="36" xfId="99" applyFont="1" applyFill="1" applyBorder="1" applyAlignment="1">
      <alignment horizontal="left" vertical="center" wrapText="1"/>
    </xf>
    <xf numFmtId="0" fontId="63" fillId="11" borderId="26" xfId="99" applyFont="1" applyFill="1" applyBorder="1" applyAlignment="1">
      <alignment horizontal="left" vertical="center"/>
    </xf>
    <xf numFmtId="0" fontId="63" fillId="6" borderId="34" xfId="99" applyFont="1" applyFill="1" applyBorder="1" applyAlignment="1">
      <alignment horizontal="left" vertical="center"/>
    </xf>
    <xf numFmtId="0" fontId="63" fillId="6" borderId="34" xfId="99" applyFont="1" applyFill="1" applyBorder="1" applyAlignment="1">
      <alignment horizontal="center" vertical="center"/>
    </xf>
    <xf numFmtId="10" fontId="63" fillId="20" borderId="34" xfId="99" applyNumberFormat="1" applyFont="1" applyFill="1" applyBorder="1" applyAlignment="1" applyProtection="1">
      <alignment horizontal="center" vertical="center"/>
      <protection locked="0"/>
    </xf>
    <xf numFmtId="0" fontId="63" fillId="11" borderId="17" xfId="99" applyFont="1" applyFill="1" applyBorder="1" applyAlignment="1">
      <alignment horizontal="left" vertical="center" wrapText="1"/>
    </xf>
    <xf numFmtId="0" fontId="63" fillId="11" borderId="18" xfId="99" applyFont="1" applyFill="1" applyBorder="1" applyAlignment="1">
      <alignment horizontal="left" vertical="center" wrapText="1"/>
    </xf>
    <xf numFmtId="0" fontId="63" fillId="11" borderId="19" xfId="99" applyFont="1" applyFill="1" applyBorder="1" applyAlignment="1">
      <alignment horizontal="left" vertical="center" wrapText="1"/>
    </xf>
    <xf numFmtId="0" fontId="63" fillId="11" borderId="17" xfId="99" applyFont="1" applyFill="1" applyBorder="1" applyAlignment="1">
      <alignment horizontal="left" vertical="center"/>
    </xf>
    <xf numFmtId="0" fontId="63" fillId="11" borderId="18" xfId="99" applyFont="1" applyFill="1" applyBorder="1" applyAlignment="1">
      <alignment horizontal="left" vertical="center"/>
    </xf>
    <xf numFmtId="0" fontId="63" fillId="11" borderId="19" xfId="99" applyFont="1" applyFill="1" applyBorder="1" applyAlignment="1">
      <alignment horizontal="left" vertical="center"/>
    </xf>
    <xf numFmtId="0" fontId="63" fillId="20" borderId="34" xfId="99" applyFont="1" applyFill="1" applyBorder="1" applyAlignment="1" applyProtection="1">
      <alignment horizontal="center" vertical="center"/>
      <protection locked="0"/>
    </xf>
    <xf numFmtId="9" fontId="63" fillId="6" borderId="64" xfId="99" applyNumberFormat="1" applyFont="1" applyFill="1" applyBorder="1" applyAlignment="1">
      <alignment horizontal="center" vertical="center"/>
    </xf>
    <xf numFmtId="9" fontId="63" fillId="6" borderId="43" xfId="99" applyNumberFormat="1" applyFont="1" applyFill="1" applyBorder="1" applyAlignment="1">
      <alignment horizontal="center" vertical="center"/>
    </xf>
    <xf numFmtId="9" fontId="63" fillId="6" borderId="35" xfId="99" applyNumberFormat="1" applyFont="1" applyFill="1" applyBorder="1" applyAlignment="1">
      <alignment horizontal="center" vertical="center"/>
    </xf>
    <xf numFmtId="17" fontId="63" fillId="20" borderId="34" xfId="99" applyNumberFormat="1" applyFont="1" applyFill="1" applyBorder="1" applyAlignment="1" applyProtection="1">
      <alignment horizontal="center" vertical="center"/>
      <protection locked="0"/>
    </xf>
    <xf numFmtId="3" fontId="63" fillId="20" borderId="34" xfId="99" applyNumberFormat="1" applyFont="1" applyFill="1" applyBorder="1" applyAlignment="1" applyProtection="1">
      <alignment horizontal="center" vertical="center"/>
      <protection locked="0"/>
    </xf>
    <xf numFmtId="2" fontId="63" fillId="20" borderId="34" xfId="99" applyNumberFormat="1" applyFont="1" applyFill="1" applyBorder="1" applyAlignment="1" applyProtection="1">
      <alignment horizontal="center" vertical="center"/>
      <protection locked="0"/>
    </xf>
    <xf numFmtId="1" fontId="63" fillId="20" borderId="34" xfId="99" applyNumberFormat="1" applyFont="1" applyFill="1" applyBorder="1" applyAlignment="1" applyProtection="1">
      <alignment horizontal="center" vertical="center"/>
      <protection locked="0"/>
    </xf>
    <xf numFmtId="3" fontId="63" fillId="12" borderId="34" xfId="99" applyNumberFormat="1" applyFont="1" applyFill="1" applyBorder="1" applyAlignment="1">
      <alignment horizontal="center" vertical="center"/>
    </xf>
    <xf numFmtId="3" fontId="63" fillId="12" borderId="34" xfId="99" applyNumberFormat="1" applyFont="1" applyFill="1" applyBorder="1" applyAlignment="1">
      <alignment horizontal="center" vertical="center" shrinkToFit="1"/>
    </xf>
    <xf numFmtId="2" fontId="63" fillId="13" borderId="34" xfId="99" applyNumberFormat="1" applyFont="1" applyFill="1" applyBorder="1" applyAlignment="1" applyProtection="1">
      <alignment horizontal="center" vertical="center"/>
      <protection locked="0"/>
    </xf>
    <xf numFmtId="0" fontId="76" fillId="11" borderId="26" xfId="90" applyFont="1" applyFill="1" applyBorder="1" applyAlignment="1" applyProtection="1">
      <alignment horizontal="left" vertical="center"/>
    </xf>
    <xf numFmtId="0" fontId="73" fillId="6" borderId="34" xfId="99" applyFont="1" applyFill="1" applyBorder="1" applyAlignment="1">
      <alignment horizontal="center" vertical="center"/>
    </xf>
    <xf numFmtId="0" fontId="63" fillId="6" borderId="74" xfId="99" applyFont="1" applyFill="1" applyBorder="1" applyAlignment="1">
      <alignment horizontal="center" vertical="center"/>
    </xf>
    <xf numFmtId="0" fontId="73" fillId="6" borderId="74" xfId="99" applyFont="1" applyFill="1" applyBorder="1" applyAlignment="1">
      <alignment horizontal="center" vertical="center"/>
    </xf>
    <xf numFmtId="0" fontId="63" fillId="6" borderId="77" xfId="99" applyFont="1" applyFill="1" applyBorder="1" applyAlignment="1">
      <alignment horizontal="center" vertical="center"/>
    </xf>
    <xf numFmtId="0" fontId="73" fillId="6" borderId="77" xfId="99" applyFont="1" applyFill="1" applyBorder="1" applyAlignment="1">
      <alignment horizontal="center" vertical="center"/>
    </xf>
    <xf numFmtId="3" fontId="63" fillId="12" borderId="77" xfId="99" applyNumberFormat="1" applyFont="1" applyFill="1" applyBorder="1" applyAlignment="1">
      <alignment horizontal="center" vertical="center"/>
    </xf>
    <xf numFmtId="3" fontId="63" fillId="7" borderId="77" xfId="99" applyNumberFormat="1" applyFont="1" applyFill="1" applyBorder="1" applyAlignment="1">
      <alignment horizontal="center" vertical="center"/>
    </xf>
    <xf numFmtId="3" fontId="63" fillId="12" borderId="63" xfId="99" applyNumberFormat="1" applyFont="1" applyFill="1" applyBorder="1" applyAlignment="1">
      <alignment horizontal="center" vertical="center"/>
    </xf>
    <xf numFmtId="3" fontId="63" fillId="12" borderId="74" xfId="99" applyNumberFormat="1" applyFont="1" applyFill="1" applyBorder="1" applyAlignment="1">
      <alignment horizontal="center" vertical="center"/>
    </xf>
    <xf numFmtId="0" fontId="63" fillId="12" borderId="0" xfId="99" applyFont="1" applyFill="1" applyAlignment="1">
      <alignment horizontal="center" vertical="center"/>
    </xf>
    <xf numFmtId="10" fontId="63" fillId="12" borderId="0" xfId="99" applyNumberFormat="1" applyFont="1" applyFill="1" applyAlignment="1">
      <alignment horizontal="center" vertical="center"/>
    </xf>
    <xf numFmtId="0" fontId="63" fillId="7" borderId="0" xfId="99" applyFont="1" applyFill="1" applyAlignment="1">
      <alignment horizontal="center" vertical="center"/>
    </xf>
    <xf numFmtId="2" fontId="63" fillId="12" borderId="77" xfId="99" applyNumberFormat="1" applyFont="1" applyFill="1" applyBorder="1" applyAlignment="1">
      <alignment horizontal="center" vertical="center"/>
    </xf>
    <xf numFmtId="2" fontId="63" fillId="12" borderId="34" xfId="99" applyNumberFormat="1" applyFont="1" applyFill="1" applyBorder="1" applyAlignment="1">
      <alignment horizontal="center" vertical="center"/>
    </xf>
    <xf numFmtId="0" fontId="63" fillId="6" borderId="64" xfId="99" applyFont="1" applyFill="1" applyBorder="1" applyAlignment="1">
      <alignment horizontal="left" vertical="center"/>
    </xf>
    <xf numFmtId="0" fontId="73" fillId="6" borderId="64" xfId="99" applyFont="1" applyFill="1" applyBorder="1" applyAlignment="1">
      <alignment horizontal="center" vertical="center"/>
    </xf>
    <xf numFmtId="167" fontId="71" fillId="12" borderId="75" xfId="99" applyNumberFormat="1" applyFont="1" applyFill="1" applyBorder="1" applyAlignment="1">
      <alignment horizontal="center" vertical="center"/>
    </xf>
    <xf numFmtId="167" fontId="71" fillId="12" borderId="76" xfId="99" applyNumberFormat="1" applyFont="1" applyFill="1" applyBorder="1" applyAlignment="1">
      <alignment horizontal="center" vertical="center"/>
    </xf>
    <xf numFmtId="167" fontId="71" fillId="12" borderId="78" xfId="99" applyNumberFormat="1" applyFont="1" applyFill="1" applyBorder="1" applyAlignment="1">
      <alignment horizontal="center" vertical="center"/>
    </xf>
    <xf numFmtId="167" fontId="71" fillId="12" borderId="79" xfId="99" applyNumberFormat="1" applyFont="1" applyFill="1" applyBorder="1" applyAlignment="1">
      <alignment horizontal="center" vertical="center"/>
    </xf>
    <xf numFmtId="167" fontId="100" fillId="0" borderId="0" xfId="99" applyNumberFormat="1" applyFont="1" applyAlignment="1">
      <alignment horizontal="center" vertical="center"/>
    </xf>
    <xf numFmtId="0" fontId="63" fillId="11" borderId="42" xfId="99" applyFont="1" applyFill="1" applyBorder="1" applyAlignment="1">
      <alignment horizontal="left" vertical="top" wrapText="1"/>
    </xf>
    <xf numFmtId="0" fontId="63" fillId="11" borderId="41" xfId="99" applyFont="1" applyFill="1" applyBorder="1" applyAlignment="1">
      <alignment horizontal="left" vertical="top" wrapText="1"/>
    </xf>
    <xf numFmtId="0" fontId="63" fillId="11" borderId="40" xfId="99" applyFont="1" applyFill="1" applyBorder="1" applyAlignment="1">
      <alignment horizontal="left" vertical="top" wrapText="1"/>
    </xf>
    <xf numFmtId="0" fontId="63" fillId="11" borderId="37" xfId="99" applyFont="1" applyFill="1" applyBorder="1" applyAlignment="1">
      <alignment horizontal="left" vertical="top" wrapText="1"/>
    </xf>
    <xf numFmtId="0" fontId="63" fillId="11" borderId="20" xfId="99" applyFont="1" applyFill="1" applyBorder="1" applyAlignment="1">
      <alignment horizontal="left" vertical="top" wrapText="1"/>
    </xf>
    <xf numFmtId="0" fontId="63" fillId="11" borderId="36" xfId="99" applyFont="1" applyFill="1" applyBorder="1" applyAlignment="1">
      <alignment horizontal="left" vertical="top" wrapText="1"/>
    </xf>
    <xf numFmtId="3" fontId="63" fillId="13" borderId="34" xfId="99" applyNumberFormat="1" applyFont="1" applyFill="1" applyBorder="1" applyAlignment="1" applyProtection="1">
      <alignment horizontal="center" vertical="center"/>
      <protection locked="0"/>
    </xf>
    <xf numFmtId="0" fontId="63" fillId="11" borderId="39" xfId="99" applyFont="1" applyFill="1" applyBorder="1" applyAlignment="1">
      <alignment horizontal="left" vertical="center" wrapText="1"/>
    </xf>
    <xf numFmtId="0" fontId="63" fillId="11" borderId="0" xfId="99" applyFont="1" applyFill="1" applyAlignment="1">
      <alignment horizontal="left" vertical="center" wrapText="1"/>
    </xf>
    <xf numFmtId="0" fontId="63" fillId="11" borderId="38" xfId="99" applyFont="1" applyFill="1" applyBorder="1" applyAlignment="1">
      <alignment horizontal="left" vertical="center" wrapText="1"/>
    </xf>
    <xf numFmtId="49" fontId="63" fillId="7" borderId="34" xfId="99" applyNumberFormat="1" applyFont="1" applyFill="1" applyBorder="1" applyAlignment="1">
      <alignment horizontal="center" vertical="center"/>
    </xf>
    <xf numFmtId="0" fontId="63" fillId="7" borderId="34" xfId="99" applyFont="1" applyFill="1" applyBorder="1" applyAlignment="1">
      <alignment horizontal="center" vertical="center"/>
    </xf>
    <xf numFmtId="0" fontId="80" fillId="22" borderId="34" xfId="99" applyFont="1" applyFill="1" applyBorder="1" applyAlignment="1">
      <alignment horizontal="center" vertical="center"/>
    </xf>
    <xf numFmtId="0" fontId="63" fillId="13" borderId="34" xfId="99" applyFont="1" applyFill="1" applyBorder="1" applyAlignment="1" applyProtection="1">
      <alignment horizontal="center" vertical="center"/>
      <protection locked="0"/>
    </xf>
    <xf numFmtId="0" fontId="63" fillId="13" borderId="34" xfId="99" applyFont="1" applyFill="1" applyBorder="1" applyAlignment="1" applyProtection="1">
      <alignment horizontal="center" vertical="center" wrapText="1"/>
      <protection locked="0"/>
    </xf>
    <xf numFmtId="3" fontId="63" fillId="13" borderId="34" xfId="99" applyNumberFormat="1" applyFont="1" applyFill="1" applyBorder="1" applyAlignment="1" applyProtection="1">
      <alignment horizontal="center" vertical="center" wrapText="1"/>
      <protection locked="0"/>
    </xf>
    <xf numFmtId="0" fontId="63" fillId="13" borderId="64" xfId="99" applyFont="1" applyFill="1" applyBorder="1" applyAlignment="1" applyProtection="1">
      <alignment horizontal="center" vertical="center" wrapText="1"/>
      <protection locked="0"/>
    </xf>
    <xf numFmtId="0" fontId="63" fillId="13" borderId="43" xfId="99" applyFont="1" applyFill="1" applyBorder="1" applyAlignment="1" applyProtection="1">
      <alignment horizontal="center" vertical="center" wrapText="1"/>
      <protection locked="0"/>
    </xf>
    <xf numFmtId="0" fontId="63" fillId="13" borderId="35" xfId="99" applyFont="1" applyFill="1" applyBorder="1" applyAlignment="1" applyProtection="1">
      <alignment horizontal="center" vertical="center" wrapText="1"/>
      <protection locked="0"/>
    </xf>
    <xf numFmtId="3" fontId="63" fillId="12" borderId="34" xfId="99" applyNumberFormat="1" applyFont="1" applyFill="1" applyBorder="1" applyAlignment="1">
      <alignment horizontal="center" vertical="center" wrapText="1"/>
    </xf>
    <xf numFmtId="0" fontId="63" fillId="11" borderId="26" xfId="99" applyFont="1" applyFill="1" applyBorder="1" applyAlignment="1">
      <alignment horizontal="left" vertical="top" wrapText="1"/>
    </xf>
    <xf numFmtId="0" fontId="73" fillId="6" borderId="0" xfId="99" applyFont="1" applyFill="1" applyAlignment="1">
      <alignment horizontal="center" wrapText="1"/>
    </xf>
    <xf numFmtId="0" fontId="73" fillId="6" borderId="0" xfId="99" applyFont="1" applyFill="1" applyAlignment="1">
      <alignment horizontal="left" vertical="center"/>
    </xf>
    <xf numFmtId="0" fontId="107" fillId="6" borderId="81" xfId="99" applyFont="1" applyFill="1" applyBorder="1" applyAlignment="1">
      <alignment horizontal="left" vertical="center" wrapText="1"/>
    </xf>
    <xf numFmtId="0" fontId="107" fillId="6" borderId="72" xfId="99" applyFont="1" applyFill="1" applyBorder="1" applyAlignment="1">
      <alignment horizontal="left" vertical="center" wrapText="1"/>
    </xf>
    <xf numFmtId="0" fontId="107" fillId="6" borderId="80" xfId="99" applyFont="1" applyFill="1" applyBorder="1" applyAlignment="1">
      <alignment horizontal="left" vertical="center" wrapText="1"/>
    </xf>
    <xf numFmtId="0" fontId="63" fillId="6" borderId="26" xfId="99" applyFont="1" applyFill="1" applyBorder="1" applyAlignment="1">
      <alignment horizontal="left" vertical="center"/>
    </xf>
    <xf numFmtId="0" fontId="63" fillId="6" borderId="0" xfId="99" applyFont="1" applyFill="1" applyAlignment="1">
      <alignment horizontal="left" vertical="center"/>
    </xf>
    <xf numFmtId="0" fontId="63" fillId="6" borderId="0" xfId="99" applyFont="1" applyFill="1" applyAlignment="1">
      <alignment horizontal="left" vertical="center" wrapText="1"/>
    </xf>
    <xf numFmtId="3" fontId="63" fillId="12" borderId="0" xfId="99" applyNumberFormat="1" applyFont="1" applyFill="1" applyAlignment="1">
      <alignment horizontal="center" vertical="center"/>
    </xf>
    <xf numFmtId="0" fontId="80" fillId="22" borderId="26" xfId="99" applyFont="1" applyFill="1" applyBorder="1" applyAlignment="1">
      <alignment horizontal="left" vertical="center"/>
    </xf>
    <xf numFmtId="0" fontId="63" fillId="11" borderId="26" xfId="99" applyFont="1" applyFill="1" applyBorder="1" applyAlignment="1">
      <alignment horizontal="center" vertical="center"/>
    </xf>
    <xf numFmtId="0" fontId="81" fillId="22" borderId="26" xfId="99" applyFont="1" applyFill="1" applyBorder="1" applyAlignment="1">
      <alignment horizontal="left" vertical="center"/>
    </xf>
    <xf numFmtId="0" fontId="63" fillId="12" borderId="0" xfId="99" applyFont="1" applyFill="1" applyAlignment="1">
      <alignment horizontal="left" wrapText="1"/>
    </xf>
    <xf numFmtId="0" fontId="80" fillId="24" borderId="80" xfId="84" applyFont="1" applyFill="1" applyBorder="1" applyAlignment="1">
      <alignment horizontal="left" vertical="center"/>
    </xf>
    <xf numFmtId="0" fontId="80" fillId="24" borderId="48" xfId="84" applyFont="1" applyFill="1" applyBorder="1" applyAlignment="1">
      <alignment horizontal="left" vertical="center"/>
    </xf>
    <xf numFmtId="0" fontId="80" fillId="24" borderId="84" xfId="84" applyFont="1" applyFill="1" applyBorder="1" applyAlignment="1">
      <alignment horizontal="left" vertical="center"/>
    </xf>
    <xf numFmtId="0" fontId="80" fillId="24" borderId="46" xfId="84" applyFont="1" applyFill="1" applyBorder="1" applyAlignment="1">
      <alignment horizontal="left" vertical="center"/>
    </xf>
    <xf numFmtId="0" fontId="80" fillId="24" borderId="48" xfId="84" applyFont="1" applyFill="1" applyBorder="1" applyAlignment="1">
      <alignment horizontal="center" vertical="center"/>
    </xf>
    <xf numFmtId="0" fontId="80" fillId="24" borderId="81" xfId="84" applyFont="1" applyFill="1" applyBorder="1" applyAlignment="1">
      <alignment horizontal="center" vertical="center"/>
    </xf>
    <xf numFmtId="0" fontId="80" fillId="24" borderId="46" xfId="84" applyFont="1" applyFill="1" applyBorder="1" applyAlignment="1">
      <alignment horizontal="center" vertical="center"/>
    </xf>
    <xf numFmtId="0" fontId="80" fillId="24" borderId="46" xfId="84" applyFont="1" applyFill="1" applyBorder="1" applyAlignment="1">
      <alignment horizontal="center" vertical="center" wrapText="1"/>
    </xf>
    <xf numFmtId="0" fontId="80" fillId="24" borderId="85" xfId="84" applyFont="1" applyFill="1" applyBorder="1" applyAlignment="1">
      <alignment horizontal="center" vertical="center" wrapText="1"/>
    </xf>
    <xf numFmtId="176" fontId="63" fillId="7" borderId="34" xfId="99" applyNumberFormat="1" applyFont="1" applyFill="1" applyBorder="1" applyAlignment="1">
      <alignment horizontal="center" vertical="center"/>
    </xf>
    <xf numFmtId="167" fontId="63" fillId="6" borderId="48" xfId="84" applyNumberFormat="1" applyFont="1" applyFill="1" applyBorder="1" applyAlignment="1">
      <alignment horizontal="center" vertical="center"/>
    </xf>
    <xf numFmtId="167" fontId="63" fillId="6" borderId="47" xfId="84" applyNumberFormat="1" applyFont="1" applyFill="1" applyBorder="1" applyAlignment="1">
      <alignment horizontal="center" vertical="center"/>
    </xf>
    <xf numFmtId="0" fontId="63" fillId="6" borderId="113" xfId="84" applyFont="1" applyFill="1" applyBorder="1" applyAlignment="1">
      <alignment horizontal="center" vertical="center"/>
    </xf>
    <xf numFmtId="0" fontId="63" fillId="6" borderId="114" xfId="84" applyFont="1" applyFill="1" applyBorder="1" applyAlignment="1">
      <alignment horizontal="center" vertical="center"/>
    </xf>
    <xf numFmtId="0" fontId="63" fillId="6" borderId="65" xfId="84" applyFont="1" applyFill="1" applyBorder="1" applyAlignment="1">
      <alignment horizontal="left" vertical="center"/>
    </xf>
    <xf numFmtId="2" fontId="63" fillId="12" borderId="65" xfId="84" applyNumberFormat="1" applyFont="1" applyFill="1" applyBorder="1" applyAlignment="1">
      <alignment horizontal="center" vertical="center"/>
    </xf>
    <xf numFmtId="167" fontId="63" fillId="6" borderId="65" xfId="84" applyNumberFormat="1" applyFont="1" applyFill="1" applyBorder="1" applyAlignment="1">
      <alignment horizontal="center" vertical="center"/>
    </xf>
    <xf numFmtId="0" fontId="63" fillId="13" borderId="65" xfId="84" applyFont="1" applyFill="1" applyBorder="1" applyAlignment="1" applyProtection="1">
      <alignment horizontal="center" vertical="center"/>
      <protection locked="0"/>
    </xf>
    <xf numFmtId="0" fontId="73" fillId="22" borderId="51" xfId="99" applyFont="1" applyFill="1" applyBorder="1" applyAlignment="1">
      <alignment horizontal="center" vertical="center"/>
    </xf>
    <xf numFmtId="0" fontId="73" fillId="22" borderId="50" xfId="99" applyFont="1" applyFill="1" applyBorder="1" applyAlignment="1">
      <alignment horizontal="center" vertical="center"/>
    </xf>
    <xf numFmtId="0" fontId="63" fillId="6" borderId="48" xfId="84" applyFont="1" applyFill="1" applyBorder="1" applyAlignment="1">
      <alignment vertical="center" wrapText="1"/>
    </xf>
    <xf numFmtId="0" fontId="63" fillId="6" borderId="47" xfId="84" applyFont="1" applyFill="1" applyBorder="1" applyAlignment="1">
      <alignment vertical="center" wrapText="1"/>
    </xf>
    <xf numFmtId="0" fontId="63" fillId="6" borderId="65" xfId="84" applyFont="1" applyFill="1" applyBorder="1" applyAlignment="1">
      <alignment horizontal="left" vertical="center" wrapText="1"/>
    </xf>
    <xf numFmtId="0" fontId="63" fillId="12" borderId="65" xfId="84" applyFont="1" applyFill="1" applyBorder="1" applyAlignment="1">
      <alignment horizontal="center" vertical="center"/>
    </xf>
    <xf numFmtId="168" fontId="63" fillId="12" borderId="65" xfId="84" applyNumberFormat="1" applyFont="1" applyFill="1" applyBorder="1" applyAlignment="1">
      <alignment horizontal="center" vertical="center"/>
    </xf>
    <xf numFmtId="0" fontId="63" fillId="6" borderId="115" xfId="84" applyFont="1" applyFill="1" applyBorder="1" applyAlignment="1">
      <alignment horizontal="left" vertical="center"/>
    </xf>
    <xf numFmtId="0" fontId="63" fillId="6" borderId="116" xfId="84" applyFont="1" applyFill="1" applyBorder="1" applyAlignment="1">
      <alignment horizontal="left" vertical="center"/>
    </xf>
    <xf numFmtId="0" fontId="63" fillId="6" borderId="117" xfId="84" applyFont="1" applyFill="1" applyBorder="1" applyAlignment="1">
      <alignment horizontal="left" vertical="center"/>
    </xf>
    <xf numFmtId="171" fontId="63" fillId="12" borderId="65" xfId="88" applyNumberFormat="1" applyFont="1" applyFill="1" applyBorder="1" applyAlignment="1" applyProtection="1">
      <alignment horizontal="center" vertical="center"/>
    </xf>
    <xf numFmtId="171" fontId="63" fillId="12" borderId="65" xfId="88" applyNumberFormat="1" applyFont="1" applyFill="1" applyBorder="1" applyAlignment="1" applyProtection="1">
      <alignment vertical="center"/>
    </xf>
    <xf numFmtId="170" fontId="63" fillId="12" borderId="65" xfId="84" applyNumberFormat="1" applyFont="1" applyFill="1" applyBorder="1" applyAlignment="1">
      <alignment horizontal="center" vertical="center"/>
    </xf>
    <xf numFmtId="0" fontId="22" fillId="11" borderId="17" xfId="100" applyFill="1" applyBorder="1" applyAlignment="1" applyProtection="1">
      <alignment horizontal="left" vertical="center"/>
    </xf>
    <xf numFmtId="0" fontId="22" fillId="11" borderId="18" xfId="100" applyFill="1" applyBorder="1" applyAlignment="1" applyProtection="1">
      <alignment horizontal="left" vertical="center"/>
    </xf>
    <xf numFmtId="0" fontId="22" fillId="11" borderId="19" xfId="100" applyFill="1" applyBorder="1" applyAlignment="1" applyProtection="1">
      <alignment horizontal="left" vertical="center"/>
    </xf>
    <xf numFmtId="0" fontId="63" fillId="6" borderId="84" xfId="99" applyFont="1" applyFill="1" applyBorder="1" applyAlignment="1">
      <alignment horizontal="left" vertical="center" wrapText="1"/>
    </xf>
    <xf numFmtId="0" fontId="63" fillId="6" borderId="80" xfId="99" applyFont="1" applyFill="1" applyBorder="1" applyAlignment="1">
      <alignment horizontal="left" vertical="center" wrapText="1"/>
    </xf>
    <xf numFmtId="0" fontId="63" fillId="6" borderId="46" xfId="99" applyFont="1" applyFill="1" applyBorder="1" applyAlignment="1">
      <alignment horizontal="center" vertical="center" wrapText="1"/>
    </xf>
    <xf numFmtId="0" fontId="63" fillId="6" borderId="48" xfId="99" applyFont="1" applyFill="1" applyBorder="1" applyAlignment="1">
      <alignment horizontal="center" vertical="center" wrapText="1"/>
    </xf>
    <xf numFmtId="0" fontId="46" fillId="0" borderId="58" xfId="84" applyBorder="1" applyAlignment="1">
      <alignment horizontal="center"/>
    </xf>
    <xf numFmtId="0" fontId="46" fillId="0" borderId="89" xfId="84" applyBorder="1" applyAlignment="1">
      <alignment horizontal="center"/>
    </xf>
    <xf numFmtId="172" fontId="63" fillId="12" borderId="58" xfId="84" applyNumberFormat="1" applyFont="1" applyFill="1" applyBorder="1" applyAlignment="1">
      <alignment horizontal="center" vertical="center"/>
    </xf>
    <xf numFmtId="172" fontId="63" fillId="12" borderId="89" xfId="84" applyNumberFormat="1" applyFont="1" applyFill="1" applyBorder="1" applyAlignment="1">
      <alignment horizontal="center" vertical="center"/>
    </xf>
    <xf numFmtId="0" fontId="97" fillId="21" borderId="0" xfId="0" applyFont="1" applyFill="1" applyAlignment="1">
      <alignment vertical="center" wrapText="1"/>
    </xf>
    <xf numFmtId="0" fontId="97" fillId="21" borderId="59" xfId="0" applyFont="1" applyFill="1" applyBorder="1" applyAlignment="1">
      <alignment vertical="center" wrapText="1"/>
    </xf>
    <xf numFmtId="0" fontId="63" fillId="11" borderId="17" xfId="90" applyFont="1" applyFill="1" applyBorder="1" applyAlignment="1" applyProtection="1">
      <alignment horizontal="left" vertical="center"/>
    </xf>
    <xf numFmtId="0" fontId="63" fillId="11" borderId="18" xfId="90" applyFont="1" applyFill="1" applyBorder="1" applyAlignment="1" applyProtection="1">
      <alignment horizontal="left" vertical="center"/>
    </xf>
    <xf numFmtId="0" fontId="63" fillId="11" borderId="19" xfId="90" applyFont="1" applyFill="1" applyBorder="1" applyAlignment="1" applyProtection="1">
      <alignment horizontal="left" vertical="center"/>
    </xf>
    <xf numFmtId="0" fontId="111" fillId="0" borderId="0" xfId="99" applyFont="1" applyAlignment="1">
      <alignment vertical="center"/>
    </xf>
    <xf numFmtId="0" fontId="73" fillId="23" borderId="34" xfId="99" applyFont="1" applyFill="1" applyBorder="1" applyAlignment="1">
      <alignment horizontal="center" vertical="center"/>
    </xf>
    <xf numFmtId="0" fontId="73" fillId="23" borderId="63" xfId="99" quotePrefix="1" applyFont="1" applyFill="1" applyBorder="1" applyAlignment="1">
      <alignment horizontal="left" vertical="center"/>
    </xf>
    <xf numFmtId="0" fontId="63" fillId="11" borderId="44" xfId="91" applyAlignment="1">
      <alignment vertical="center" wrapText="1"/>
    </xf>
    <xf numFmtId="0" fontId="63" fillId="11" borderId="44" xfId="91">
      <alignment vertical="center"/>
    </xf>
    <xf numFmtId="0" fontId="84" fillId="6" borderId="34" xfId="99" applyFont="1" applyFill="1" applyBorder="1" applyAlignment="1">
      <alignment horizontal="left" vertical="center" wrapText="1"/>
    </xf>
    <xf numFmtId="0" fontId="87" fillId="9" borderId="33" xfId="84" applyFont="1" applyFill="1" applyBorder="1" applyAlignment="1">
      <alignment horizontal="center" wrapText="1"/>
    </xf>
    <xf numFmtId="0" fontId="87" fillId="9" borderId="32" xfId="84" applyFont="1" applyFill="1" applyBorder="1" applyAlignment="1">
      <alignment horizontal="center" wrapText="1"/>
    </xf>
    <xf numFmtId="0" fontId="87" fillId="9" borderId="31" xfId="84" applyFont="1" applyFill="1" applyBorder="1" applyAlignment="1">
      <alignment horizontal="center" wrapText="1"/>
    </xf>
    <xf numFmtId="0" fontId="87" fillId="9" borderId="25" xfId="84" applyFont="1" applyFill="1" applyBorder="1" applyAlignment="1">
      <alignment horizontal="center" wrapText="1"/>
    </xf>
    <xf numFmtId="0" fontId="87" fillId="9" borderId="23" xfId="84" applyFont="1" applyFill="1" applyBorder="1" applyAlignment="1">
      <alignment horizontal="center" wrapText="1"/>
    </xf>
    <xf numFmtId="0" fontId="87" fillId="9" borderId="24" xfId="84" applyFont="1" applyFill="1" applyBorder="1" applyAlignment="1">
      <alignment horizontal="center" wrapText="1"/>
    </xf>
    <xf numFmtId="0" fontId="87" fillId="9" borderId="56" xfId="84" applyFont="1" applyFill="1" applyBorder="1" applyAlignment="1">
      <alignment horizontal="center" wrapText="1"/>
    </xf>
    <xf numFmtId="0" fontId="87" fillId="9" borderId="55" xfId="84" applyFont="1" applyFill="1" applyBorder="1" applyAlignment="1">
      <alignment horizontal="center" wrapText="1"/>
    </xf>
    <xf numFmtId="0" fontId="87" fillId="9" borderId="52" xfId="84" applyFont="1" applyFill="1" applyBorder="1" applyAlignment="1">
      <alignment horizontal="center" wrapText="1"/>
    </xf>
    <xf numFmtId="0" fontId="72" fillId="0" borderId="54" xfId="84" applyFont="1" applyBorder="1" applyAlignment="1">
      <alignment wrapText="1"/>
    </xf>
    <xf numFmtId="0" fontId="72" fillId="0" borderId="45" xfId="84" applyFont="1" applyBorder="1" applyAlignment="1">
      <alignment wrapText="1"/>
    </xf>
    <xf numFmtId="167" fontId="72" fillId="0" borderId="54" xfId="84" applyNumberFormat="1" applyFont="1" applyBorder="1" applyAlignment="1">
      <alignment horizontal="center"/>
    </xf>
    <xf numFmtId="167" fontId="72" fillId="0" borderId="45" xfId="84" applyNumberFormat="1" applyFont="1" applyBorder="1" applyAlignment="1">
      <alignment horizontal="center"/>
    </xf>
    <xf numFmtId="0" fontId="73" fillId="9" borderId="33" xfId="84" applyFont="1" applyFill="1" applyBorder="1" applyAlignment="1">
      <alignment horizontal="center" vertical="top" wrapText="1"/>
    </xf>
    <xf numFmtId="0" fontId="73" fillId="9" borderId="32" xfId="84" applyFont="1" applyFill="1" applyBorder="1" applyAlignment="1">
      <alignment horizontal="center" vertical="top" wrapText="1"/>
    </xf>
    <xf numFmtId="0" fontId="73" fillId="9" borderId="31" xfId="84" applyFont="1" applyFill="1" applyBorder="1" applyAlignment="1">
      <alignment horizontal="center" vertical="top" wrapText="1"/>
    </xf>
    <xf numFmtId="0" fontId="87" fillId="9" borderId="33" xfId="84" applyFont="1" applyFill="1" applyBorder="1" applyAlignment="1">
      <alignment horizontal="center" vertical="top" wrapText="1"/>
    </xf>
    <xf numFmtId="0" fontId="87" fillId="9" borderId="32" xfId="84" applyFont="1" applyFill="1" applyBorder="1" applyAlignment="1">
      <alignment horizontal="center" vertical="top" wrapText="1"/>
    </xf>
    <xf numFmtId="0" fontId="87" fillId="9" borderId="31" xfId="84" applyFont="1" applyFill="1" applyBorder="1" applyAlignment="1">
      <alignment horizontal="center" vertical="top" wrapText="1"/>
    </xf>
    <xf numFmtId="0" fontId="87" fillId="9" borderId="54" xfId="84" applyFont="1" applyFill="1" applyBorder="1" applyAlignment="1">
      <alignment horizontal="center" wrapText="1"/>
    </xf>
    <xf numFmtId="0" fontId="87" fillId="9" borderId="45" xfId="84" applyFont="1" applyFill="1" applyBorder="1" applyAlignment="1">
      <alignment horizontal="center" wrapText="1"/>
    </xf>
    <xf numFmtId="0" fontId="114" fillId="0" borderId="0" xfId="0" applyFont="1" applyAlignment="1">
      <alignment vertical="center"/>
    </xf>
    <xf numFmtId="0" fontId="116" fillId="21" borderId="59" xfId="0" applyFont="1" applyFill="1" applyBorder="1" applyAlignment="1">
      <alignment vertical="center" wrapText="1"/>
    </xf>
    <xf numFmtId="0" fontId="116" fillId="21" borderId="118" xfId="0" applyFont="1" applyFill="1" applyBorder="1" applyAlignment="1">
      <alignment horizontal="center" vertical="center" wrapText="1"/>
    </xf>
    <xf numFmtId="0" fontId="117" fillId="0" borderId="119" xfId="0" applyFont="1" applyBorder="1" applyAlignment="1">
      <alignment horizontal="center" vertical="center" wrapText="1"/>
    </xf>
  </cellXfs>
  <cellStyles count="101">
    <cellStyle name="Comma" xfId="82" builtinId="3"/>
    <cellStyle name="Comma 2" xfId="88" xr:uid="{A12BBEAD-BCF8-49CE-B705-0DF73C2E90BA}"/>
    <cellStyle name="Currency" xfId="96" builtinId="4"/>
    <cellStyle name="Currency 2" xfId="86" xr:uid="{48E9535A-4BBB-4913-A356-80C910C0DABD}"/>
    <cellStyle name="Followed Hyperlink" xfId="72" builtinId="9" hidden="1"/>
    <cellStyle name="Followed Hyperlink" xfId="76" builtinId="9" hidden="1"/>
    <cellStyle name="Followed Hyperlink" xfId="80" builtinId="9" hidden="1"/>
    <cellStyle name="Followed Hyperlink" xfId="78" builtinId="9" hidden="1"/>
    <cellStyle name="Followed Hyperlink" xfId="74" builtinId="9" hidden="1"/>
    <cellStyle name="Followed Hyperlink" xfId="70" builtinId="9" hidden="1"/>
    <cellStyle name="Followed Hyperlink" xfId="24" builtinId="9" hidden="1"/>
    <cellStyle name="Followed Hyperlink" xfId="28" builtinId="9" hidden="1"/>
    <cellStyle name="Followed Hyperlink" xfId="30" builtinId="9" hidden="1"/>
    <cellStyle name="Followed Hyperlink" xfId="32" builtinId="9" hidden="1"/>
    <cellStyle name="Followed Hyperlink" xfId="36" builtinId="9" hidden="1"/>
    <cellStyle name="Followed Hyperlink" xfId="38" builtinId="9" hidden="1"/>
    <cellStyle name="Followed Hyperlink" xfId="40" builtinId="9" hidden="1"/>
    <cellStyle name="Followed Hyperlink" xfId="44" builtinId="9" hidden="1"/>
    <cellStyle name="Followed Hyperlink" xfId="46" builtinId="9" hidden="1"/>
    <cellStyle name="Followed Hyperlink" xfId="48" builtinId="9" hidden="1"/>
    <cellStyle name="Followed Hyperlink" xfId="52" builtinId="9" hidden="1"/>
    <cellStyle name="Followed Hyperlink" xfId="54" builtinId="9" hidden="1"/>
    <cellStyle name="Followed Hyperlink" xfId="56" builtinId="9" hidden="1"/>
    <cellStyle name="Followed Hyperlink" xfId="60" builtinId="9" hidden="1"/>
    <cellStyle name="Followed Hyperlink" xfId="62" builtinId="9" hidden="1"/>
    <cellStyle name="Followed Hyperlink" xfId="64" builtinId="9" hidden="1"/>
    <cellStyle name="Followed Hyperlink" xfId="68" builtinId="9" hidden="1"/>
    <cellStyle name="Followed Hyperlink" xfId="66" builtinId="9" hidden="1"/>
    <cellStyle name="Followed Hyperlink" xfId="58" builtinId="9" hidden="1"/>
    <cellStyle name="Followed Hyperlink" xfId="50" builtinId="9" hidden="1"/>
    <cellStyle name="Followed Hyperlink" xfId="42" builtinId="9" hidden="1"/>
    <cellStyle name="Followed Hyperlink" xfId="34" builtinId="9" hidden="1"/>
    <cellStyle name="Followed Hyperlink" xfId="26"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10" builtinId="9" hidden="1"/>
    <cellStyle name="Followed Hyperlink" xfId="6" builtinId="9" hidden="1"/>
    <cellStyle name="Followed Hyperlink" xfId="8" builtinId="9" hidden="1"/>
    <cellStyle name="Followed Hyperlink" xfId="4" builtinId="9" hidden="1"/>
    <cellStyle name="Followed Hyperlink" xfId="2" builtinId="9" hidden="1"/>
    <cellStyle name="Guide 2" xfId="91" xr:uid="{DC938552-4938-476D-9EEF-8BB3938764CC}"/>
    <cellStyle name="Heading 1" xfId="97" builtinId="16"/>
    <cellStyle name="Hyperlink" xfId="55" builtinId="8" hidden="1"/>
    <cellStyle name="Hyperlink" xfId="57" builtinId="8" hidden="1"/>
    <cellStyle name="Hyperlink" xfId="61" builtinId="8" hidden="1"/>
    <cellStyle name="Hyperlink" xfId="63" builtinId="8" hidden="1"/>
    <cellStyle name="Hyperlink" xfId="65" builtinId="8" hidden="1"/>
    <cellStyle name="Hyperlink" xfId="69" builtinId="8" hidden="1"/>
    <cellStyle name="Hyperlink" xfId="71" builtinId="8" hidden="1"/>
    <cellStyle name="Hyperlink" xfId="73" builtinId="8" hidden="1"/>
    <cellStyle name="Hyperlink" xfId="77" builtinId="8" hidden="1"/>
    <cellStyle name="Hyperlink" xfId="79" builtinId="8" hidden="1"/>
    <cellStyle name="Hyperlink" xfId="75" builtinId="8" hidden="1"/>
    <cellStyle name="Hyperlink" xfId="67" builtinId="8" hidden="1"/>
    <cellStyle name="Hyperlink" xfId="59" builtinId="8" hidden="1"/>
    <cellStyle name="Hyperlink" xfId="23" builtinId="8" hidden="1"/>
    <cellStyle name="Hyperlink" xfId="25"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43" builtinId="8" hidden="1"/>
    <cellStyle name="Hyperlink" xfId="27"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5" builtinId="8" hidden="1"/>
    <cellStyle name="Hyperlink" xfId="7" builtinId="8" hidden="1"/>
    <cellStyle name="Hyperlink" xfId="9" builtinId="8" hidden="1"/>
    <cellStyle name="Hyperlink" xfId="3" builtinId="8" hidden="1"/>
    <cellStyle name="Hyperlink" xfId="1" builtinId="8" hidden="1"/>
    <cellStyle name="Hyperlink" xfId="100" builtinId="8"/>
    <cellStyle name="Hyperlink 2" xfId="90" xr:uid="{D80E7DEB-BF43-4C40-B277-BD69021E181E}"/>
    <cellStyle name="Hyperlink 3" xfId="95" xr:uid="{AE1CE98B-9FF5-4206-8045-ED5AEF4BF1F6}"/>
    <cellStyle name="Normal" xfId="0" builtinId="0"/>
    <cellStyle name="Normal 2" xfId="81" xr:uid="{9536E22F-F561-47B5-B69F-4DEF154759D8}"/>
    <cellStyle name="Normal 2 2" xfId="84" xr:uid="{5749FFBF-9983-4708-946C-EFFF6D9E8AC1}"/>
    <cellStyle name="Normal 2 3" xfId="87" xr:uid="{235FE15D-5045-40A8-89CD-F9E09DB4D66E}"/>
    <cellStyle name="Normal 3" xfId="92" xr:uid="{1D643F36-E354-418C-98F2-521475E2B5E9}"/>
    <cellStyle name="Normal 3 2" xfId="93" xr:uid="{DDAC7F30-9272-45E8-9346-AFDE749BD2D6}"/>
    <cellStyle name="Normal 3 3" xfId="94" xr:uid="{C29FE08E-AA36-4563-BD16-CDD3C0284C31}"/>
    <cellStyle name="Normal 3 4" xfId="98" xr:uid="{7CCD4969-16D9-4283-AB2E-6EE0057CD867}"/>
    <cellStyle name="Normal 4" xfId="85" xr:uid="{2B503718-233B-4094-8BC1-130161330E56}"/>
    <cellStyle name="Normal 5" xfId="99" xr:uid="{DDB4DFD7-E6B5-41F1-9337-925998B14AFF}"/>
    <cellStyle name="Percent" xfId="83" builtinId="5"/>
    <cellStyle name="Percent 2" xfId="89" xr:uid="{26281F73-04E5-448F-AAE2-179826EC63C2}"/>
  </cellStyles>
  <dxfs count="6">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border diagonalUp="0" diagonalDown="0">
        <left/>
        <right/>
        <top style="thin">
          <color theme="0"/>
        </top>
        <bottom style="thin">
          <color theme="0"/>
        </bottom>
      </border>
    </dxf>
    <dxf>
      <border outline="0">
        <bottom style="thin">
          <color theme="0"/>
        </bottom>
      </border>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border diagonalUp="0" diagonalDown="0">
        <left/>
        <right/>
        <top style="thin">
          <color theme="0"/>
        </top>
        <bottom style="thin">
          <color theme="0"/>
        </bottom>
      </border>
    </dxf>
    <dxf>
      <border outline="0">
        <bottom style="thin">
          <color theme="0"/>
        </bottom>
      </border>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dxf>
  </dxfs>
  <tableStyles count="0" defaultTableStyle="TableStyleMedium9" defaultPivotStyle="PivotStyleMedium4"/>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eetMetadata" Target="metadata.xml"/></Relationships>
</file>

<file path=xl/ctrlProps/ctrlProp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1</xdr:col>
      <xdr:colOff>1818640</xdr:colOff>
      <xdr:row>14</xdr:row>
      <xdr:rowOff>375920</xdr:rowOff>
    </xdr:from>
    <xdr:to>
      <xdr:col>2</xdr:col>
      <xdr:colOff>1158240</xdr:colOff>
      <xdr:row>15</xdr:row>
      <xdr:rowOff>0</xdr:rowOff>
    </xdr:to>
    <xdr:sp macro="[0]!InsertCopyRow1" textlink="">
      <xdr:nvSpPr>
        <xdr:cNvPr id="3" name="TextBox 2">
          <a:extLst>
            <a:ext uri="{FF2B5EF4-FFF2-40B4-BE49-F238E27FC236}">
              <a16:creationId xmlns:a16="http://schemas.microsoft.com/office/drawing/2014/main" id="{00000000-0008-0000-0000-000003000000}"/>
            </a:ext>
          </a:extLst>
        </xdr:cNvPr>
        <xdr:cNvSpPr txBox="1"/>
      </xdr:nvSpPr>
      <xdr:spPr>
        <a:xfrm>
          <a:off x="2052320" y="2956560"/>
          <a:ext cx="1320800" cy="518160"/>
        </a:xfrm>
        <a:prstGeom prst="rect">
          <a:avLst/>
        </a:prstGeom>
        <a:solidFill>
          <a:schemeClr val="tx2">
            <a:lumMod val="60000"/>
            <a:lumOff val="40000"/>
          </a:schemeClr>
        </a:solidFill>
        <a:ln w="9525" cmpd="sng">
          <a:noFill/>
        </a:ln>
        <a:effectLst>
          <a:softEdge rad="12700"/>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pPr algn="ctr"/>
          <a:r>
            <a:rPr lang="en-US" sz="1000" b="0" i="0">
              <a:solidFill>
                <a:schemeClr val="bg1"/>
              </a:solidFill>
              <a:latin typeface="Calibri"/>
            </a:rPr>
            <a:t>Select</a:t>
          </a:r>
          <a:r>
            <a:rPr lang="en-US" sz="1000" b="0" i="0" baseline="0">
              <a:solidFill>
                <a:schemeClr val="bg1"/>
              </a:solidFill>
              <a:latin typeface="Calibri"/>
            </a:rPr>
            <a:t> the </a:t>
          </a:r>
          <a:r>
            <a:rPr lang="en-US" sz="1000" b="0" i="0">
              <a:solidFill>
                <a:schemeClr val="bg1"/>
              </a:solidFill>
              <a:latin typeface="Calibri"/>
            </a:rPr>
            <a:t>row above and click to insert new row</a:t>
          </a:r>
        </a:p>
      </xdr:txBody>
    </xdr:sp>
    <xdr:clientData/>
  </xdr:twoCellAnchor>
  <mc:AlternateContent xmlns:mc="http://schemas.openxmlformats.org/markup-compatibility/2006">
    <mc:Choice xmlns:a14="http://schemas.microsoft.com/office/drawing/2010/main" Requires="a14">
      <xdr:twoCellAnchor editAs="oneCell">
        <xdr:from>
          <xdr:col>8</xdr:col>
          <xdr:colOff>830580</xdr:colOff>
          <xdr:row>2</xdr:row>
          <xdr:rowOff>289560</xdr:rowOff>
        </xdr:from>
        <xdr:to>
          <xdr:col>8</xdr:col>
          <xdr:colOff>1211580</xdr:colOff>
          <xdr:row>2</xdr:row>
          <xdr:rowOff>609600</xdr:rowOff>
        </xdr:to>
        <xdr:sp macro="" textlink="">
          <xdr:nvSpPr>
            <xdr:cNvPr id="2161" name="Check Box 113" hidden="1">
              <a:extLst>
                <a:ext uri="{63B3BB69-23CF-44E3-9099-C40C66FF867C}">
                  <a14:compatExt spid="_x0000_s2161"/>
                </a:ext>
                <a:ext uri="{FF2B5EF4-FFF2-40B4-BE49-F238E27FC236}">
                  <a16:creationId xmlns:a16="http://schemas.microsoft.com/office/drawing/2014/main" id="{00000000-0008-0000-0000-00007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0</xdr:colOff>
      <xdr:row>5</xdr:row>
      <xdr:rowOff>161925</xdr:rowOff>
    </xdr:from>
    <xdr:to>
      <xdr:col>0</xdr:col>
      <xdr:colOff>0</xdr:colOff>
      <xdr:row>6</xdr:row>
      <xdr:rowOff>0</xdr:rowOff>
    </xdr:to>
    <xdr:cxnSp macro="">
      <xdr:nvCxnSpPr>
        <xdr:cNvPr id="2" name="AutoShape 12">
          <a:extLst>
            <a:ext uri="{FF2B5EF4-FFF2-40B4-BE49-F238E27FC236}">
              <a16:creationId xmlns:a16="http://schemas.microsoft.com/office/drawing/2014/main" id="{00000000-0008-0000-0500-000002000000}"/>
            </a:ext>
          </a:extLst>
        </xdr:cNvPr>
        <xdr:cNvCxnSpPr>
          <a:cxnSpLocks noChangeShapeType="1"/>
        </xdr:cNvCxnSpPr>
      </xdr:nvCxnSpPr>
      <xdr:spPr bwMode="auto">
        <a:xfrm>
          <a:off x="0" y="1704975"/>
          <a:ext cx="0" cy="0"/>
        </a:xfrm>
        <a:prstGeom prst="straightConnector1">
          <a:avLst/>
        </a:prstGeom>
        <a:noFill/>
        <a:ln w="15875">
          <a:solidFill>
            <a:srgbClr val="000000"/>
          </a:solidFill>
          <a:round/>
          <a:headEnd/>
          <a:tailEnd/>
        </a:ln>
        <a:extLst>
          <a:ext uri="{909E8E84-426E-40DD-AFC4-6F175D3DCCD1}">
            <a14:hiddenFill xmlns:a14="http://schemas.microsoft.com/office/drawing/2010/main">
              <a:noFill/>
            </a14:hiddenFill>
          </a:ext>
        </a:extLst>
      </xdr:spPr>
    </xdr:cxn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2</xdr:row>
      <xdr:rowOff>0</xdr:rowOff>
    </xdr:from>
    <xdr:to>
      <xdr:col>0</xdr:col>
      <xdr:colOff>0</xdr:colOff>
      <xdr:row>2</xdr:row>
      <xdr:rowOff>0</xdr:rowOff>
    </xdr:to>
    <xdr:cxnSp macro="">
      <xdr:nvCxnSpPr>
        <xdr:cNvPr id="2" name="AutoShape 16">
          <a:extLst>
            <a:ext uri="{FF2B5EF4-FFF2-40B4-BE49-F238E27FC236}">
              <a16:creationId xmlns:a16="http://schemas.microsoft.com/office/drawing/2014/main" id="{00000000-0008-0000-0600-000002000000}"/>
            </a:ext>
          </a:extLst>
        </xdr:cNvPr>
        <xdr:cNvCxnSpPr>
          <a:cxnSpLocks noChangeShapeType="1"/>
        </xdr:cNvCxnSpPr>
      </xdr:nvCxnSpPr>
      <xdr:spPr bwMode="auto">
        <a:xfrm>
          <a:off x="0" y="381000"/>
          <a:ext cx="0" cy="0"/>
        </a:xfrm>
        <a:prstGeom prst="straightConnector1">
          <a:avLst/>
        </a:prstGeom>
        <a:noFill/>
        <a:ln w="15875">
          <a:solidFill>
            <a:srgbClr val="000000"/>
          </a:solidFill>
          <a:round/>
          <a:headEnd/>
          <a:tailEnd/>
        </a:ln>
        <a:extLst>
          <a:ext uri="{909E8E84-426E-40DD-AFC4-6F175D3DCCD1}">
            <a14:hiddenFill xmlns:a14="http://schemas.microsoft.com/office/drawing/2010/main">
              <a:noFill/>
            </a14:hiddenFill>
          </a:ext>
        </a:extLst>
      </xdr:spPr>
    </xdr:cxnSp>
    <xdr:clientData/>
  </xdr:twoCellAnchor>
  <xdr:twoCellAnchor>
    <xdr:from>
      <xdr:col>0</xdr:col>
      <xdr:colOff>0</xdr:colOff>
      <xdr:row>2</xdr:row>
      <xdr:rowOff>0</xdr:rowOff>
    </xdr:from>
    <xdr:to>
      <xdr:col>0</xdr:col>
      <xdr:colOff>0</xdr:colOff>
      <xdr:row>2</xdr:row>
      <xdr:rowOff>0</xdr:rowOff>
    </xdr:to>
    <xdr:cxnSp macro="">
      <xdr:nvCxnSpPr>
        <xdr:cNvPr id="3" name="AutoShape 15">
          <a:extLst>
            <a:ext uri="{FF2B5EF4-FFF2-40B4-BE49-F238E27FC236}">
              <a16:creationId xmlns:a16="http://schemas.microsoft.com/office/drawing/2014/main" id="{00000000-0008-0000-0600-000003000000}"/>
            </a:ext>
          </a:extLst>
        </xdr:cNvPr>
        <xdr:cNvCxnSpPr>
          <a:cxnSpLocks noChangeShapeType="1"/>
        </xdr:cNvCxnSpPr>
      </xdr:nvCxnSpPr>
      <xdr:spPr bwMode="auto">
        <a:xfrm>
          <a:off x="0" y="381000"/>
          <a:ext cx="0" cy="0"/>
        </a:xfrm>
        <a:prstGeom prst="straightConnector1">
          <a:avLst/>
        </a:prstGeom>
        <a:noFill/>
        <a:ln w="15875">
          <a:solidFill>
            <a:srgbClr val="000000"/>
          </a:solidFill>
          <a:round/>
          <a:headEnd/>
          <a:tailEnd/>
        </a:ln>
        <a:extLst>
          <a:ext uri="{909E8E84-426E-40DD-AFC4-6F175D3DCCD1}">
            <a14:hiddenFill xmlns:a14="http://schemas.microsoft.com/office/drawing/2010/main">
              <a:noFill/>
            </a14:hiddenFill>
          </a:ext>
        </a:extLst>
      </xdr:spPr>
    </xdr:cxnSp>
    <xdr:clientData/>
  </xdr:twoCellAnchor>
  <xdr:twoCellAnchor>
    <xdr:from>
      <xdr:col>0</xdr:col>
      <xdr:colOff>0</xdr:colOff>
      <xdr:row>2</xdr:row>
      <xdr:rowOff>0</xdr:rowOff>
    </xdr:from>
    <xdr:to>
      <xdr:col>0</xdr:col>
      <xdr:colOff>0</xdr:colOff>
      <xdr:row>2</xdr:row>
      <xdr:rowOff>0</xdr:rowOff>
    </xdr:to>
    <xdr:cxnSp macro="">
      <xdr:nvCxnSpPr>
        <xdr:cNvPr id="4" name="AutoShape 14">
          <a:extLst>
            <a:ext uri="{FF2B5EF4-FFF2-40B4-BE49-F238E27FC236}">
              <a16:creationId xmlns:a16="http://schemas.microsoft.com/office/drawing/2014/main" id="{00000000-0008-0000-0600-000004000000}"/>
            </a:ext>
          </a:extLst>
        </xdr:cNvPr>
        <xdr:cNvCxnSpPr>
          <a:cxnSpLocks noChangeShapeType="1"/>
        </xdr:cNvCxnSpPr>
      </xdr:nvCxnSpPr>
      <xdr:spPr bwMode="auto">
        <a:xfrm>
          <a:off x="0" y="381000"/>
          <a:ext cx="0" cy="0"/>
        </a:xfrm>
        <a:prstGeom prst="straightConnector1">
          <a:avLst/>
        </a:prstGeom>
        <a:noFill/>
        <a:ln w="15875">
          <a:solidFill>
            <a:srgbClr val="000000"/>
          </a:solidFill>
          <a:round/>
          <a:headEnd/>
          <a:tailEnd/>
        </a:ln>
        <a:extLst>
          <a:ext uri="{909E8E84-426E-40DD-AFC4-6F175D3DCCD1}">
            <a14:hiddenFill xmlns:a14="http://schemas.microsoft.com/office/drawing/2010/main">
              <a:noFill/>
            </a14:hiddenFill>
          </a:ext>
        </a:extLst>
      </xdr:spPr>
    </xdr:cxn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2</xdr:row>
      <xdr:rowOff>0</xdr:rowOff>
    </xdr:from>
    <xdr:to>
      <xdr:col>0</xdr:col>
      <xdr:colOff>0</xdr:colOff>
      <xdr:row>2</xdr:row>
      <xdr:rowOff>0</xdr:rowOff>
    </xdr:to>
    <xdr:cxnSp macro="">
      <xdr:nvCxnSpPr>
        <xdr:cNvPr id="2" name="AutoShape 16">
          <a:extLst>
            <a:ext uri="{FF2B5EF4-FFF2-40B4-BE49-F238E27FC236}">
              <a16:creationId xmlns:a16="http://schemas.microsoft.com/office/drawing/2014/main" id="{00000000-0008-0000-0700-000002000000}"/>
            </a:ext>
          </a:extLst>
        </xdr:cNvPr>
        <xdr:cNvCxnSpPr>
          <a:cxnSpLocks noChangeShapeType="1"/>
        </xdr:cNvCxnSpPr>
      </xdr:nvCxnSpPr>
      <xdr:spPr bwMode="auto">
        <a:xfrm>
          <a:off x="0" y="381000"/>
          <a:ext cx="0" cy="0"/>
        </a:xfrm>
        <a:prstGeom prst="straightConnector1">
          <a:avLst/>
        </a:prstGeom>
        <a:noFill/>
        <a:ln w="15875">
          <a:solidFill>
            <a:srgbClr val="000000"/>
          </a:solidFill>
          <a:round/>
          <a:headEnd/>
          <a:tailEnd/>
        </a:ln>
        <a:extLst>
          <a:ext uri="{909E8E84-426E-40DD-AFC4-6F175D3DCCD1}">
            <a14:hiddenFill xmlns:a14="http://schemas.microsoft.com/office/drawing/2010/main">
              <a:noFill/>
            </a14:hiddenFill>
          </a:ext>
        </a:extLst>
      </xdr:spPr>
    </xdr:cxnSp>
    <xdr:clientData/>
  </xdr:twoCellAnchor>
  <xdr:twoCellAnchor>
    <xdr:from>
      <xdr:col>0</xdr:col>
      <xdr:colOff>0</xdr:colOff>
      <xdr:row>2</xdr:row>
      <xdr:rowOff>0</xdr:rowOff>
    </xdr:from>
    <xdr:to>
      <xdr:col>0</xdr:col>
      <xdr:colOff>0</xdr:colOff>
      <xdr:row>2</xdr:row>
      <xdr:rowOff>0</xdr:rowOff>
    </xdr:to>
    <xdr:cxnSp macro="">
      <xdr:nvCxnSpPr>
        <xdr:cNvPr id="3" name="AutoShape 15">
          <a:extLst>
            <a:ext uri="{FF2B5EF4-FFF2-40B4-BE49-F238E27FC236}">
              <a16:creationId xmlns:a16="http://schemas.microsoft.com/office/drawing/2014/main" id="{00000000-0008-0000-0700-000003000000}"/>
            </a:ext>
          </a:extLst>
        </xdr:cNvPr>
        <xdr:cNvCxnSpPr>
          <a:cxnSpLocks noChangeShapeType="1"/>
        </xdr:cNvCxnSpPr>
      </xdr:nvCxnSpPr>
      <xdr:spPr bwMode="auto">
        <a:xfrm>
          <a:off x="0" y="381000"/>
          <a:ext cx="0" cy="0"/>
        </a:xfrm>
        <a:prstGeom prst="straightConnector1">
          <a:avLst/>
        </a:prstGeom>
        <a:noFill/>
        <a:ln w="15875">
          <a:solidFill>
            <a:srgbClr val="000000"/>
          </a:solidFill>
          <a:round/>
          <a:headEnd/>
          <a:tailEnd/>
        </a:ln>
        <a:extLst>
          <a:ext uri="{909E8E84-426E-40DD-AFC4-6F175D3DCCD1}">
            <a14:hiddenFill xmlns:a14="http://schemas.microsoft.com/office/drawing/2010/main">
              <a:noFill/>
            </a14:hiddenFill>
          </a:ext>
        </a:extLst>
      </xdr:spPr>
    </xdr:cxnSp>
    <xdr:clientData/>
  </xdr:twoCellAnchor>
  <xdr:twoCellAnchor>
    <xdr:from>
      <xdr:col>0</xdr:col>
      <xdr:colOff>0</xdr:colOff>
      <xdr:row>2</xdr:row>
      <xdr:rowOff>0</xdr:rowOff>
    </xdr:from>
    <xdr:to>
      <xdr:col>0</xdr:col>
      <xdr:colOff>0</xdr:colOff>
      <xdr:row>2</xdr:row>
      <xdr:rowOff>0</xdr:rowOff>
    </xdr:to>
    <xdr:cxnSp macro="">
      <xdr:nvCxnSpPr>
        <xdr:cNvPr id="4" name="AutoShape 14">
          <a:extLst>
            <a:ext uri="{FF2B5EF4-FFF2-40B4-BE49-F238E27FC236}">
              <a16:creationId xmlns:a16="http://schemas.microsoft.com/office/drawing/2014/main" id="{00000000-0008-0000-0700-000004000000}"/>
            </a:ext>
          </a:extLst>
        </xdr:cNvPr>
        <xdr:cNvCxnSpPr>
          <a:cxnSpLocks noChangeShapeType="1"/>
        </xdr:cNvCxnSpPr>
      </xdr:nvCxnSpPr>
      <xdr:spPr bwMode="auto">
        <a:xfrm>
          <a:off x="0" y="381000"/>
          <a:ext cx="0" cy="0"/>
        </a:xfrm>
        <a:prstGeom prst="straightConnector1">
          <a:avLst/>
        </a:prstGeom>
        <a:noFill/>
        <a:ln w="15875">
          <a:solidFill>
            <a:srgbClr val="000000"/>
          </a:solidFill>
          <a:round/>
          <a:headEnd/>
          <a:tailEnd/>
        </a:ln>
        <a:extLst>
          <a:ext uri="{909E8E84-426E-40DD-AFC4-6F175D3DCCD1}">
            <a14:hiddenFill xmlns:a14="http://schemas.microsoft.com/office/drawing/2010/main">
              <a:noFill/>
            </a14:hiddenFill>
          </a:ext>
        </a:extLst>
      </xdr:spPr>
    </xdr:cxn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2</xdr:row>
      <xdr:rowOff>0</xdr:rowOff>
    </xdr:from>
    <xdr:to>
      <xdr:col>0</xdr:col>
      <xdr:colOff>0</xdr:colOff>
      <xdr:row>2</xdr:row>
      <xdr:rowOff>0</xdr:rowOff>
    </xdr:to>
    <xdr:cxnSp macro="">
      <xdr:nvCxnSpPr>
        <xdr:cNvPr id="2" name="AutoShape 16">
          <a:extLst>
            <a:ext uri="{FF2B5EF4-FFF2-40B4-BE49-F238E27FC236}">
              <a16:creationId xmlns:a16="http://schemas.microsoft.com/office/drawing/2014/main" id="{00000000-0008-0000-0800-000002000000}"/>
            </a:ext>
          </a:extLst>
        </xdr:cNvPr>
        <xdr:cNvCxnSpPr>
          <a:cxnSpLocks noChangeShapeType="1"/>
        </xdr:cNvCxnSpPr>
      </xdr:nvCxnSpPr>
      <xdr:spPr bwMode="auto">
        <a:xfrm>
          <a:off x="0" y="381000"/>
          <a:ext cx="0" cy="0"/>
        </a:xfrm>
        <a:prstGeom prst="straightConnector1">
          <a:avLst/>
        </a:prstGeom>
        <a:noFill/>
        <a:ln w="15875">
          <a:solidFill>
            <a:srgbClr val="000000"/>
          </a:solidFill>
          <a:round/>
          <a:headEnd/>
          <a:tailEnd/>
        </a:ln>
        <a:extLst>
          <a:ext uri="{909E8E84-426E-40DD-AFC4-6F175D3DCCD1}">
            <a14:hiddenFill xmlns:a14="http://schemas.microsoft.com/office/drawing/2010/main">
              <a:noFill/>
            </a14:hiddenFill>
          </a:ext>
        </a:extLst>
      </xdr:spPr>
    </xdr:cxnSp>
    <xdr:clientData/>
  </xdr:twoCellAnchor>
  <xdr:twoCellAnchor>
    <xdr:from>
      <xdr:col>0</xdr:col>
      <xdr:colOff>0</xdr:colOff>
      <xdr:row>2</xdr:row>
      <xdr:rowOff>0</xdr:rowOff>
    </xdr:from>
    <xdr:to>
      <xdr:col>0</xdr:col>
      <xdr:colOff>0</xdr:colOff>
      <xdr:row>2</xdr:row>
      <xdr:rowOff>0</xdr:rowOff>
    </xdr:to>
    <xdr:cxnSp macro="">
      <xdr:nvCxnSpPr>
        <xdr:cNvPr id="3" name="AutoShape 15">
          <a:extLst>
            <a:ext uri="{FF2B5EF4-FFF2-40B4-BE49-F238E27FC236}">
              <a16:creationId xmlns:a16="http://schemas.microsoft.com/office/drawing/2014/main" id="{00000000-0008-0000-0800-000003000000}"/>
            </a:ext>
          </a:extLst>
        </xdr:cNvPr>
        <xdr:cNvCxnSpPr>
          <a:cxnSpLocks noChangeShapeType="1"/>
        </xdr:cNvCxnSpPr>
      </xdr:nvCxnSpPr>
      <xdr:spPr bwMode="auto">
        <a:xfrm>
          <a:off x="0" y="381000"/>
          <a:ext cx="0" cy="0"/>
        </a:xfrm>
        <a:prstGeom prst="straightConnector1">
          <a:avLst/>
        </a:prstGeom>
        <a:noFill/>
        <a:ln w="15875">
          <a:solidFill>
            <a:srgbClr val="000000"/>
          </a:solidFill>
          <a:round/>
          <a:headEnd/>
          <a:tailEnd/>
        </a:ln>
        <a:extLst>
          <a:ext uri="{909E8E84-426E-40DD-AFC4-6F175D3DCCD1}">
            <a14:hiddenFill xmlns:a14="http://schemas.microsoft.com/office/drawing/2010/main">
              <a:noFill/>
            </a14:hiddenFill>
          </a:ext>
        </a:extLst>
      </xdr:spPr>
    </xdr:cxnSp>
    <xdr:clientData/>
  </xdr:twoCellAnchor>
  <xdr:twoCellAnchor>
    <xdr:from>
      <xdr:col>0</xdr:col>
      <xdr:colOff>0</xdr:colOff>
      <xdr:row>2</xdr:row>
      <xdr:rowOff>0</xdr:rowOff>
    </xdr:from>
    <xdr:to>
      <xdr:col>0</xdr:col>
      <xdr:colOff>0</xdr:colOff>
      <xdr:row>2</xdr:row>
      <xdr:rowOff>0</xdr:rowOff>
    </xdr:to>
    <xdr:cxnSp macro="">
      <xdr:nvCxnSpPr>
        <xdr:cNvPr id="4" name="AutoShape 14">
          <a:extLst>
            <a:ext uri="{FF2B5EF4-FFF2-40B4-BE49-F238E27FC236}">
              <a16:creationId xmlns:a16="http://schemas.microsoft.com/office/drawing/2014/main" id="{00000000-0008-0000-0800-000004000000}"/>
            </a:ext>
          </a:extLst>
        </xdr:cNvPr>
        <xdr:cNvCxnSpPr>
          <a:cxnSpLocks noChangeShapeType="1"/>
        </xdr:cNvCxnSpPr>
      </xdr:nvCxnSpPr>
      <xdr:spPr bwMode="auto">
        <a:xfrm>
          <a:off x="0" y="381000"/>
          <a:ext cx="0" cy="0"/>
        </a:xfrm>
        <a:prstGeom prst="straightConnector1">
          <a:avLst/>
        </a:prstGeom>
        <a:noFill/>
        <a:ln w="15875">
          <a:solidFill>
            <a:srgbClr val="000000"/>
          </a:solidFill>
          <a:round/>
          <a:headEnd/>
          <a:tailEnd/>
        </a:ln>
        <a:extLst>
          <a:ext uri="{909E8E84-426E-40DD-AFC4-6F175D3DCCD1}">
            <a14:hiddenFill xmlns:a14="http://schemas.microsoft.com/office/drawing/2010/main">
              <a:noFill/>
            </a14:hiddenFill>
          </a:ext>
        </a:extLst>
      </xdr:spPr>
    </xdr:cxn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C57326E0-29CB-42F0-AD65-16B169A96799}" name="Table393" displayName="Table393" ref="C8:C73" totalsRowShown="0" dataDxfId="5" tableBorderDxfId="4">
  <autoFilter ref="C8:C73" xr:uid="{B1A56325-0761-466F-B055-3CE24CCDF249}"/>
  <tableColumns count="1">
    <tableColumn id="1" xr3:uid="{F42C1F80-5E9E-45DE-A213-E4984358F9ED}" name="Measures" dataDxfId="3"/>
  </tableColumns>
  <tableStyleInfo name="TableStyleMedium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9" xr:uid="{00000000-000C-0000-FFFF-FFFF05000000}" name="Table39" displayName="Table39" ref="A12:A97" totalsRowShown="0" dataDxfId="2" tableBorderDxfId="1">
  <autoFilter ref="A12:A97" xr:uid="{00000000-0009-0000-0100-000027000000}"/>
  <tableColumns count="1">
    <tableColumn id="1" xr3:uid="{00000000-0010-0000-0500-000001000000}" name="Measures" dataDxfId="0"/>
  </tableColumns>
  <tableStyleInfo name="TableStyleMedium9"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4000000}" name="Table8" displayName="Table8" ref="I1:I10" totalsRowShown="0">
  <autoFilter ref="I1:I10" xr:uid="{00000000-0009-0000-0100-000008000000}"/>
  <tableColumns count="1">
    <tableColumn id="1" xr3:uid="{00000000-0010-0000-0400-000001000000}" name="Inclusive access benefits"/>
  </tableColumns>
  <tableStyleInfo name="TableStyleMedium9"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3000000}" name="Table7" displayName="Table7" ref="G1:G6" totalsRowShown="0">
  <autoFilter ref="G1:G6" xr:uid="{00000000-0009-0000-0100-000007000000}"/>
  <tableColumns count="1">
    <tableColumn id="1" xr3:uid="{00000000-0010-0000-0300-000001000000}" name="Environmental sustainability benefits"/>
  </tableColumns>
  <tableStyleInfo name="TableStyleMedium9"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2000000}" name="Table6" displayName="Table6" ref="E1:E8" totalsRowShown="0">
  <autoFilter ref="E1:E8" xr:uid="{00000000-0009-0000-0100-000006000000}"/>
  <tableColumns count="1">
    <tableColumn id="1" xr3:uid="{00000000-0010-0000-0200-000001000000}" name="Economic Prosperity benefits"/>
  </tableColumns>
  <tableStyleInfo name="TableStyleMedium9"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1000000}" name="Table5" displayName="Table5" ref="C1:C3" totalsRowShown="0">
  <autoFilter ref="C1:C3" xr:uid="{00000000-0009-0000-0100-000005000000}"/>
  <tableColumns count="1">
    <tableColumn id="1" xr3:uid="{00000000-0010-0000-0100-000001000000}" name="Resilience and security benefits"/>
  </tableColumns>
  <tableStyleInfo name="TableStyleMedium9"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A8" totalsRowShown="0">
  <autoFilter ref="A1:A8" xr:uid="{00000000-0009-0000-0100-000001000000}"/>
  <tableColumns count="1">
    <tableColumn id="1" xr3:uid="{00000000-0010-0000-0000-000001000000}" name="Healthy and safe people benefits"/>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table" Target="../tables/table3.xml"/><Relationship Id="rId7" Type="http://schemas.openxmlformats.org/officeDocument/2006/relationships/table" Target="../tables/table7.xml"/><Relationship Id="rId2" Type="http://schemas.openxmlformats.org/officeDocument/2006/relationships/table" Target="../tables/table2.xml"/><Relationship Id="rId1" Type="http://schemas.openxmlformats.org/officeDocument/2006/relationships/table" Target="../tables/table1.xml"/><Relationship Id="rId6" Type="http://schemas.openxmlformats.org/officeDocument/2006/relationships/table" Target="../tables/table6.xml"/><Relationship Id="rId5" Type="http://schemas.openxmlformats.org/officeDocument/2006/relationships/table" Target="../tables/table5.xml"/><Relationship Id="rId4" Type="http://schemas.openxmlformats.org/officeDocument/2006/relationships/table" Target="../tables/table4.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hyperlink" Target="https://www.nzta.govt.nz/planning-and-investment/planning-and-investment-knowledge-base/202124-nltp/2021-24-nltp-activity-classes-and-work-categories/local-road-and-state-highway-improvements/" TargetMode="External"/><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assets/resources/economic-evaluation-manual/economic-evaluation-manual/docs/eem-manual-2016.pdf" TargetMode="External"/><Relationship Id="rId4"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resources/economic-evaluation-manual" TargetMode="External"/><Relationship Id="rId5" Type="http://schemas.openxmlformats.org/officeDocument/2006/relationships/comments" Target="../comments2.xml"/><Relationship Id="rId4" Type="http://schemas.openxmlformats.org/officeDocument/2006/relationships/vmlDrawing" Target="../drawings/vmlDrawing2.v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2.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3.xml"/><Relationship Id="rId1" Type="http://schemas.openxmlformats.org/officeDocument/2006/relationships/printerSettings" Target="../printerSettings/printerSettings6.bin"/><Relationship Id="rId4" Type="http://schemas.openxmlformats.org/officeDocument/2006/relationships/comments" Target="../comments4.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4.xml"/><Relationship Id="rId1" Type="http://schemas.openxmlformats.org/officeDocument/2006/relationships/printerSettings" Target="../printerSettings/printerSettings7.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6.xml"/></Relationships>
</file>

<file path=xl/worksheets/_rels/sheet10.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assets/resources/economic-evaluation-manual/economic-evaluation-manual/docs/eem-manual-2016.pdf" TargetMode="External"/><Relationship Id="rId5" Type="http://schemas.openxmlformats.org/officeDocument/2006/relationships/comments" Target="../comments7.xml"/><Relationship Id="rId4" Type="http://schemas.openxmlformats.org/officeDocument/2006/relationships/vmlDrawing" Target="../drawings/vmlDrawing7.vml"/></Relationships>
</file>

<file path=xl/worksheets/_rels/sheet11.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printerSettings" Target="../printerSettings/printerSettings11.bin"/><Relationship Id="rId1" Type="http://schemas.openxmlformats.org/officeDocument/2006/relationships/hyperlink" Target="https://www.nzta.govt.nz/assets/resources/monetised-benefits-and-costs-manual/crash-risk-factors-guidelines-compendium.pdf" TargetMode="External"/><Relationship Id="rId4" Type="http://schemas.openxmlformats.org/officeDocument/2006/relationships/comments" Target="../comments9.xml"/></Relationships>
</file>

<file path=xl/worksheets/_rels/sheet13.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assets/resources/economic-evaluation-manual/economic-evaluation-manual/docs/eem-manual-2016.pdf" TargetMode="External"/><Relationship Id="rId5" Type="http://schemas.openxmlformats.org/officeDocument/2006/relationships/comments" Target="../comments10.xml"/><Relationship Id="rId4" Type="http://schemas.openxmlformats.org/officeDocument/2006/relationships/vmlDrawing" Target="../drawings/vmlDrawing10.vm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pageSetUpPr fitToPage="1"/>
  </sheetPr>
  <dimension ref="B1:T35"/>
  <sheetViews>
    <sheetView showGridLines="0" topLeftCell="A2" zoomScale="70" zoomScaleNormal="70" workbookViewId="0">
      <selection activeCell="C3" sqref="C3"/>
    </sheetView>
  </sheetViews>
  <sheetFormatPr defaultColWidth="11" defaultRowHeight="15.6"/>
  <cols>
    <col min="1" max="1" width="4.5" customWidth="1"/>
    <col min="2" max="2" width="26" style="1" customWidth="1"/>
    <col min="3" max="3" width="41.8984375" style="1" customWidth="1"/>
    <col min="4" max="4" width="32" style="1" customWidth="1"/>
    <col min="5" max="9" width="26" style="1" customWidth="1"/>
    <col min="10" max="10" width="15.19921875" style="1" bestFit="1" customWidth="1"/>
    <col min="11" max="11" width="11" style="1"/>
    <col min="12" max="12" width="13.69921875" style="1" bestFit="1" customWidth="1"/>
    <col min="13" max="13" width="11" style="1"/>
    <col min="14" max="14" width="12.59765625" bestFit="1" customWidth="1"/>
  </cols>
  <sheetData>
    <row r="1" spans="2:20" ht="33" customHeight="1" thickBot="1"/>
    <row r="2" spans="2:20" ht="66" customHeight="1" thickBot="1">
      <c r="B2" s="455" t="s">
        <v>0</v>
      </c>
      <c r="C2" s="456"/>
      <c r="D2" s="456"/>
      <c r="E2" s="456"/>
      <c r="F2" s="456"/>
      <c r="G2" s="456"/>
      <c r="H2" s="456"/>
      <c r="I2" s="457"/>
      <c r="J2" t="s">
        <v>1</v>
      </c>
      <c r="K2"/>
      <c r="L2"/>
      <c r="M2"/>
    </row>
    <row r="3" spans="2:20" ht="57" customHeight="1" thickTop="1" thickBot="1">
      <c r="B3" s="341" t="s">
        <v>2</v>
      </c>
      <c r="C3" s="342">
        <f ca="1">NOW()</f>
        <v>45785.471399305556</v>
      </c>
      <c r="D3" s="343" t="s">
        <v>898</v>
      </c>
      <c r="E3" s="344" t="str">
        <f>_xlfn.CONCAT(_xlfn.VALUETOTEXT('SP5-1'!I21)," - ",_xlfn.VALUETOTEXT('SP5-1'!I21+'SP5-1'!I23))</f>
        <v xml:space="preserve"> - 0</v>
      </c>
      <c r="F3" s="345" t="s">
        <v>3</v>
      </c>
      <c r="G3" s="468"/>
      <c r="H3" s="468"/>
      <c r="I3" s="371" t="s">
        <v>4</v>
      </c>
      <c r="J3" s="79" t="s">
        <v>5</v>
      </c>
      <c r="K3"/>
      <c r="L3" s="14"/>
      <c r="M3" s="14"/>
      <c r="N3" s="14"/>
      <c r="O3" s="14"/>
      <c r="P3" s="14"/>
      <c r="Q3" s="14"/>
      <c r="R3" s="14"/>
      <c r="S3" s="14"/>
      <c r="T3" s="14"/>
    </row>
    <row r="4" spans="2:20" s="3" customFormat="1" ht="27.9" customHeight="1" thickTop="1">
      <c r="B4" s="458" t="s">
        <v>6</v>
      </c>
      <c r="C4" s="459"/>
      <c r="D4" s="464" t="s">
        <v>7</v>
      </c>
      <c r="E4" s="465"/>
      <c r="F4" s="464" t="s">
        <v>8</v>
      </c>
      <c r="G4" s="465"/>
      <c r="H4" s="464" t="s">
        <v>9</v>
      </c>
      <c r="I4" s="466"/>
      <c r="J4" s="14"/>
      <c r="K4" s="14"/>
      <c r="L4" s="14"/>
      <c r="M4" s="14"/>
      <c r="N4" s="14"/>
      <c r="O4" s="14"/>
      <c r="P4" s="14"/>
      <c r="Q4" s="14"/>
      <c r="R4" s="14"/>
      <c r="S4" s="14"/>
      <c r="T4" s="14"/>
    </row>
    <row r="5" spans="2:20" s="12" customFormat="1" ht="27.9" customHeight="1">
      <c r="B5" s="460" t="s">
        <v>10</v>
      </c>
      <c r="C5" s="461"/>
      <c r="D5" s="462" t="s">
        <v>10</v>
      </c>
      <c r="E5" s="463"/>
      <c r="F5" s="462" t="s">
        <v>10</v>
      </c>
      <c r="G5" s="463"/>
      <c r="H5" s="462" t="s">
        <v>10</v>
      </c>
      <c r="I5" s="467"/>
    </row>
    <row r="6" spans="2:20" s="12" customFormat="1" ht="27.9" customHeight="1">
      <c r="B6" s="346"/>
      <c r="C6" s="329"/>
      <c r="D6" s="329"/>
      <c r="E6" s="329"/>
      <c r="F6" s="329"/>
      <c r="G6" s="329"/>
      <c r="H6" s="329"/>
      <c r="I6" s="347"/>
    </row>
    <row r="7" spans="2:20" s="8" customFormat="1" ht="51" customHeight="1">
      <c r="B7" s="435" t="s">
        <v>11</v>
      </c>
      <c r="C7" s="436"/>
      <c r="D7" s="437"/>
      <c r="E7" s="432" t="s">
        <v>12</v>
      </c>
      <c r="F7" s="450"/>
      <c r="G7" s="432" t="s">
        <v>13</v>
      </c>
      <c r="H7" s="433"/>
      <c r="I7" s="434"/>
      <c r="J7" s="6"/>
      <c r="K7" s="6"/>
    </row>
    <row r="8" spans="2:20" s="7" customFormat="1" ht="35.1" customHeight="1">
      <c r="B8" s="440" t="s">
        <v>14</v>
      </c>
      <c r="C8" s="441"/>
      <c r="D8" s="442"/>
      <c r="E8" s="451" t="s">
        <v>15</v>
      </c>
      <c r="F8" s="453">
        <f>'SP5-3 (1)'!K7</f>
        <v>0</v>
      </c>
      <c r="G8" s="438" t="s">
        <v>845</v>
      </c>
      <c r="H8" s="438"/>
      <c r="I8" s="362">
        <f>'SP5-1'!J40</f>
        <v>0</v>
      </c>
      <c r="J8" s="4"/>
      <c r="K8" s="4"/>
    </row>
    <row r="9" spans="2:20" s="4" customFormat="1" ht="35.1" customHeight="1">
      <c r="B9" s="443"/>
      <c r="C9" s="444"/>
      <c r="D9" s="445"/>
      <c r="E9" s="452"/>
      <c r="F9" s="454"/>
      <c r="G9" s="439"/>
      <c r="H9" s="439"/>
      <c r="I9" s="363"/>
    </row>
    <row r="10" spans="2:20" s="4" customFormat="1" ht="35.1" customHeight="1">
      <c r="B10" s="443"/>
      <c r="C10" s="444"/>
      <c r="D10" s="445"/>
      <c r="E10" s="451" t="s">
        <v>17</v>
      </c>
      <c r="F10" s="453">
        <f>'SP5-3 (1)'!Q8+'SP5-3 (1)'!K10*('SP5-1'!I23-1)+'SP5-3 (1)'!K25*('SP5-1'!I23-1)+SUM('SP5-3 (1)'!K14:M22)</f>
        <v>0</v>
      </c>
      <c r="G10" s="449" t="s">
        <v>18</v>
      </c>
      <c r="H10" s="449"/>
      <c r="I10" s="81">
        <f>'SP5-1'!J41</f>
        <v>0</v>
      </c>
    </row>
    <row r="11" spans="2:20" s="4" customFormat="1" ht="35.1" customHeight="1">
      <c r="B11" s="443"/>
      <c r="C11" s="444"/>
      <c r="D11" s="445"/>
      <c r="E11" s="452"/>
      <c r="F11" s="454"/>
      <c r="G11" s="438" t="s">
        <v>846</v>
      </c>
      <c r="H11" s="438"/>
      <c r="I11" s="365">
        <f>'SP5-1'!M40</f>
        <v>0</v>
      </c>
    </row>
    <row r="12" spans="2:20" s="4" customFormat="1" ht="57" customHeight="1">
      <c r="B12" s="446"/>
      <c r="C12" s="447"/>
      <c r="D12" s="448"/>
      <c r="E12" s="330" t="s">
        <v>19</v>
      </c>
      <c r="F12" s="80">
        <f>F8+F10</f>
        <v>0</v>
      </c>
      <c r="G12" s="439"/>
      <c r="H12" s="439"/>
      <c r="I12" s="364"/>
    </row>
    <row r="13" spans="2:20" s="4" customFormat="1" ht="24.9" customHeight="1">
      <c r="B13" s="412"/>
      <c r="C13" s="413"/>
      <c r="I13" s="348"/>
    </row>
    <row r="14" spans="2:20" s="3" customFormat="1" ht="42.9" customHeight="1">
      <c r="B14" s="430" t="s">
        <v>20</v>
      </c>
      <c r="C14" s="431"/>
      <c r="D14" s="423" t="s">
        <v>21</v>
      </c>
      <c r="E14" s="424"/>
      <c r="F14" s="424"/>
      <c r="G14" s="425"/>
      <c r="H14" s="426" t="s">
        <v>22</v>
      </c>
      <c r="I14" s="427"/>
      <c r="J14" s="2"/>
      <c r="K14" s="2"/>
      <c r="L14" s="2"/>
      <c r="M14" s="2"/>
    </row>
    <row r="15" spans="2:20" s="6" customFormat="1" ht="27.9" customHeight="1">
      <c r="B15" s="428" t="s">
        <v>23</v>
      </c>
      <c r="C15" s="429"/>
      <c r="D15" s="5" t="s">
        <v>24</v>
      </c>
      <c r="E15" s="5" t="s">
        <v>25</v>
      </c>
      <c r="F15" s="5" t="s">
        <v>26</v>
      </c>
      <c r="G15" s="5" t="s">
        <v>27</v>
      </c>
      <c r="H15" s="5" t="s">
        <v>26</v>
      </c>
      <c r="I15" s="349" t="s">
        <v>27</v>
      </c>
      <c r="J15" s="4"/>
      <c r="L15" s="42"/>
      <c r="M15" s="42"/>
      <c r="N15" s="42"/>
      <c r="O15" s="4"/>
      <c r="P15" s="4"/>
      <c r="Q15" s="4"/>
      <c r="R15" s="4"/>
      <c r="S15" s="4"/>
    </row>
    <row r="16" spans="2:20" ht="27.9" customHeight="1">
      <c r="B16" s="350" t="s">
        <v>28</v>
      </c>
      <c r="C16" s="22"/>
      <c r="I16" s="351"/>
      <c r="J16" s="4"/>
      <c r="K16"/>
      <c r="L16" s="4"/>
      <c r="M16" s="4"/>
      <c r="N16" s="4"/>
      <c r="O16" s="4"/>
      <c r="P16" s="4"/>
      <c r="Q16" s="4"/>
      <c r="R16" s="4"/>
      <c r="S16" s="4"/>
    </row>
    <row r="17" spans="2:18" s="4" customFormat="1" ht="27.9" customHeight="1">
      <c r="B17" s="421" t="s">
        <v>29</v>
      </c>
      <c r="C17" s="422"/>
      <c r="D17" s="40" t="s">
        <v>30</v>
      </c>
      <c r="E17" s="17" t="s">
        <v>16</v>
      </c>
      <c r="F17" s="38"/>
      <c r="G17" s="372" t="s">
        <v>10</v>
      </c>
      <c r="H17" s="372" t="s">
        <v>10</v>
      </c>
      <c r="I17" s="352">
        <f>('SP5-6'!J41/'SP5-6'!G74)*('SP5-1'!I23-1)</f>
        <v>0</v>
      </c>
      <c r="L17" s="46"/>
      <c r="M17" s="47"/>
      <c r="N17" s="45"/>
    </row>
    <row r="18" spans="2:18" ht="27.9" customHeight="1">
      <c r="B18" s="350" t="s">
        <v>33</v>
      </c>
      <c r="C18" s="23"/>
      <c r="D18" s="353"/>
      <c r="E18" s="353"/>
      <c r="F18" s="353"/>
      <c r="G18" s="353"/>
      <c r="H18" s="353"/>
      <c r="I18" s="354"/>
      <c r="K18"/>
      <c r="M18" s="4"/>
      <c r="N18" s="4"/>
    </row>
    <row r="19" spans="2:18" s="4" customFormat="1" ht="27.9" customHeight="1">
      <c r="B19" s="419"/>
      <c r="C19" s="420"/>
      <c r="D19" s="13"/>
      <c r="E19" s="17" t="s">
        <v>16</v>
      </c>
      <c r="F19" s="373" t="s">
        <v>10</v>
      </c>
      <c r="G19" s="373" t="s">
        <v>10</v>
      </c>
      <c r="H19" s="372" t="s">
        <v>10</v>
      </c>
      <c r="I19" s="375" t="s">
        <v>10</v>
      </c>
      <c r="L19" s="46"/>
      <c r="M19" s="47"/>
      <c r="N19" s="41"/>
    </row>
    <row r="20" spans="2:18" ht="27.9" customHeight="1">
      <c r="B20" s="355" t="s">
        <v>34</v>
      </c>
      <c r="C20" s="24"/>
      <c r="D20" s="353"/>
      <c r="E20" s="353"/>
      <c r="F20" s="353"/>
      <c r="G20" s="353"/>
      <c r="H20" s="353"/>
      <c r="I20" s="354"/>
      <c r="K20"/>
      <c r="M20" s="4"/>
      <c r="N20" s="4"/>
    </row>
    <row r="21" spans="2:18" ht="27.9" customHeight="1">
      <c r="B21" s="419" t="s">
        <v>35</v>
      </c>
      <c r="C21" s="420"/>
      <c r="D21" s="13" t="s">
        <v>36</v>
      </c>
      <c r="E21" s="17" t="s">
        <v>16</v>
      </c>
      <c r="F21" s="17" t="s">
        <v>16</v>
      </c>
      <c r="G21" s="17" t="s">
        <v>16</v>
      </c>
      <c r="H21" s="38">
        <v>0</v>
      </c>
      <c r="I21" s="352">
        <f>('SP5-1'!E37/Tables!K320)*('SP5-1'!I23-1)</f>
        <v>0</v>
      </c>
      <c r="J21" s="90"/>
      <c r="K21"/>
      <c r="L21" s="46"/>
      <c r="M21" s="47"/>
      <c r="N21" s="45"/>
    </row>
    <row r="22" spans="2:18" s="4" customFormat="1" ht="27.9" customHeight="1">
      <c r="B22" s="419"/>
      <c r="C22" s="420"/>
      <c r="D22" s="13" t="s">
        <v>656</v>
      </c>
      <c r="E22" s="17" t="s">
        <v>16</v>
      </c>
      <c r="F22" s="373" t="s">
        <v>10</v>
      </c>
      <c r="G22" s="373" t="s">
        <v>10</v>
      </c>
      <c r="H22" s="372" t="s">
        <v>10</v>
      </c>
      <c r="I22" s="352">
        <f>('SP5-5'!M20/Tables!K320)*('SP5-1'!I23-1)</f>
        <v>0</v>
      </c>
      <c r="L22" s="46"/>
      <c r="M22" s="47"/>
      <c r="N22" s="41"/>
      <c r="O22"/>
      <c r="P22"/>
      <c r="Q22"/>
      <c r="R22"/>
    </row>
    <row r="23" spans="2:18" ht="27.9" customHeight="1">
      <c r="B23" s="356" t="s">
        <v>37</v>
      </c>
      <c r="C23" s="22"/>
      <c r="D23" s="353"/>
      <c r="E23" s="353"/>
      <c r="F23" s="353"/>
      <c r="G23" s="353"/>
      <c r="H23" s="353"/>
      <c r="I23" s="354"/>
      <c r="K23"/>
      <c r="M23" s="4"/>
      <c r="N23" s="4"/>
    </row>
    <row r="24" spans="2:18" s="4" customFormat="1" ht="27.9" customHeight="1">
      <c r="B24" s="421" t="s">
        <v>38</v>
      </c>
      <c r="C24" s="422"/>
      <c r="D24" s="40" t="s">
        <v>39</v>
      </c>
      <c r="E24" s="17" t="s">
        <v>16</v>
      </c>
      <c r="F24" s="39">
        <v>0</v>
      </c>
      <c r="G24" s="39">
        <f>G25*0.000161</f>
        <v>0</v>
      </c>
      <c r="H24" s="38">
        <v>0</v>
      </c>
      <c r="I24" s="352">
        <f>G24*Tables!E1</f>
        <v>0</v>
      </c>
      <c r="L24" s="46"/>
      <c r="M24" s="47"/>
      <c r="N24" s="45"/>
      <c r="O24"/>
      <c r="P24"/>
      <c r="Q24"/>
      <c r="R24"/>
    </row>
    <row r="25" spans="2:18" s="4" customFormat="1" ht="27.9" customHeight="1">
      <c r="B25" s="414" t="s">
        <v>38</v>
      </c>
      <c r="C25" s="415"/>
      <c r="D25" s="13" t="s">
        <v>40</v>
      </c>
      <c r="E25" s="17"/>
      <c r="F25" s="39"/>
      <c r="G25" s="13"/>
      <c r="H25" s="38"/>
      <c r="I25" s="352"/>
      <c r="L25" s="46"/>
      <c r="M25" s="44"/>
      <c r="N25" s="45"/>
      <c r="O25"/>
      <c r="P25"/>
      <c r="Q25"/>
      <c r="R25"/>
    </row>
    <row r="26" spans="2:18" s="4" customFormat="1" ht="27.9" customHeight="1">
      <c r="B26" s="414" t="s">
        <v>41</v>
      </c>
      <c r="C26" s="415"/>
      <c r="D26" s="13" t="s">
        <v>42</v>
      </c>
      <c r="E26" s="17" t="s">
        <v>16</v>
      </c>
      <c r="F26" s="373" t="s">
        <v>10</v>
      </c>
      <c r="G26" s="13"/>
      <c r="H26" s="38">
        <v>0</v>
      </c>
      <c r="I26" s="352">
        <v>0</v>
      </c>
      <c r="L26" s="46"/>
      <c r="M26" s="47"/>
      <c r="N26" s="41"/>
      <c r="O26"/>
      <c r="P26"/>
      <c r="Q26"/>
      <c r="R26"/>
    </row>
    <row r="27" spans="2:18" ht="27.9" customHeight="1">
      <c r="B27" s="357" t="s">
        <v>43</v>
      </c>
      <c r="C27" s="22"/>
      <c r="D27" s="353"/>
      <c r="E27" s="353"/>
      <c r="F27" s="353"/>
      <c r="G27" s="353"/>
      <c r="H27" s="353"/>
      <c r="I27" s="354"/>
      <c r="K27"/>
      <c r="M27" s="4"/>
      <c r="N27" s="4"/>
    </row>
    <row r="28" spans="2:18" s="4" customFormat="1" ht="27.9" customHeight="1">
      <c r="B28" s="421" t="s">
        <v>44</v>
      </c>
      <c r="C28" s="422"/>
      <c r="D28" s="40" t="s">
        <v>45</v>
      </c>
      <c r="E28" s="17" t="s">
        <v>16</v>
      </c>
      <c r="F28" s="373" t="s">
        <v>10</v>
      </c>
      <c r="G28" s="373" t="s">
        <v>10</v>
      </c>
      <c r="H28" s="13" t="s">
        <v>16</v>
      </c>
      <c r="I28" s="352" t="s">
        <v>16</v>
      </c>
      <c r="L28" s="48"/>
      <c r="M28" s="49"/>
      <c r="N28" s="45"/>
    </row>
    <row r="29" spans="2:18" s="4" customFormat="1" ht="27.9" customHeight="1" thickBot="1">
      <c r="B29" s="417" t="s">
        <v>46</v>
      </c>
      <c r="C29" s="418"/>
      <c r="D29" s="358" t="s">
        <v>36</v>
      </c>
      <c r="E29" s="359" t="s">
        <v>16</v>
      </c>
      <c r="F29" s="374" t="s">
        <v>10</v>
      </c>
      <c r="G29" s="374" t="s">
        <v>10</v>
      </c>
      <c r="H29" s="374" t="s">
        <v>10</v>
      </c>
      <c r="I29" s="376" t="s">
        <v>10</v>
      </c>
      <c r="L29" s="46"/>
      <c r="M29" s="47"/>
      <c r="N29" s="41"/>
    </row>
    <row r="30" spans="2:18" s="6" customFormat="1">
      <c r="L30" s="4"/>
      <c r="M30" s="4"/>
      <c r="N30" s="4"/>
    </row>
    <row r="31" spans="2:18" s="6" customFormat="1">
      <c r="B31" s="416" t="s">
        <v>47</v>
      </c>
      <c r="C31" s="416"/>
      <c r="D31" s="16"/>
      <c r="E31" s="16"/>
      <c r="F31" s="16"/>
      <c r="G31" s="16"/>
      <c r="H31" s="16"/>
      <c r="I31" s="16"/>
      <c r="L31" s="4"/>
      <c r="M31" s="4"/>
      <c r="N31" s="4"/>
    </row>
    <row r="32" spans="2:18" s="9" customFormat="1" ht="39.9" customHeight="1">
      <c r="B32" s="409"/>
      <c r="C32" s="410"/>
      <c r="D32" s="410"/>
      <c r="E32" s="410"/>
      <c r="F32" s="410"/>
      <c r="G32" s="410"/>
      <c r="H32" s="410"/>
      <c r="I32" s="411"/>
      <c r="L32" s="4"/>
      <c r="M32" s="4"/>
      <c r="N32" s="4"/>
    </row>
    <row r="33" spans="12:14">
      <c r="L33" s="4"/>
      <c r="M33" s="4"/>
      <c r="N33" s="4"/>
    </row>
    <row r="34" spans="12:14">
      <c r="L34" s="4"/>
      <c r="M34" s="4"/>
      <c r="N34" s="4"/>
    </row>
    <row r="35" spans="12:14">
      <c r="L35" s="4"/>
      <c r="M35" s="4"/>
      <c r="N35" s="4"/>
    </row>
  </sheetData>
  <sheetProtection algorithmName="SHA-512" hashValue="tJeZSQVLQPq/N10hZ4WZudqbpaLUnbz7YjW3/1BEWJVTk1Uip1epyoFaTGsomejSdWV4qCYw+rRt8oPfkfI02w==" saltValue="b/vPFZPJv+wHyDaiCSpLhA==" spinCount="100000" sheet="1" objects="1" scenarios="1"/>
  <protectedRanges>
    <protectedRange sqref="J3" name="Range2_1"/>
  </protectedRanges>
  <mergeCells count="39">
    <mergeCell ref="B2:I2"/>
    <mergeCell ref="B4:C4"/>
    <mergeCell ref="B5:C5"/>
    <mergeCell ref="D5:E5"/>
    <mergeCell ref="D4:E4"/>
    <mergeCell ref="F4:G4"/>
    <mergeCell ref="F5:G5"/>
    <mergeCell ref="H4:I4"/>
    <mergeCell ref="H5:I5"/>
    <mergeCell ref="G3:H3"/>
    <mergeCell ref="G7:I7"/>
    <mergeCell ref="B7:D7"/>
    <mergeCell ref="G8:H8"/>
    <mergeCell ref="G9:H9"/>
    <mergeCell ref="B8:D12"/>
    <mergeCell ref="G12:H12"/>
    <mergeCell ref="G10:H10"/>
    <mergeCell ref="G11:H11"/>
    <mergeCell ref="E7:F7"/>
    <mergeCell ref="E8:E9"/>
    <mergeCell ref="F8:F9"/>
    <mergeCell ref="E10:E11"/>
    <mergeCell ref="F10:F11"/>
    <mergeCell ref="B32:I32"/>
    <mergeCell ref="B13:C13"/>
    <mergeCell ref="B26:C26"/>
    <mergeCell ref="B31:C31"/>
    <mergeCell ref="B29:C29"/>
    <mergeCell ref="B19:C19"/>
    <mergeCell ref="B22:C22"/>
    <mergeCell ref="B28:C28"/>
    <mergeCell ref="B24:C24"/>
    <mergeCell ref="D14:G14"/>
    <mergeCell ref="H14:I14"/>
    <mergeCell ref="B17:C17"/>
    <mergeCell ref="B15:C15"/>
    <mergeCell ref="B21:C21"/>
    <mergeCell ref="B14:C14"/>
    <mergeCell ref="B25:C25"/>
  </mergeCells>
  <phoneticPr fontId="3" type="noConversion"/>
  <dataValidations count="1">
    <dataValidation type="list" allowBlank="1" showInputMessage="1" showErrorMessage="1" sqref="L17 L21:L22 L24:L26 L28:L29 L19" xr:uid="{EEB57C4A-2F42-41A7-A9D9-470B97E5744A}">
      <formula1>#REF!</formula1>
    </dataValidation>
  </dataValidations>
  <pageMargins left="0.36000000000000004" right="0.36000000000000004" top="0.6100000000000001" bottom="0.6100000000000001" header="0.5" footer="0.5"/>
  <pageSetup paperSize="8" scale="75" orientation="landscape" horizontalDpi="4294967292" verticalDpi="4294967292" r:id="rId1"/>
  <drawing r:id="rId2"/>
  <legacyDrawing r:id="rId3"/>
  <mc:AlternateContent xmlns:mc="http://schemas.openxmlformats.org/markup-compatibility/2006">
    <mc:Choice Requires="x14">
      <controls>
        <mc:AlternateContent xmlns:mc="http://schemas.openxmlformats.org/markup-compatibility/2006">
          <mc:Choice Requires="x14">
            <control shapeId="2161" r:id="rId4" name="Check Box 113">
              <controlPr defaultSize="0" autoFill="0" autoLine="0" autoPict="0">
                <anchor moveWithCells="1">
                  <from>
                    <xdr:col>8</xdr:col>
                    <xdr:colOff>830580</xdr:colOff>
                    <xdr:row>2</xdr:row>
                    <xdr:rowOff>289560</xdr:rowOff>
                  </from>
                  <to>
                    <xdr:col>8</xdr:col>
                    <xdr:colOff>1211580</xdr:colOff>
                    <xdr:row>2</xdr:row>
                    <xdr:rowOff>609600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6">
        <x14:dataValidation type="list" allowBlank="1" showInputMessage="1" xr:uid="{3868E784-81E8-495B-8333-1271A052BFB6}">
          <x14:formula1>
            <xm:f>'Benefits Framework'!$C$9:$C$73</xm:f>
          </x14:formula1>
          <xm:sqref>D25:D26 D29 D21:D22 D19</xm:sqref>
        </x14:dataValidation>
        <x14:dataValidation type="list" allowBlank="1" showInputMessage="1" xr:uid="{7F353724-2C21-408C-AED7-7AA7327EE5A5}">
          <x14:formula1>
            <xm:f>'Benefits Framework'!$I$2:$I$10</xm:f>
          </x14:formula1>
          <xm:sqref>B29:C29</xm:sqref>
        </x14:dataValidation>
        <x14:dataValidation type="list" allowBlank="1" showInputMessage="1" xr:uid="{65C95072-8FE0-48FA-8F0B-B5EB0A5BD752}">
          <x14:formula1>
            <xm:f>'Benefits Framework'!$E$2:$E$3</xm:f>
          </x14:formula1>
          <xm:sqref>B21:C22</xm:sqref>
        </x14:dataValidation>
        <x14:dataValidation type="list" allowBlank="1" showInputMessage="1" showErrorMessage="1" xr:uid="{8AAAD5E8-F1AE-4357-8BEC-02F7065F72F2}">
          <x14:formula1>
            <xm:f>Tables!$A$1:$C$1</xm:f>
          </x14:formula1>
          <xm:sqref>J3</xm:sqref>
        </x14:dataValidation>
        <x14:dataValidation type="list" allowBlank="1" showInputMessage="1" xr:uid="{A81E6DF3-4BD7-4B05-8864-D584D0629F63}">
          <x14:formula1>
            <xm:f>'Benefits Framework'!$G$2:$G$6</xm:f>
          </x14:formula1>
          <xm:sqref>B25:C26</xm:sqref>
        </x14:dataValidation>
        <x14:dataValidation type="list" allowBlank="1" showInputMessage="1" xr:uid="{00000000-0002-0000-0000-000000000000}">
          <x14:formula1>
            <xm:f>'Benefits Framework'!$C$2:$C$3</xm:f>
          </x14:formula1>
          <xm:sqref>B19:C19</xm:sqref>
        </x14:dataValidation>
      </x14:dataValidations>
    </ext>
    <ext xmlns:mx="http://schemas.microsoft.com/office/mac/excel/2008/main" uri="{64002731-A6B0-56B0-2670-7721B7C09600}">
      <mx:PLV Mode="0" OnePage="0" WScale="10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I97"/>
  <sheetViews>
    <sheetView topLeftCell="A73" workbookViewId="0">
      <selection activeCell="G19" sqref="G19"/>
    </sheetView>
  </sheetViews>
  <sheetFormatPr defaultColWidth="11" defaultRowHeight="15.6"/>
  <cols>
    <col min="1" max="1" width="44.59765625" customWidth="1"/>
    <col min="2" max="2" width="4.59765625" customWidth="1"/>
    <col min="3" max="3" width="46.8984375" customWidth="1"/>
    <col min="4" max="4" width="4.09765625" customWidth="1"/>
    <col min="5" max="5" width="45.8984375" customWidth="1"/>
    <col min="6" max="6" width="4.59765625" customWidth="1"/>
    <col min="7" max="7" width="47.8984375" customWidth="1"/>
    <col min="8" max="8" width="4.59765625" customWidth="1"/>
    <col min="9" max="9" width="48.5" customWidth="1"/>
  </cols>
  <sheetData>
    <row r="1" spans="1:9">
      <c r="A1" t="s">
        <v>48</v>
      </c>
      <c r="C1" t="s">
        <v>49</v>
      </c>
      <c r="E1" t="s">
        <v>50</v>
      </c>
      <c r="G1" t="s">
        <v>51</v>
      </c>
      <c r="I1" t="s">
        <v>52</v>
      </c>
    </row>
    <row r="2" spans="1:9">
      <c r="A2" t="s">
        <v>29</v>
      </c>
      <c r="C2" t="s">
        <v>53</v>
      </c>
      <c r="E2" t="s">
        <v>54</v>
      </c>
      <c r="G2" t="s">
        <v>55</v>
      </c>
      <c r="I2" t="s">
        <v>46</v>
      </c>
    </row>
    <row r="3" spans="1:9">
      <c r="A3" t="s">
        <v>56</v>
      </c>
      <c r="C3" t="s">
        <v>57</v>
      </c>
      <c r="E3" t="s">
        <v>35</v>
      </c>
      <c r="G3" t="s">
        <v>58</v>
      </c>
      <c r="I3" t="s">
        <v>59</v>
      </c>
    </row>
    <row r="4" spans="1:9">
      <c r="A4" s="19" t="s">
        <v>60</v>
      </c>
      <c r="E4" t="s">
        <v>61</v>
      </c>
      <c r="G4" t="s">
        <v>38</v>
      </c>
      <c r="I4" t="s">
        <v>62</v>
      </c>
    </row>
    <row r="5" spans="1:9">
      <c r="A5" s="19" t="s">
        <v>31</v>
      </c>
      <c r="E5" t="s">
        <v>63</v>
      </c>
      <c r="G5" t="s">
        <v>41</v>
      </c>
      <c r="I5" t="s">
        <v>64</v>
      </c>
    </row>
    <row r="6" spans="1:9">
      <c r="A6" s="19" t="s">
        <v>65</v>
      </c>
      <c r="E6" t="s">
        <v>66</v>
      </c>
      <c r="G6" t="s">
        <v>57</v>
      </c>
      <c r="I6" s="19" t="s">
        <v>67</v>
      </c>
    </row>
    <row r="7" spans="1:9">
      <c r="A7" s="19" t="s">
        <v>68</v>
      </c>
      <c r="E7" t="s">
        <v>69</v>
      </c>
      <c r="I7" t="s">
        <v>70</v>
      </c>
    </row>
    <row r="8" spans="1:9">
      <c r="A8" s="20" t="s">
        <v>57</v>
      </c>
      <c r="C8" t="s">
        <v>71</v>
      </c>
      <c r="E8" t="s">
        <v>57</v>
      </c>
      <c r="I8" t="s">
        <v>72</v>
      </c>
    </row>
    <row r="9" spans="1:9">
      <c r="C9" s="21" t="s">
        <v>73</v>
      </c>
      <c r="I9" t="s">
        <v>44</v>
      </c>
    </row>
    <row r="10" spans="1:9">
      <c r="C10" s="19" t="s">
        <v>74</v>
      </c>
      <c r="I10" t="s">
        <v>57</v>
      </c>
    </row>
    <row r="11" spans="1:9">
      <c r="C11" s="21" t="s">
        <v>30</v>
      </c>
    </row>
    <row r="12" spans="1:9">
      <c r="A12" t="s">
        <v>71</v>
      </c>
      <c r="C12" s="19" t="s">
        <v>75</v>
      </c>
    </row>
    <row r="13" spans="1:9">
      <c r="A13" s="10" t="s">
        <v>76</v>
      </c>
      <c r="C13" s="19" t="s">
        <v>77</v>
      </c>
    </row>
    <row r="14" spans="1:9">
      <c r="A14" s="21" t="s">
        <v>73</v>
      </c>
      <c r="C14" s="21" t="s">
        <v>78</v>
      </c>
    </row>
    <row r="15" spans="1:9">
      <c r="A15" s="19" t="s">
        <v>74</v>
      </c>
      <c r="C15" s="19" t="s">
        <v>79</v>
      </c>
    </row>
    <row r="16" spans="1:9">
      <c r="A16" s="21" t="s">
        <v>30</v>
      </c>
      <c r="C16" s="21" t="s">
        <v>80</v>
      </c>
    </row>
    <row r="17" spans="1:3">
      <c r="A17" s="19" t="s">
        <v>75</v>
      </c>
      <c r="C17" s="19" t="s">
        <v>32</v>
      </c>
    </row>
    <row r="18" spans="1:3">
      <c r="A18" s="10" t="s">
        <v>56</v>
      </c>
      <c r="C18" s="21" t="s">
        <v>81</v>
      </c>
    </row>
    <row r="19" spans="1:3">
      <c r="A19" s="19" t="s">
        <v>77</v>
      </c>
      <c r="C19" s="19" t="s">
        <v>82</v>
      </c>
    </row>
    <row r="20" spans="1:3">
      <c r="A20" s="21" t="s">
        <v>78</v>
      </c>
      <c r="C20" s="20" t="s">
        <v>83</v>
      </c>
    </row>
    <row r="21" spans="1:3">
      <c r="A21" s="19" t="s">
        <v>79</v>
      </c>
      <c r="C21" s="19" t="s">
        <v>84</v>
      </c>
    </row>
    <row r="22" spans="1:3">
      <c r="A22" s="10" t="s">
        <v>60</v>
      </c>
      <c r="C22" s="20" t="s">
        <v>85</v>
      </c>
    </row>
    <row r="23" spans="1:3">
      <c r="A23" s="21" t="s">
        <v>80</v>
      </c>
      <c r="C23" s="19" t="s">
        <v>86</v>
      </c>
    </row>
    <row r="24" spans="1:3">
      <c r="A24" s="10" t="s">
        <v>31</v>
      </c>
      <c r="C24" s="19" t="s">
        <v>87</v>
      </c>
    </row>
    <row r="25" spans="1:3">
      <c r="A25" s="19" t="s">
        <v>32</v>
      </c>
      <c r="C25" s="19" t="s">
        <v>88</v>
      </c>
    </row>
    <row r="26" spans="1:3">
      <c r="A26" s="10" t="s">
        <v>65</v>
      </c>
      <c r="C26" s="20" t="s">
        <v>89</v>
      </c>
    </row>
    <row r="27" spans="1:3">
      <c r="A27" s="21" t="s">
        <v>81</v>
      </c>
      <c r="C27" s="19" t="s">
        <v>90</v>
      </c>
    </row>
    <row r="28" spans="1:3">
      <c r="A28" s="19" t="s">
        <v>82</v>
      </c>
      <c r="C28" s="19" t="s">
        <v>91</v>
      </c>
    </row>
    <row r="29" spans="1:3">
      <c r="A29" s="10" t="s">
        <v>68</v>
      </c>
      <c r="C29" s="19" t="s">
        <v>92</v>
      </c>
    </row>
    <row r="30" spans="1:3">
      <c r="A30" s="20" t="s">
        <v>83</v>
      </c>
      <c r="C30" s="19" t="s">
        <v>93</v>
      </c>
    </row>
    <row r="31" spans="1:3">
      <c r="A31" s="11" t="s">
        <v>53</v>
      </c>
      <c r="C31" s="19" t="s">
        <v>94</v>
      </c>
    </row>
    <row r="32" spans="1:3">
      <c r="A32" s="19" t="s">
        <v>84</v>
      </c>
      <c r="C32" s="20" t="s">
        <v>95</v>
      </c>
    </row>
    <row r="33" spans="1:3">
      <c r="A33" s="20" t="s">
        <v>85</v>
      </c>
      <c r="C33" s="20" t="s">
        <v>96</v>
      </c>
    </row>
    <row r="34" spans="1:3">
      <c r="A34" s="11" t="s">
        <v>54</v>
      </c>
      <c r="C34" s="19" t="s">
        <v>97</v>
      </c>
    </row>
    <row r="35" spans="1:3">
      <c r="A35" s="19" t="s">
        <v>86</v>
      </c>
      <c r="C35" s="20" t="s">
        <v>98</v>
      </c>
    </row>
    <row r="36" spans="1:3">
      <c r="A36" s="19" t="s">
        <v>87</v>
      </c>
      <c r="C36" s="19" t="s">
        <v>39</v>
      </c>
    </row>
    <row r="37" spans="1:3">
      <c r="A37" s="19" t="s">
        <v>88</v>
      </c>
      <c r="C37" s="85" t="s">
        <v>40</v>
      </c>
    </row>
    <row r="38" spans="1:3">
      <c r="A38" s="20" t="s">
        <v>89</v>
      </c>
      <c r="C38" s="19" t="s">
        <v>42</v>
      </c>
    </row>
    <row r="39" spans="1:3">
      <c r="A39" s="11" t="s">
        <v>35</v>
      </c>
      <c r="C39" s="19" t="s">
        <v>99</v>
      </c>
    </row>
    <row r="40" spans="1:3">
      <c r="A40" s="19" t="s">
        <v>90</v>
      </c>
      <c r="C40" s="20" t="s">
        <v>100</v>
      </c>
    </row>
    <row r="41" spans="1:3">
      <c r="A41" s="19" t="s">
        <v>91</v>
      </c>
      <c r="C41" s="19" t="s">
        <v>101</v>
      </c>
    </row>
    <row r="42" spans="1:3">
      <c r="A42" s="19" t="s">
        <v>92</v>
      </c>
      <c r="C42" s="19" t="s">
        <v>102</v>
      </c>
    </row>
    <row r="43" spans="1:3">
      <c r="A43" s="19" t="s">
        <v>93</v>
      </c>
      <c r="C43" s="19" t="s">
        <v>103</v>
      </c>
    </row>
    <row r="44" spans="1:3">
      <c r="A44" s="19" t="s">
        <v>94</v>
      </c>
      <c r="C44" s="19" t="s">
        <v>104</v>
      </c>
    </row>
    <row r="45" spans="1:3">
      <c r="A45" s="20" t="s">
        <v>95</v>
      </c>
      <c r="C45" s="19" t="s">
        <v>105</v>
      </c>
    </row>
    <row r="46" spans="1:3">
      <c r="A46" s="11" t="s">
        <v>55</v>
      </c>
      <c r="C46" s="19" t="s">
        <v>106</v>
      </c>
    </row>
    <row r="47" spans="1:3">
      <c r="A47" s="20" t="s">
        <v>96</v>
      </c>
      <c r="C47" s="19" t="s">
        <v>107</v>
      </c>
    </row>
    <row r="48" spans="1:3">
      <c r="A48" s="11" t="s">
        <v>58</v>
      </c>
      <c r="C48" s="19" t="s">
        <v>108</v>
      </c>
    </row>
    <row r="49" spans="1:3">
      <c r="A49" s="19" t="s">
        <v>97</v>
      </c>
      <c r="C49" s="19" t="s">
        <v>109</v>
      </c>
    </row>
    <row r="50" spans="1:3">
      <c r="A50" s="20" t="s">
        <v>98</v>
      </c>
      <c r="C50" s="20" t="s">
        <v>36</v>
      </c>
    </row>
    <row r="51" spans="1:3">
      <c r="A51" s="11" t="s">
        <v>38</v>
      </c>
      <c r="C51" s="19" t="s">
        <v>110</v>
      </c>
    </row>
    <row r="52" spans="1:3">
      <c r="A52" s="19" t="s">
        <v>39</v>
      </c>
      <c r="C52" s="19" t="s">
        <v>111</v>
      </c>
    </row>
    <row r="53" spans="1:3">
      <c r="A53" s="20" t="s">
        <v>112</v>
      </c>
      <c r="C53" s="19" t="s">
        <v>113</v>
      </c>
    </row>
    <row r="54" spans="1:3">
      <c r="A54" s="11" t="s">
        <v>41</v>
      </c>
      <c r="C54" s="19" t="s">
        <v>114</v>
      </c>
    </row>
    <row r="55" spans="1:3">
      <c r="A55" s="19" t="s">
        <v>42</v>
      </c>
      <c r="C55" s="19" t="s">
        <v>115</v>
      </c>
    </row>
    <row r="56" spans="1:3">
      <c r="A56" s="19" t="s">
        <v>99</v>
      </c>
      <c r="C56" s="19" t="s">
        <v>116</v>
      </c>
    </row>
    <row r="57" spans="1:3">
      <c r="A57" s="20" t="s">
        <v>100</v>
      </c>
      <c r="C57" s="19" t="s">
        <v>117</v>
      </c>
    </row>
    <row r="58" spans="1:3">
      <c r="A58" s="11" t="s">
        <v>46</v>
      </c>
      <c r="C58" s="19" t="s">
        <v>118</v>
      </c>
    </row>
    <row r="59" spans="1:3">
      <c r="A59" s="19" t="s">
        <v>101</v>
      </c>
      <c r="C59" s="19" t="s">
        <v>119</v>
      </c>
    </row>
    <row r="60" spans="1:3">
      <c r="A60" s="19" t="s">
        <v>102</v>
      </c>
      <c r="C60" s="19" t="s">
        <v>120</v>
      </c>
    </row>
    <row r="61" spans="1:3">
      <c r="A61" s="19" t="s">
        <v>103</v>
      </c>
      <c r="C61" s="19" t="s">
        <v>121</v>
      </c>
    </row>
    <row r="62" spans="1:3">
      <c r="A62" s="19" t="s">
        <v>104</v>
      </c>
      <c r="C62" s="19" t="s">
        <v>122</v>
      </c>
    </row>
    <row r="63" spans="1:3">
      <c r="A63" s="19" t="s">
        <v>105</v>
      </c>
      <c r="C63" s="20" t="s">
        <v>123</v>
      </c>
    </row>
    <row r="64" spans="1:3">
      <c r="A64" s="19" t="s">
        <v>106</v>
      </c>
      <c r="C64" s="20" t="s">
        <v>124</v>
      </c>
    </row>
    <row r="65" spans="1:3">
      <c r="A65" s="19" t="s">
        <v>107</v>
      </c>
      <c r="C65" s="19" t="s">
        <v>125</v>
      </c>
    </row>
    <row r="66" spans="1:3">
      <c r="A66" s="19" t="s">
        <v>108</v>
      </c>
      <c r="C66" s="19" t="s">
        <v>126</v>
      </c>
    </row>
    <row r="67" spans="1:3">
      <c r="A67" s="19" t="s">
        <v>109</v>
      </c>
      <c r="C67" s="20" t="s">
        <v>127</v>
      </c>
    </row>
    <row r="68" spans="1:3">
      <c r="A68" s="20" t="s">
        <v>36</v>
      </c>
      <c r="C68" s="19" t="s">
        <v>128</v>
      </c>
    </row>
    <row r="69" spans="1:3">
      <c r="A69" s="11" t="s">
        <v>59</v>
      </c>
      <c r="C69" s="20" t="s">
        <v>129</v>
      </c>
    </row>
    <row r="70" spans="1:3">
      <c r="A70" s="19" t="s">
        <v>110</v>
      </c>
      <c r="C70" s="20" t="s">
        <v>130</v>
      </c>
    </row>
    <row r="71" spans="1:3">
      <c r="A71" s="19" t="s">
        <v>111</v>
      </c>
      <c r="C71" s="20" t="s">
        <v>131</v>
      </c>
    </row>
    <row r="72" spans="1:3">
      <c r="A72" s="19" t="s">
        <v>113</v>
      </c>
      <c r="C72" s="20" t="s">
        <v>45</v>
      </c>
    </row>
    <row r="73" spans="1:3">
      <c r="A73" s="19" t="s">
        <v>114</v>
      </c>
      <c r="C73" s="15" t="s">
        <v>132</v>
      </c>
    </row>
    <row r="74" spans="1:3">
      <c r="A74" s="19" t="s">
        <v>115</v>
      </c>
    </row>
    <row r="75" spans="1:3">
      <c r="A75" s="19" t="s">
        <v>116</v>
      </c>
    </row>
    <row r="76" spans="1:3">
      <c r="A76" s="19" t="s">
        <v>117</v>
      </c>
    </row>
    <row r="77" spans="1:3">
      <c r="A77" s="19" t="s">
        <v>118</v>
      </c>
    </row>
    <row r="78" spans="1:3">
      <c r="A78" s="19" t="s">
        <v>119</v>
      </c>
    </row>
    <row r="79" spans="1:3">
      <c r="A79" s="19" t="s">
        <v>120</v>
      </c>
    </row>
    <row r="80" spans="1:3">
      <c r="A80" s="19" t="s">
        <v>121</v>
      </c>
    </row>
    <row r="81" spans="1:1">
      <c r="A81" s="19" t="s">
        <v>122</v>
      </c>
    </row>
    <row r="82" spans="1:1">
      <c r="A82" s="20" t="s">
        <v>123</v>
      </c>
    </row>
    <row r="83" spans="1:1">
      <c r="A83" s="11" t="s">
        <v>62</v>
      </c>
    </row>
    <row r="84" spans="1:1">
      <c r="A84" s="20" t="s">
        <v>124</v>
      </c>
    </row>
    <row r="85" spans="1:1">
      <c r="A85" s="11" t="s">
        <v>64</v>
      </c>
    </row>
    <row r="86" spans="1:1">
      <c r="A86" s="19" t="s">
        <v>125</v>
      </c>
    </row>
    <row r="87" spans="1:1">
      <c r="A87" s="19" t="s">
        <v>126</v>
      </c>
    </row>
    <row r="88" spans="1:1">
      <c r="A88" s="20" t="s">
        <v>127</v>
      </c>
    </row>
    <row r="89" spans="1:1">
      <c r="A89" s="11" t="s">
        <v>67</v>
      </c>
    </row>
    <row r="90" spans="1:1">
      <c r="A90" s="19" t="s">
        <v>128</v>
      </c>
    </row>
    <row r="91" spans="1:1">
      <c r="A91" s="20" t="s">
        <v>129</v>
      </c>
    </row>
    <row r="92" spans="1:1">
      <c r="A92" s="11" t="s">
        <v>70</v>
      </c>
    </row>
    <row r="93" spans="1:1">
      <c r="A93" s="20" t="s">
        <v>130</v>
      </c>
    </row>
    <row r="94" spans="1:1">
      <c r="A94" s="11" t="s">
        <v>72</v>
      </c>
    </row>
    <row r="95" spans="1:1">
      <c r="A95" s="20" t="s">
        <v>131</v>
      </c>
    </row>
    <row r="96" spans="1:1">
      <c r="A96" s="11" t="s">
        <v>44</v>
      </c>
    </row>
    <row r="97" spans="1:1">
      <c r="A97" s="20" t="s">
        <v>45</v>
      </c>
    </row>
  </sheetData>
  <pageMargins left="0.75" right="0.75" top="1" bottom="1" header="0.5" footer="0.5"/>
  <tableParts count="7">
    <tablePart r:id="rId1"/>
    <tablePart r:id="rId2"/>
    <tablePart r:id="rId3"/>
    <tablePart r:id="rId4"/>
    <tablePart r:id="rId5"/>
    <tablePart r:id="rId6"/>
    <tablePart r:id="rId7"/>
  </tableParts>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04D227-0EF5-41D5-A20C-DD946C7D3AC3}">
  <sheetPr codeName="Sheet3">
    <pageSetUpPr fitToPage="1"/>
  </sheetPr>
  <dimension ref="A1:N365"/>
  <sheetViews>
    <sheetView topLeftCell="D1" zoomScaleNormal="100" workbookViewId="0">
      <selection activeCell="F19" sqref="F19:J19"/>
    </sheetView>
  </sheetViews>
  <sheetFormatPr defaultRowHeight="13.2"/>
  <cols>
    <col min="1" max="1" width="28.09765625" style="37" hidden="1" customWidth="1"/>
    <col min="2" max="2" width="9.19921875" style="37" hidden="1" customWidth="1"/>
    <col min="3" max="3" width="5.69921875" style="37" hidden="1" customWidth="1"/>
    <col min="4" max="4" width="39.8984375" style="133" customWidth="1"/>
    <col min="5" max="5" width="8.69921875" style="133" bestFit="1" customWidth="1"/>
    <col min="6" max="10" width="13.09765625" style="133" customWidth="1"/>
    <col min="11" max="11" width="3.09765625" style="133" customWidth="1"/>
    <col min="12" max="12" width="100.09765625" style="133" customWidth="1"/>
    <col min="13" max="13" width="2.19921875" style="133" customWidth="1"/>
    <col min="14" max="256" width="9" style="37"/>
    <col min="257" max="259" width="0" style="37" hidden="1" customWidth="1"/>
    <col min="260" max="260" width="39.8984375" style="37" customWidth="1"/>
    <col min="261" max="261" width="8.69921875" style="37" bestFit="1" customWidth="1"/>
    <col min="262" max="266" width="13.09765625" style="37" customWidth="1"/>
    <col min="267" max="267" width="3.09765625" style="37" customWidth="1"/>
    <col min="268" max="268" width="100.09765625" style="37" customWidth="1"/>
    <col min="269" max="269" width="2.19921875" style="37" customWidth="1"/>
    <col min="270" max="512" width="9" style="37"/>
    <col min="513" max="515" width="0" style="37" hidden="1" customWidth="1"/>
    <col min="516" max="516" width="39.8984375" style="37" customWidth="1"/>
    <col min="517" max="517" width="8.69921875" style="37" bestFit="1" customWidth="1"/>
    <col min="518" max="522" width="13.09765625" style="37" customWidth="1"/>
    <col min="523" max="523" width="3.09765625" style="37" customWidth="1"/>
    <col min="524" max="524" width="100.09765625" style="37" customWidth="1"/>
    <col min="525" max="525" width="2.19921875" style="37" customWidth="1"/>
    <col min="526" max="768" width="9" style="37"/>
    <col min="769" max="771" width="0" style="37" hidden="1" customWidth="1"/>
    <col min="772" max="772" width="39.8984375" style="37" customWidth="1"/>
    <col min="773" max="773" width="8.69921875" style="37" bestFit="1" customWidth="1"/>
    <col min="774" max="778" width="13.09765625" style="37" customWidth="1"/>
    <col min="779" max="779" width="3.09765625" style="37" customWidth="1"/>
    <col min="780" max="780" width="100.09765625" style="37" customWidth="1"/>
    <col min="781" max="781" width="2.19921875" style="37" customWidth="1"/>
    <col min="782" max="1024" width="9" style="37"/>
    <col min="1025" max="1027" width="0" style="37" hidden="1" customWidth="1"/>
    <col min="1028" max="1028" width="39.8984375" style="37" customWidth="1"/>
    <col min="1029" max="1029" width="8.69921875" style="37" bestFit="1" customWidth="1"/>
    <col min="1030" max="1034" width="13.09765625" style="37" customWidth="1"/>
    <col min="1035" max="1035" width="3.09765625" style="37" customWidth="1"/>
    <col min="1036" max="1036" width="100.09765625" style="37" customWidth="1"/>
    <col min="1037" max="1037" width="2.19921875" style="37" customWidth="1"/>
    <col min="1038" max="1280" width="9" style="37"/>
    <col min="1281" max="1283" width="0" style="37" hidden="1" customWidth="1"/>
    <col min="1284" max="1284" width="39.8984375" style="37" customWidth="1"/>
    <col min="1285" max="1285" width="8.69921875" style="37" bestFit="1" customWidth="1"/>
    <col min="1286" max="1290" width="13.09765625" style="37" customWidth="1"/>
    <col min="1291" max="1291" width="3.09765625" style="37" customWidth="1"/>
    <col min="1292" max="1292" width="100.09765625" style="37" customWidth="1"/>
    <col min="1293" max="1293" width="2.19921875" style="37" customWidth="1"/>
    <col min="1294" max="1536" width="9" style="37"/>
    <col min="1537" max="1539" width="0" style="37" hidden="1" customWidth="1"/>
    <col min="1540" max="1540" width="39.8984375" style="37" customWidth="1"/>
    <col min="1541" max="1541" width="8.69921875" style="37" bestFit="1" customWidth="1"/>
    <col min="1542" max="1546" width="13.09765625" style="37" customWidth="1"/>
    <col min="1547" max="1547" width="3.09765625" style="37" customWidth="1"/>
    <col min="1548" max="1548" width="100.09765625" style="37" customWidth="1"/>
    <col min="1549" max="1549" width="2.19921875" style="37" customWidth="1"/>
    <col min="1550" max="1792" width="9" style="37"/>
    <col min="1793" max="1795" width="0" style="37" hidden="1" customWidth="1"/>
    <col min="1796" max="1796" width="39.8984375" style="37" customWidth="1"/>
    <col min="1797" max="1797" width="8.69921875" style="37" bestFit="1" customWidth="1"/>
    <col min="1798" max="1802" width="13.09765625" style="37" customWidth="1"/>
    <col min="1803" max="1803" width="3.09765625" style="37" customWidth="1"/>
    <col min="1804" max="1804" width="100.09765625" style="37" customWidth="1"/>
    <col min="1805" max="1805" width="2.19921875" style="37" customWidth="1"/>
    <col min="1806" max="2048" width="9" style="37"/>
    <col min="2049" max="2051" width="0" style="37" hidden="1" customWidth="1"/>
    <col min="2052" max="2052" width="39.8984375" style="37" customWidth="1"/>
    <col min="2053" max="2053" width="8.69921875" style="37" bestFit="1" customWidth="1"/>
    <col min="2054" max="2058" width="13.09765625" style="37" customWidth="1"/>
    <col min="2059" max="2059" width="3.09765625" style="37" customWidth="1"/>
    <col min="2060" max="2060" width="100.09765625" style="37" customWidth="1"/>
    <col min="2061" max="2061" width="2.19921875" style="37" customWidth="1"/>
    <col min="2062" max="2304" width="9" style="37"/>
    <col min="2305" max="2307" width="0" style="37" hidden="1" customWidth="1"/>
    <col min="2308" max="2308" width="39.8984375" style="37" customWidth="1"/>
    <col min="2309" max="2309" width="8.69921875" style="37" bestFit="1" customWidth="1"/>
    <col min="2310" max="2314" width="13.09765625" style="37" customWidth="1"/>
    <col min="2315" max="2315" width="3.09765625" style="37" customWidth="1"/>
    <col min="2316" max="2316" width="100.09765625" style="37" customWidth="1"/>
    <col min="2317" max="2317" width="2.19921875" style="37" customWidth="1"/>
    <col min="2318" max="2560" width="9" style="37"/>
    <col min="2561" max="2563" width="0" style="37" hidden="1" customWidth="1"/>
    <col min="2564" max="2564" width="39.8984375" style="37" customWidth="1"/>
    <col min="2565" max="2565" width="8.69921875" style="37" bestFit="1" customWidth="1"/>
    <col min="2566" max="2570" width="13.09765625" style="37" customWidth="1"/>
    <col min="2571" max="2571" width="3.09765625" style="37" customWidth="1"/>
    <col min="2572" max="2572" width="100.09765625" style="37" customWidth="1"/>
    <col min="2573" max="2573" width="2.19921875" style="37" customWidth="1"/>
    <col min="2574" max="2816" width="9" style="37"/>
    <col min="2817" max="2819" width="0" style="37" hidden="1" customWidth="1"/>
    <col min="2820" max="2820" width="39.8984375" style="37" customWidth="1"/>
    <col min="2821" max="2821" width="8.69921875" style="37" bestFit="1" customWidth="1"/>
    <col min="2822" max="2826" width="13.09765625" style="37" customWidth="1"/>
    <col min="2827" max="2827" width="3.09765625" style="37" customWidth="1"/>
    <col min="2828" max="2828" width="100.09765625" style="37" customWidth="1"/>
    <col min="2829" max="2829" width="2.19921875" style="37" customWidth="1"/>
    <col min="2830" max="3072" width="9" style="37"/>
    <col min="3073" max="3075" width="0" style="37" hidden="1" customWidth="1"/>
    <col min="3076" max="3076" width="39.8984375" style="37" customWidth="1"/>
    <col min="3077" max="3077" width="8.69921875" style="37" bestFit="1" customWidth="1"/>
    <col min="3078" max="3082" width="13.09765625" style="37" customWidth="1"/>
    <col min="3083" max="3083" width="3.09765625" style="37" customWidth="1"/>
    <col min="3084" max="3084" width="100.09765625" style="37" customWidth="1"/>
    <col min="3085" max="3085" width="2.19921875" style="37" customWidth="1"/>
    <col min="3086" max="3328" width="9" style="37"/>
    <col min="3329" max="3331" width="0" style="37" hidden="1" customWidth="1"/>
    <col min="3332" max="3332" width="39.8984375" style="37" customWidth="1"/>
    <col min="3333" max="3333" width="8.69921875" style="37" bestFit="1" customWidth="1"/>
    <col min="3334" max="3338" width="13.09765625" style="37" customWidth="1"/>
    <col min="3339" max="3339" width="3.09765625" style="37" customWidth="1"/>
    <col min="3340" max="3340" width="100.09765625" style="37" customWidth="1"/>
    <col min="3341" max="3341" width="2.19921875" style="37" customWidth="1"/>
    <col min="3342" max="3584" width="9" style="37"/>
    <col min="3585" max="3587" width="0" style="37" hidden="1" customWidth="1"/>
    <col min="3588" max="3588" width="39.8984375" style="37" customWidth="1"/>
    <col min="3589" max="3589" width="8.69921875" style="37" bestFit="1" customWidth="1"/>
    <col min="3590" max="3594" width="13.09765625" style="37" customWidth="1"/>
    <col min="3595" max="3595" width="3.09765625" style="37" customWidth="1"/>
    <col min="3596" max="3596" width="100.09765625" style="37" customWidth="1"/>
    <col min="3597" max="3597" width="2.19921875" style="37" customWidth="1"/>
    <col min="3598" max="3840" width="9" style="37"/>
    <col min="3841" max="3843" width="0" style="37" hidden="1" customWidth="1"/>
    <col min="3844" max="3844" width="39.8984375" style="37" customWidth="1"/>
    <col min="3845" max="3845" width="8.69921875" style="37" bestFit="1" customWidth="1"/>
    <col min="3846" max="3850" width="13.09765625" style="37" customWidth="1"/>
    <col min="3851" max="3851" width="3.09765625" style="37" customWidth="1"/>
    <col min="3852" max="3852" width="100.09765625" style="37" customWidth="1"/>
    <col min="3853" max="3853" width="2.19921875" style="37" customWidth="1"/>
    <col min="3854" max="4096" width="9" style="37"/>
    <col min="4097" max="4099" width="0" style="37" hidden="1" customWidth="1"/>
    <col min="4100" max="4100" width="39.8984375" style="37" customWidth="1"/>
    <col min="4101" max="4101" width="8.69921875" style="37" bestFit="1" customWidth="1"/>
    <col min="4102" max="4106" width="13.09765625" style="37" customWidth="1"/>
    <col min="4107" max="4107" width="3.09765625" style="37" customWidth="1"/>
    <col min="4108" max="4108" width="100.09765625" style="37" customWidth="1"/>
    <col min="4109" max="4109" width="2.19921875" style="37" customWidth="1"/>
    <col min="4110" max="4352" width="9" style="37"/>
    <col min="4353" max="4355" width="0" style="37" hidden="1" customWidth="1"/>
    <col min="4356" max="4356" width="39.8984375" style="37" customWidth="1"/>
    <col min="4357" max="4357" width="8.69921875" style="37" bestFit="1" customWidth="1"/>
    <col min="4358" max="4362" width="13.09765625" style="37" customWidth="1"/>
    <col min="4363" max="4363" width="3.09765625" style="37" customWidth="1"/>
    <col min="4364" max="4364" width="100.09765625" style="37" customWidth="1"/>
    <col min="4365" max="4365" width="2.19921875" style="37" customWidth="1"/>
    <col min="4366" max="4608" width="9" style="37"/>
    <col min="4609" max="4611" width="0" style="37" hidden="1" customWidth="1"/>
    <col min="4612" max="4612" width="39.8984375" style="37" customWidth="1"/>
    <col min="4613" max="4613" width="8.69921875" style="37" bestFit="1" customWidth="1"/>
    <col min="4614" max="4618" width="13.09765625" style="37" customWidth="1"/>
    <col min="4619" max="4619" width="3.09765625" style="37" customWidth="1"/>
    <col min="4620" max="4620" width="100.09765625" style="37" customWidth="1"/>
    <col min="4621" max="4621" width="2.19921875" style="37" customWidth="1"/>
    <col min="4622" max="4864" width="9" style="37"/>
    <col min="4865" max="4867" width="0" style="37" hidden="1" customWidth="1"/>
    <col min="4868" max="4868" width="39.8984375" style="37" customWidth="1"/>
    <col min="4869" max="4869" width="8.69921875" style="37" bestFit="1" customWidth="1"/>
    <col min="4870" max="4874" width="13.09765625" style="37" customWidth="1"/>
    <col min="4875" max="4875" width="3.09765625" style="37" customWidth="1"/>
    <col min="4876" max="4876" width="100.09765625" style="37" customWidth="1"/>
    <col min="4877" max="4877" width="2.19921875" style="37" customWidth="1"/>
    <col min="4878" max="5120" width="9" style="37"/>
    <col min="5121" max="5123" width="0" style="37" hidden="1" customWidth="1"/>
    <col min="5124" max="5124" width="39.8984375" style="37" customWidth="1"/>
    <col min="5125" max="5125" width="8.69921875" style="37" bestFit="1" customWidth="1"/>
    <col min="5126" max="5130" width="13.09765625" style="37" customWidth="1"/>
    <col min="5131" max="5131" width="3.09765625" style="37" customWidth="1"/>
    <col min="5132" max="5132" width="100.09765625" style="37" customWidth="1"/>
    <col min="5133" max="5133" width="2.19921875" style="37" customWidth="1"/>
    <col min="5134" max="5376" width="9" style="37"/>
    <col min="5377" max="5379" width="0" style="37" hidden="1" customWidth="1"/>
    <col min="5380" max="5380" width="39.8984375" style="37" customWidth="1"/>
    <col min="5381" max="5381" width="8.69921875" style="37" bestFit="1" customWidth="1"/>
    <col min="5382" max="5386" width="13.09765625" style="37" customWidth="1"/>
    <col min="5387" max="5387" width="3.09765625" style="37" customWidth="1"/>
    <col min="5388" max="5388" width="100.09765625" style="37" customWidth="1"/>
    <col min="5389" max="5389" width="2.19921875" style="37" customWidth="1"/>
    <col min="5390" max="5632" width="9" style="37"/>
    <col min="5633" max="5635" width="0" style="37" hidden="1" customWidth="1"/>
    <col min="5636" max="5636" width="39.8984375" style="37" customWidth="1"/>
    <col min="5637" max="5637" width="8.69921875" style="37" bestFit="1" customWidth="1"/>
    <col min="5638" max="5642" width="13.09765625" style="37" customWidth="1"/>
    <col min="5643" max="5643" width="3.09765625" style="37" customWidth="1"/>
    <col min="5644" max="5644" width="100.09765625" style="37" customWidth="1"/>
    <col min="5645" max="5645" width="2.19921875" style="37" customWidth="1"/>
    <col min="5646" max="5888" width="9" style="37"/>
    <col min="5889" max="5891" width="0" style="37" hidden="1" customWidth="1"/>
    <col min="5892" max="5892" width="39.8984375" style="37" customWidth="1"/>
    <col min="5893" max="5893" width="8.69921875" style="37" bestFit="1" customWidth="1"/>
    <col min="5894" max="5898" width="13.09765625" style="37" customWidth="1"/>
    <col min="5899" max="5899" width="3.09765625" style="37" customWidth="1"/>
    <col min="5900" max="5900" width="100.09765625" style="37" customWidth="1"/>
    <col min="5901" max="5901" width="2.19921875" style="37" customWidth="1"/>
    <col min="5902" max="6144" width="9" style="37"/>
    <col min="6145" max="6147" width="0" style="37" hidden="1" customWidth="1"/>
    <col min="6148" max="6148" width="39.8984375" style="37" customWidth="1"/>
    <col min="6149" max="6149" width="8.69921875" style="37" bestFit="1" customWidth="1"/>
    <col min="6150" max="6154" width="13.09765625" style="37" customWidth="1"/>
    <col min="6155" max="6155" width="3.09765625" style="37" customWidth="1"/>
    <col min="6156" max="6156" width="100.09765625" style="37" customWidth="1"/>
    <col min="6157" max="6157" width="2.19921875" style="37" customWidth="1"/>
    <col min="6158" max="6400" width="9" style="37"/>
    <col min="6401" max="6403" width="0" style="37" hidden="1" customWidth="1"/>
    <col min="6404" max="6404" width="39.8984375" style="37" customWidth="1"/>
    <col min="6405" max="6405" width="8.69921875" style="37" bestFit="1" customWidth="1"/>
    <col min="6406" max="6410" width="13.09765625" style="37" customWidth="1"/>
    <col min="6411" max="6411" width="3.09765625" style="37" customWidth="1"/>
    <col min="6412" max="6412" width="100.09765625" style="37" customWidth="1"/>
    <col min="6413" max="6413" width="2.19921875" style="37" customWidth="1"/>
    <col min="6414" max="6656" width="9" style="37"/>
    <col min="6657" max="6659" width="0" style="37" hidden="1" customWidth="1"/>
    <col min="6660" max="6660" width="39.8984375" style="37" customWidth="1"/>
    <col min="6661" max="6661" width="8.69921875" style="37" bestFit="1" customWidth="1"/>
    <col min="6662" max="6666" width="13.09765625" style="37" customWidth="1"/>
    <col min="6667" max="6667" width="3.09765625" style="37" customWidth="1"/>
    <col min="6668" max="6668" width="100.09765625" style="37" customWidth="1"/>
    <col min="6669" max="6669" width="2.19921875" style="37" customWidth="1"/>
    <col min="6670" max="6912" width="9" style="37"/>
    <col min="6913" max="6915" width="0" style="37" hidden="1" customWidth="1"/>
    <col min="6916" max="6916" width="39.8984375" style="37" customWidth="1"/>
    <col min="6917" max="6917" width="8.69921875" style="37" bestFit="1" customWidth="1"/>
    <col min="6918" max="6922" width="13.09765625" style="37" customWidth="1"/>
    <col min="6923" max="6923" width="3.09765625" style="37" customWidth="1"/>
    <col min="6924" max="6924" width="100.09765625" style="37" customWidth="1"/>
    <col min="6925" max="6925" width="2.19921875" style="37" customWidth="1"/>
    <col min="6926" max="7168" width="9" style="37"/>
    <col min="7169" max="7171" width="0" style="37" hidden="1" customWidth="1"/>
    <col min="7172" max="7172" width="39.8984375" style="37" customWidth="1"/>
    <col min="7173" max="7173" width="8.69921875" style="37" bestFit="1" customWidth="1"/>
    <col min="7174" max="7178" width="13.09765625" style="37" customWidth="1"/>
    <col min="7179" max="7179" width="3.09765625" style="37" customWidth="1"/>
    <col min="7180" max="7180" width="100.09765625" style="37" customWidth="1"/>
    <col min="7181" max="7181" width="2.19921875" style="37" customWidth="1"/>
    <col min="7182" max="7424" width="9" style="37"/>
    <col min="7425" max="7427" width="0" style="37" hidden="1" customWidth="1"/>
    <col min="7428" max="7428" width="39.8984375" style="37" customWidth="1"/>
    <col min="7429" max="7429" width="8.69921875" style="37" bestFit="1" customWidth="1"/>
    <col min="7430" max="7434" width="13.09765625" style="37" customWidth="1"/>
    <col min="7435" max="7435" width="3.09765625" style="37" customWidth="1"/>
    <col min="7436" max="7436" width="100.09765625" style="37" customWidth="1"/>
    <col min="7437" max="7437" width="2.19921875" style="37" customWidth="1"/>
    <col min="7438" max="7680" width="9" style="37"/>
    <col min="7681" max="7683" width="0" style="37" hidden="1" customWidth="1"/>
    <col min="7684" max="7684" width="39.8984375" style="37" customWidth="1"/>
    <col min="7685" max="7685" width="8.69921875" style="37" bestFit="1" customWidth="1"/>
    <col min="7686" max="7690" width="13.09765625" style="37" customWidth="1"/>
    <col min="7691" max="7691" width="3.09765625" style="37" customWidth="1"/>
    <col min="7692" max="7692" width="100.09765625" style="37" customWidth="1"/>
    <col min="7693" max="7693" width="2.19921875" style="37" customWidth="1"/>
    <col min="7694" max="7936" width="9" style="37"/>
    <col min="7937" max="7939" width="0" style="37" hidden="1" customWidth="1"/>
    <col min="7940" max="7940" width="39.8984375" style="37" customWidth="1"/>
    <col min="7941" max="7941" width="8.69921875" style="37" bestFit="1" customWidth="1"/>
    <col min="7942" max="7946" width="13.09765625" style="37" customWidth="1"/>
    <col min="7947" max="7947" width="3.09765625" style="37" customWidth="1"/>
    <col min="7948" max="7948" width="100.09765625" style="37" customWidth="1"/>
    <col min="7949" max="7949" width="2.19921875" style="37" customWidth="1"/>
    <col min="7950" max="8192" width="9" style="37"/>
    <col min="8193" max="8195" width="0" style="37" hidden="1" customWidth="1"/>
    <col min="8196" max="8196" width="39.8984375" style="37" customWidth="1"/>
    <col min="8197" max="8197" width="8.69921875" style="37" bestFit="1" customWidth="1"/>
    <col min="8198" max="8202" width="13.09765625" style="37" customWidth="1"/>
    <col min="8203" max="8203" width="3.09765625" style="37" customWidth="1"/>
    <col min="8204" max="8204" width="100.09765625" style="37" customWidth="1"/>
    <col min="8205" max="8205" width="2.19921875" style="37" customWidth="1"/>
    <col min="8206" max="8448" width="9" style="37"/>
    <col min="8449" max="8451" width="0" style="37" hidden="1" customWidth="1"/>
    <col min="8452" max="8452" width="39.8984375" style="37" customWidth="1"/>
    <col min="8453" max="8453" width="8.69921875" style="37" bestFit="1" customWidth="1"/>
    <col min="8454" max="8458" width="13.09765625" style="37" customWidth="1"/>
    <col min="8459" max="8459" width="3.09765625" style="37" customWidth="1"/>
    <col min="8460" max="8460" width="100.09765625" style="37" customWidth="1"/>
    <col min="8461" max="8461" width="2.19921875" style="37" customWidth="1"/>
    <col min="8462" max="8704" width="9" style="37"/>
    <col min="8705" max="8707" width="0" style="37" hidden="1" customWidth="1"/>
    <col min="8708" max="8708" width="39.8984375" style="37" customWidth="1"/>
    <col min="8709" max="8709" width="8.69921875" style="37" bestFit="1" customWidth="1"/>
    <col min="8710" max="8714" width="13.09765625" style="37" customWidth="1"/>
    <col min="8715" max="8715" width="3.09765625" style="37" customWidth="1"/>
    <col min="8716" max="8716" width="100.09765625" style="37" customWidth="1"/>
    <col min="8717" max="8717" width="2.19921875" style="37" customWidth="1"/>
    <col min="8718" max="8960" width="9" style="37"/>
    <col min="8961" max="8963" width="0" style="37" hidden="1" customWidth="1"/>
    <col min="8964" max="8964" width="39.8984375" style="37" customWidth="1"/>
    <col min="8965" max="8965" width="8.69921875" style="37" bestFit="1" customWidth="1"/>
    <col min="8966" max="8970" width="13.09765625" style="37" customWidth="1"/>
    <col min="8971" max="8971" width="3.09765625" style="37" customWidth="1"/>
    <col min="8972" max="8972" width="100.09765625" style="37" customWidth="1"/>
    <col min="8973" max="8973" width="2.19921875" style="37" customWidth="1"/>
    <col min="8974" max="9216" width="9" style="37"/>
    <col min="9217" max="9219" width="0" style="37" hidden="1" customWidth="1"/>
    <col min="9220" max="9220" width="39.8984375" style="37" customWidth="1"/>
    <col min="9221" max="9221" width="8.69921875" style="37" bestFit="1" customWidth="1"/>
    <col min="9222" max="9226" width="13.09765625" style="37" customWidth="1"/>
    <col min="9227" max="9227" width="3.09765625" style="37" customWidth="1"/>
    <col min="9228" max="9228" width="100.09765625" style="37" customWidth="1"/>
    <col min="9229" max="9229" width="2.19921875" style="37" customWidth="1"/>
    <col min="9230" max="9472" width="9" style="37"/>
    <col min="9473" max="9475" width="0" style="37" hidden="1" customWidth="1"/>
    <col min="9476" max="9476" width="39.8984375" style="37" customWidth="1"/>
    <col min="9477" max="9477" width="8.69921875" style="37" bestFit="1" customWidth="1"/>
    <col min="9478" max="9482" width="13.09765625" style="37" customWidth="1"/>
    <col min="9483" max="9483" width="3.09765625" style="37" customWidth="1"/>
    <col min="9484" max="9484" width="100.09765625" style="37" customWidth="1"/>
    <col min="9485" max="9485" width="2.19921875" style="37" customWidth="1"/>
    <col min="9486" max="9728" width="9" style="37"/>
    <col min="9729" max="9731" width="0" style="37" hidden="1" customWidth="1"/>
    <col min="9732" max="9732" width="39.8984375" style="37" customWidth="1"/>
    <col min="9733" max="9733" width="8.69921875" style="37" bestFit="1" customWidth="1"/>
    <col min="9734" max="9738" width="13.09765625" style="37" customWidth="1"/>
    <col min="9739" max="9739" width="3.09765625" style="37" customWidth="1"/>
    <col min="9740" max="9740" width="100.09765625" style="37" customWidth="1"/>
    <col min="9741" max="9741" width="2.19921875" style="37" customWidth="1"/>
    <col min="9742" max="9984" width="9" style="37"/>
    <col min="9985" max="9987" width="0" style="37" hidden="1" customWidth="1"/>
    <col min="9988" max="9988" width="39.8984375" style="37" customWidth="1"/>
    <col min="9989" max="9989" width="8.69921875" style="37" bestFit="1" customWidth="1"/>
    <col min="9990" max="9994" width="13.09765625" style="37" customWidth="1"/>
    <col min="9995" max="9995" width="3.09765625" style="37" customWidth="1"/>
    <col min="9996" max="9996" width="100.09765625" style="37" customWidth="1"/>
    <col min="9997" max="9997" width="2.19921875" style="37" customWidth="1"/>
    <col min="9998" max="10240" width="9" style="37"/>
    <col min="10241" max="10243" width="0" style="37" hidden="1" customWidth="1"/>
    <col min="10244" max="10244" width="39.8984375" style="37" customWidth="1"/>
    <col min="10245" max="10245" width="8.69921875" style="37" bestFit="1" customWidth="1"/>
    <col min="10246" max="10250" width="13.09765625" style="37" customWidth="1"/>
    <col min="10251" max="10251" width="3.09765625" style="37" customWidth="1"/>
    <col min="10252" max="10252" width="100.09765625" style="37" customWidth="1"/>
    <col min="10253" max="10253" width="2.19921875" style="37" customWidth="1"/>
    <col min="10254" max="10496" width="9" style="37"/>
    <col min="10497" max="10499" width="0" style="37" hidden="1" customWidth="1"/>
    <col min="10500" max="10500" width="39.8984375" style="37" customWidth="1"/>
    <col min="10501" max="10501" width="8.69921875" style="37" bestFit="1" customWidth="1"/>
    <col min="10502" max="10506" width="13.09765625" style="37" customWidth="1"/>
    <col min="10507" max="10507" width="3.09765625" style="37" customWidth="1"/>
    <col min="10508" max="10508" width="100.09765625" style="37" customWidth="1"/>
    <col min="10509" max="10509" width="2.19921875" style="37" customWidth="1"/>
    <col min="10510" max="10752" width="9" style="37"/>
    <col min="10753" max="10755" width="0" style="37" hidden="1" customWidth="1"/>
    <col min="10756" max="10756" width="39.8984375" style="37" customWidth="1"/>
    <col min="10757" max="10757" width="8.69921875" style="37" bestFit="1" customWidth="1"/>
    <col min="10758" max="10762" width="13.09765625" style="37" customWidth="1"/>
    <col min="10763" max="10763" width="3.09765625" style="37" customWidth="1"/>
    <col min="10764" max="10764" width="100.09765625" style="37" customWidth="1"/>
    <col min="10765" max="10765" width="2.19921875" style="37" customWidth="1"/>
    <col min="10766" max="11008" width="9" style="37"/>
    <col min="11009" max="11011" width="0" style="37" hidden="1" customWidth="1"/>
    <col min="11012" max="11012" width="39.8984375" style="37" customWidth="1"/>
    <col min="11013" max="11013" width="8.69921875" style="37" bestFit="1" customWidth="1"/>
    <col min="11014" max="11018" width="13.09765625" style="37" customWidth="1"/>
    <col min="11019" max="11019" width="3.09765625" style="37" customWidth="1"/>
    <col min="11020" max="11020" width="100.09765625" style="37" customWidth="1"/>
    <col min="11021" max="11021" width="2.19921875" style="37" customWidth="1"/>
    <col min="11022" max="11264" width="9" style="37"/>
    <col min="11265" max="11267" width="0" style="37" hidden="1" customWidth="1"/>
    <col min="11268" max="11268" width="39.8984375" style="37" customWidth="1"/>
    <col min="11269" max="11269" width="8.69921875" style="37" bestFit="1" customWidth="1"/>
    <col min="11270" max="11274" width="13.09765625" style="37" customWidth="1"/>
    <col min="11275" max="11275" width="3.09765625" style="37" customWidth="1"/>
    <col min="11276" max="11276" width="100.09765625" style="37" customWidth="1"/>
    <col min="11277" max="11277" width="2.19921875" style="37" customWidth="1"/>
    <col min="11278" max="11520" width="9" style="37"/>
    <col min="11521" max="11523" width="0" style="37" hidden="1" customWidth="1"/>
    <col min="11524" max="11524" width="39.8984375" style="37" customWidth="1"/>
    <col min="11525" max="11525" width="8.69921875" style="37" bestFit="1" customWidth="1"/>
    <col min="11526" max="11530" width="13.09765625" style="37" customWidth="1"/>
    <col min="11531" max="11531" width="3.09765625" style="37" customWidth="1"/>
    <col min="11532" max="11532" width="100.09765625" style="37" customWidth="1"/>
    <col min="11533" max="11533" width="2.19921875" style="37" customWidth="1"/>
    <col min="11534" max="11776" width="9" style="37"/>
    <col min="11777" max="11779" width="0" style="37" hidden="1" customWidth="1"/>
    <col min="11780" max="11780" width="39.8984375" style="37" customWidth="1"/>
    <col min="11781" max="11781" width="8.69921875" style="37" bestFit="1" customWidth="1"/>
    <col min="11782" max="11786" width="13.09765625" style="37" customWidth="1"/>
    <col min="11787" max="11787" width="3.09765625" style="37" customWidth="1"/>
    <col min="11788" max="11788" width="100.09765625" style="37" customWidth="1"/>
    <col min="11789" max="11789" width="2.19921875" style="37" customWidth="1"/>
    <col min="11790" max="12032" width="9" style="37"/>
    <col min="12033" max="12035" width="0" style="37" hidden="1" customWidth="1"/>
    <col min="12036" max="12036" width="39.8984375" style="37" customWidth="1"/>
    <col min="12037" max="12037" width="8.69921875" style="37" bestFit="1" customWidth="1"/>
    <col min="12038" max="12042" width="13.09765625" style="37" customWidth="1"/>
    <col min="12043" max="12043" width="3.09765625" style="37" customWidth="1"/>
    <col min="12044" max="12044" width="100.09765625" style="37" customWidth="1"/>
    <col min="12045" max="12045" width="2.19921875" style="37" customWidth="1"/>
    <col min="12046" max="12288" width="9" style="37"/>
    <col min="12289" max="12291" width="0" style="37" hidden="1" customWidth="1"/>
    <col min="12292" max="12292" width="39.8984375" style="37" customWidth="1"/>
    <col min="12293" max="12293" width="8.69921875" style="37" bestFit="1" customWidth="1"/>
    <col min="12294" max="12298" width="13.09765625" style="37" customWidth="1"/>
    <col min="12299" max="12299" width="3.09765625" style="37" customWidth="1"/>
    <col min="12300" max="12300" width="100.09765625" style="37" customWidth="1"/>
    <col min="12301" max="12301" width="2.19921875" style="37" customWidth="1"/>
    <col min="12302" max="12544" width="9" style="37"/>
    <col min="12545" max="12547" width="0" style="37" hidden="1" customWidth="1"/>
    <col min="12548" max="12548" width="39.8984375" style="37" customWidth="1"/>
    <col min="12549" max="12549" width="8.69921875" style="37" bestFit="1" customWidth="1"/>
    <col min="12550" max="12554" width="13.09765625" style="37" customWidth="1"/>
    <col min="12555" max="12555" width="3.09765625" style="37" customWidth="1"/>
    <col min="12556" max="12556" width="100.09765625" style="37" customWidth="1"/>
    <col min="12557" max="12557" width="2.19921875" style="37" customWidth="1"/>
    <col min="12558" max="12800" width="9" style="37"/>
    <col min="12801" max="12803" width="0" style="37" hidden="1" customWidth="1"/>
    <col min="12804" max="12804" width="39.8984375" style="37" customWidth="1"/>
    <col min="12805" max="12805" width="8.69921875" style="37" bestFit="1" customWidth="1"/>
    <col min="12806" max="12810" width="13.09765625" style="37" customWidth="1"/>
    <col min="12811" max="12811" width="3.09765625" style="37" customWidth="1"/>
    <col min="12812" max="12812" width="100.09765625" style="37" customWidth="1"/>
    <col min="12813" max="12813" width="2.19921875" style="37" customWidth="1"/>
    <col min="12814" max="13056" width="9" style="37"/>
    <col min="13057" max="13059" width="0" style="37" hidden="1" customWidth="1"/>
    <col min="13060" max="13060" width="39.8984375" style="37" customWidth="1"/>
    <col min="13061" max="13061" width="8.69921875" style="37" bestFit="1" customWidth="1"/>
    <col min="13062" max="13066" width="13.09765625" style="37" customWidth="1"/>
    <col min="13067" max="13067" width="3.09765625" style="37" customWidth="1"/>
    <col min="13068" max="13068" width="100.09765625" style="37" customWidth="1"/>
    <col min="13069" max="13069" width="2.19921875" style="37" customWidth="1"/>
    <col min="13070" max="13312" width="9" style="37"/>
    <col min="13313" max="13315" width="0" style="37" hidden="1" customWidth="1"/>
    <col min="13316" max="13316" width="39.8984375" style="37" customWidth="1"/>
    <col min="13317" max="13317" width="8.69921875" style="37" bestFit="1" customWidth="1"/>
    <col min="13318" max="13322" width="13.09765625" style="37" customWidth="1"/>
    <col min="13323" max="13323" width="3.09765625" style="37" customWidth="1"/>
    <col min="13324" max="13324" width="100.09765625" style="37" customWidth="1"/>
    <col min="13325" max="13325" width="2.19921875" style="37" customWidth="1"/>
    <col min="13326" max="13568" width="9" style="37"/>
    <col min="13569" max="13571" width="0" style="37" hidden="1" customWidth="1"/>
    <col min="13572" max="13572" width="39.8984375" style="37" customWidth="1"/>
    <col min="13573" max="13573" width="8.69921875" style="37" bestFit="1" customWidth="1"/>
    <col min="13574" max="13578" width="13.09765625" style="37" customWidth="1"/>
    <col min="13579" max="13579" width="3.09765625" style="37" customWidth="1"/>
    <col min="13580" max="13580" width="100.09765625" style="37" customWidth="1"/>
    <col min="13581" max="13581" width="2.19921875" style="37" customWidth="1"/>
    <col min="13582" max="13824" width="9" style="37"/>
    <col min="13825" max="13827" width="0" style="37" hidden="1" customWidth="1"/>
    <col min="13828" max="13828" width="39.8984375" style="37" customWidth="1"/>
    <col min="13829" max="13829" width="8.69921875" style="37" bestFit="1" customWidth="1"/>
    <col min="13830" max="13834" width="13.09765625" style="37" customWidth="1"/>
    <col min="13835" max="13835" width="3.09765625" style="37" customWidth="1"/>
    <col min="13836" max="13836" width="100.09765625" style="37" customWidth="1"/>
    <col min="13837" max="13837" width="2.19921875" style="37" customWidth="1"/>
    <col min="13838" max="14080" width="9" style="37"/>
    <col min="14081" max="14083" width="0" style="37" hidden="1" customWidth="1"/>
    <col min="14084" max="14084" width="39.8984375" style="37" customWidth="1"/>
    <col min="14085" max="14085" width="8.69921875" style="37" bestFit="1" customWidth="1"/>
    <col min="14086" max="14090" width="13.09765625" style="37" customWidth="1"/>
    <col min="14091" max="14091" width="3.09765625" style="37" customWidth="1"/>
    <col min="14092" max="14092" width="100.09765625" style="37" customWidth="1"/>
    <col min="14093" max="14093" width="2.19921875" style="37" customWidth="1"/>
    <col min="14094" max="14336" width="9" style="37"/>
    <col min="14337" max="14339" width="0" style="37" hidden="1" customWidth="1"/>
    <col min="14340" max="14340" width="39.8984375" style="37" customWidth="1"/>
    <col min="14341" max="14341" width="8.69921875" style="37" bestFit="1" customWidth="1"/>
    <col min="14342" max="14346" width="13.09765625" style="37" customWidth="1"/>
    <col min="14347" max="14347" width="3.09765625" style="37" customWidth="1"/>
    <col min="14348" max="14348" width="100.09765625" style="37" customWidth="1"/>
    <col min="14349" max="14349" width="2.19921875" style="37" customWidth="1"/>
    <col min="14350" max="14592" width="9" style="37"/>
    <col min="14593" max="14595" width="0" style="37" hidden="1" customWidth="1"/>
    <col min="14596" max="14596" width="39.8984375" style="37" customWidth="1"/>
    <col min="14597" max="14597" width="8.69921875" style="37" bestFit="1" customWidth="1"/>
    <col min="14598" max="14602" width="13.09765625" style="37" customWidth="1"/>
    <col min="14603" max="14603" width="3.09765625" style="37" customWidth="1"/>
    <col min="14604" max="14604" width="100.09765625" style="37" customWidth="1"/>
    <col min="14605" max="14605" width="2.19921875" style="37" customWidth="1"/>
    <col min="14606" max="14848" width="9" style="37"/>
    <col min="14849" max="14851" width="0" style="37" hidden="1" customWidth="1"/>
    <col min="14852" max="14852" width="39.8984375" style="37" customWidth="1"/>
    <col min="14853" max="14853" width="8.69921875" style="37" bestFit="1" customWidth="1"/>
    <col min="14854" max="14858" width="13.09765625" style="37" customWidth="1"/>
    <col min="14859" max="14859" width="3.09765625" style="37" customWidth="1"/>
    <col min="14860" max="14860" width="100.09765625" style="37" customWidth="1"/>
    <col min="14861" max="14861" width="2.19921875" style="37" customWidth="1"/>
    <col min="14862" max="15104" width="9" style="37"/>
    <col min="15105" max="15107" width="0" style="37" hidden="1" customWidth="1"/>
    <col min="15108" max="15108" width="39.8984375" style="37" customWidth="1"/>
    <col min="15109" max="15109" width="8.69921875" style="37" bestFit="1" customWidth="1"/>
    <col min="15110" max="15114" width="13.09765625" style="37" customWidth="1"/>
    <col min="15115" max="15115" width="3.09765625" style="37" customWidth="1"/>
    <col min="15116" max="15116" width="100.09765625" style="37" customWidth="1"/>
    <col min="15117" max="15117" width="2.19921875" style="37" customWidth="1"/>
    <col min="15118" max="15360" width="9" style="37"/>
    <col min="15361" max="15363" width="0" style="37" hidden="1" customWidth="1"/>
    <col min="15364" max="15364" width="39.8984375" style="37" customWidth="1"/>
    <col min="15365" max="15365" width="8.69921875" style="37" bestFit="1" customWidth="1"/>
    <col min="15366" max="15370" width="13.09765625" style="37" customWidth="1"/>
    <col min="15371" max="15371" width="3.09765625" style="37" customWidth="1"/>
    <col min="15372" max="15372" width="100.09765625" style="37" customWidth="1"/>
    <col min="15373" max="15373" width="2.19921875" style="37" customWidth="1"/>
    <col min="15374" max="15616" width="9" style="37"/>
    <col min="15617" max="15619" width="0" style="37" hidden="1" customWidth="1"/>
    <col min="15620" max="15620" width="39.8984375" style="37" customWidth="1"/>
    <col min="15621" max="15621" width="8.69921875" style="37" bestFit="1" customWidth="1"/>
    <col min="15622" max="15626" width="13.09765625" style="37" customWidth="1"/>
    <col min="15627" max="15627" width="3.09765625" style="37" customWidth="1"/>
    <col min="15628" max="15628" width="100.09765625" style="37" customWidth="1"/>
    <col min="15629" max="15629" width="2.19921875" style="37" customWidth="1"/>
    <col min="15630" max="15872" width="9" style="37"/>
    <col min="15873" max="15875" width="0" style="37" hidden="1" customWidth="1"/>
    <col min="15876" max="15876" width="39.8984375" style="37" customWidth="1"/>
    <col min="15877" max="15877" width="8.69921875" style="37" bestFit="1" customWidth="1"/>
    <col min="15878" max="15882" width="13.09765625" style="37" customWidth="1"/>
    <col min="15883" max="15883" width="3.09765625" style="37" customWidth="1"/>
    <col min="15884" max="15884" width="100.09765625" style="37" customWidth="1"/>
    <col min="15885" max="15885" width="2.19921875" style="37" customWidth="1"/>
    <col min="15886" max="16128" width="9" style="37"/>
    <col min="16129" max="16131" width="0" style="37" hidden="1" customWidth="1"/>
    <col min="16132" max="16132" width="39.8984375" style="37" customWidth="1"/>
    <col min="16133" max="16133" width="8.69921875" style="37" bestFit="1" customWidth="1"/>
    <col min="16134" max="16138" width="13.09765625" style="37" customWidth="1"/>
    <col min="16139" max="16139" width="3.09765625" style="37" customWidth="1"/>
    <col min="16140" max="16140" width="100.09765625" style="37" customWidth="1"/>
    <col min="16141" max="16141" width="2.19921875" style="37" customWidth="1"/>
    <col min="16142" max="16384" width="9" style="37"/>
  </cols>
  <sheetData>
    <row r="1" spans="1:14" ht="14.4">
      <c r="A1" s="35" t="s">
        <v>146</v>
      </c>
      <c r="B1" s="35" t="s">
        <v>147</v>
      </c>
      <c r="C1" s="34" t="s">
        <v>148</v>
      </c>
      <c r="D1" s="132" t="s">
        <v>149</v>
      </c>
      <c r="F1" s="134" t="s">
        <v>150</v>
      </c>
      <c r="J1" s="135" t="s">
        <v>151</v>
      </c>
      <c r="N1" s="136"/>
    </row>
    <row r="2" spans="1:14" ht="14.4">
      <c r="A2" s="27" t="s">
        <v>152</v>
      </c>
      <c r="B2" s="27"/>
      <c r="C2" s="32">
        <f>F8</f>
        <v>0</v>
      </c>
      <c r="D2" s="137" t="s">
        <v>153</v>
      </c>
      <c r="E2" s="138"/>
      <c r="F2" s="138"/>
      <c r="G2" s="138"/>
      <c r="H2" s="138"/>
      <c r="I2" s="138"/>
      <c r="J2" s="138"/>
      <c r="K2" s="138"/>
      <c r="L2" s="139" t="s">
        <v>710</v>
      </c>
      <c r="M2" s="138"/>
      <c r="N2" s="140"/>
    </row>
    <row r="3" spans="1:14" ht="13.8">
      <c r="A3" s="27" t="s">
        <v>154</v>
      </c>
      <c r="B3" s="27"/>
      <c r="C3" s="30">
        <f>F10</f>
        <v>0</v>
      </c>
      <c r="D3" s="141" t="s">
        <v>155</v>
      </c>
      <c r="E3" s="141"/>
      <c r="F3" s="469">
        <f>'SP5-1'!E11</f>
        <v>0</v>
      </c>
      <c r="G3" s="469"/>
      <c r="H3" s="469"/>
      <c r="I3" s="142"/>
      <c r="J3" s="142"/>
      <c r="L3" s="143"/>
      <c r="N3" s="136"/>
    </row>
    <row r="4" spans="1:14" ht="13.8">
      <c r="A4" s="27" t="s">
        <v>156</v>
      </c>
      <c r="B4" s="27"/>
      <c r="C4" s="30">
        <f>F12</f>
        <v>0</v>
      </c>
      <c r="D4" s="141" t="s">
        <v>157</v>
      </c>
      <c r="E4" s="141"/>
      <c r="F4" s="469">
        <f>'SP5-1'!E12</f>
        <v>0</v>
      </c>
      <c r="G4" s="469"/>
      <c r="H4" s="469"/>
      <c r="I4" s="144"/>
      <c r="J4" s="142"/>
      <c r="L4" s="143"/>
      <c r="N4" s="136"/>
    </row>
    <row r="5" spans="1:14" ht="13.8">
      <c r="A5" s="27" t="s">
        <v>158</v>
      </c>
      <c r="B5" s="27" t="s">
        <v>159</v>
      </c>
      <c r="C5" s="30">
        <f>F22</f>
        <v>0</v>
      </c>
      <c r="D5" s="141"/>
      <c r="E5" s="141"/>
      <c r="F5" s="141"/>
      <c r="G5" s="141"/>
      <c r="H5" s="142"/>
      <c r="I5" s="142"/>
      <c r="J5" s="142"/>
      <c r="L5" s="145"/>
      <c r="N5" s="136"/>
    </row>
    <row r="6" spans="1:14" ht="12.75" customHeight="1">
      <c r="A6" s="27" t="s">
        <v>158</v>
      </c>
      <c r="B6" s="27" t="s">
        <v>160</v>
      </c>
      <c r="C6" s="30">
        <f>G22</f>
        <v>0</v>
      </c>
      <c r="D6" s="141" t="s">
        <v>161</v>
      </c>
      <c r="E6" s="141"/>
      <c r="F6" s="469">
        <f>'SP5-1'!C7</f>
        <v>0</v>
      </c>
      <c r="G6" s="469"/>
      <c r="H6" s="469"/>
      <c r="I6" s="142"/>
      <c r="J6" s="142"/>
      <c r="L6" s="143"/>
      <c r="N6" s="136"/>
    </row>
    <row r="7" spans="1:14" ht="12.75" customHeight="1">
      <c r="A7" s="27" t="s">
        <v>162</v>
      </c>
      <c r="B7" s="27" t="s">
        <v>159</v>
      </c>
      <c r="C7" s="30">
        <f>F23</f>
        <v>0</v>
      </c>
      <c r="D7" s="141" t="s">
        <v>163</v>
      </c>
      <c r="E7" s="141"/>
      <c r="F7" s="469">
        <f>'SP5-1'!C8</f>
        <v>0</v>
      </c>
      <c r="G7" s="469"/>
      <c r="H7" s="469"/>
      <c r="I7" s="142"/>
      <c r="J7" s="142"/>
      <c r="L7" s="143"/>
      <c r="N7" s="136"/>
    </row>
    <row r="8" spans="1:14" ht="13.8">
      <c r="A8" s="27" t="s">
        <v>162</v>
      </c>
      <c r="B8" s="27" t="s">
        <v>160</v>
      </c>
      <c r="C8" s="30">
        <f>G23</f>
        <v>0</v>
      </c>
      <c r="D8" s="141" t="s">
        <v>164</v>
      </c>
      <c r="E8" s="146" t="s">
        <v>165</v>
      </c>
      <c r="F8" s="147">
        <f>'SP5-1'!I26</f>
        <v>0</v>
      </c>
      <c r="G8" s="141"/>
      <c r="H8" s="141"/>
      <c r="L8" s="143"/>
      <c r="N8" s="136"/>
    </row>
    <row r="9" spans="1:14" ht="13.8">
      <c r="A9" s="27" t="s">
        <v>162</v>
      </c>
      <c r="B9" s="27" t="s">
        <v>166</v>
      </c>
      <c r="C9" s="30">
        <f>H23</f>
        <v>0</v>
      </c>
      <c r="D9" s="141"/>
      <c r="E9" s="146"/>
      <c r="F9" s="141"/>
      <c r="G9" s="141"/>
      <c r="H9" s="142"/>
      <c r="I9" s="142"/>
      <c r="J9" s="142"/>
      <c r="L9" s="145"/>
      <c r="N9" s="136"/>
    </row>
    <row r="10" spans="1:14" ht="13.8">
      <c r="A10" s="27" t="s">
        <v>167</v>
      </c>
      <c r="B10" s="27" t="s">
        <v>159</v>
      </c>
      <c r="C10" s="30">
        <f>F24</f>
        <v>0</v>
      </c>
      <c r="D10" s="141" t="s">
        <v>168</v>
      </c>
      <c r="E10" s="146" t="s">
        <v>169</v>
      </c>
      <c r="F10" s="148">
        <f>'SP5-1'!I21</f>
        <v>0</v>
      </c>
      <c r="G10" s="141"/>
      <c r="H10" s="142"/>
      <c r="I10" s="142"/>
      <c r="J10" s="142"/>
      <c r="L10" s="143"/>
      <c r="N10" s="136"/>
    </row>
    <row r="11" spans="1:14" ht="13.8">
      <c r="A11" s="27" t="s">
        <v>167</v>
      </c>
      <c r="B11" s="27" t="s">
        <v>160</v>
      </c>
      <c r="C11" s="30">
        <f>G24</f>
        <v>0</v>
      </c>
      <c r="D11" s="141" t="s">
        <v>170</v>
      </c>
      <c r="E11" s="146" t="s">
        <v>171</v>
      </c>
      <c r="F11" s="148">
        <f>'SP5-1'!I22</f>
        <v>0</v>
      </c>
      <c r="G11" s="141"/>
      <c r="H11" s="142"/>
      <c r="I11" s="142"/>
      <c r="J11" s="142"/>
      <c r="L11" s="143"/>
      <c r="N11" s="136"/>
    </row>
    <row r="12" spans="1:14" ht="13.8">
      <c r="A12" s="27" t="s">
        <v>167</v>
      </c>
      <c r="B12" s="27" t="s">
        <v>166</v>
      </c>
      <c r="C12" s="30">
        <f>H24</f>
        <v>0</v>
      </c>
      <c r="D12" s="141" t="s">
        <v>172</v>
      </c>
      <c r="E12" s="146" t="s">
        <v>169</v>
      </c>
      <c r="F12" s="148">
        <f>'SP5-1'!I27</f>
        <v>0</v>
      </c>
      <c r="G12" s="141"/>
      <c r="H12" s="142"/>
      <c r="I12" s="142"/>
      <c r="J12" s="142"/>
      <c r="L12" s="143"/>
      <c r="N12" s="136"/>
    </row>
    <row r="13" spans="1:14" ht="13.8">
      <c r="A13" s="27" t="s">
        <v>173</v>
      </c>
      <c r="B13" s="27" t="s">
        <v>159</v>
      </c>
      <c r="C13" s="33">
        <f>F25</f>
        <v>0</v>
      </c>
      <c r="D13" s="141"/>
      <c r="E13" s="141"/>
      <c r="F13" s="141"/>
      <c r="G13" s="141"/>
      <c r="H13" s="149"/>
      <c r="I13" s="149"/>
      <c r="J13" s="149"/>
      <c r="L13" s="145"/>
      <c r="N13" s="136"/>
    </row>
    <row r="14" spans="1:14" ht="13.8">
      <c r="A14" s="27" t="s">
        <v>173</v>
      </c>
      <c r="B14" s="27" t="s">
        <v>160</v>
      </c>
      <c r="C14" s="28">
        <f>G25</f>
        <v>0</v>
      </c>
      <c r="D14" s="141" t="s">
        <v>174</v>
      </c>
      <c r="E14" s="141"/>
      <c r="F14" s="469">
        <f>'SP5-1'!E16</f>
        <v>0</v>
      </c>
      <c r="G14" s="469"/>
      <c r="H14" s="469"/>
      <c r="I14" s="469"/>
      <c r="J14" s="469"/>
      <c r="L14" s="143"/>
      <c r="N14" s="136"/>
    </row>
    <row r="15" spans="1:14" ht="12.75" customHeight="1">
      <c r="A15" s="27" t="s">
        <v>173</v>
      </c>
      <c r="B15" s="27" t="s">
        <v>166</v>
      </c>
      <c r="C15" s="33">
        <f>H25</f>
        <v>0</v>
      </c>
      <c r="D15" s="141" t="s">
        <v>175</v>
      </c>
      <c r="E15" s="141"/>
      <c r="F15" s="469">
        <f>'SP5-1'!E14</f>
        <v>0</v>
      </c>
      <c r="G15" s="469"/>
      <c r="H15" s="469"/>
      <c r="I15" s="469"/>
      <c r="J15" s="469"/>
      <c r="L15" s="143"/>
      <c r="N15" s="136"/>
    </row>
    <row r="16" spans="1:14" ht="12.75" customHeight="1">
      <c r="A16" s="27" t="s">
        <v>176</v>
      </c>
      <c r="B16" s="27" t="s">
        <v>159</v>
      </c>
      <c r="C16" s="33">
        <f>F26</f>
        <v>0</v>
      </c>
      <c r="D16" s="141" t="s">
        <v>177</v>
      </c>
      <c r="E16" s="141"/>
      <c r="F16" s="469">
        <f>'SP5-1'!E18</f>
        <v>0</v>
      </c>
      <c r="G16" s="469"/>
      <c r="H16" s="469"/>
      <c r="I16" s="469"/>
      <c r="J16" s="469"/>
      <c r="L16" s="143"/>
      <c r="N16" s="136"/>
    </row>
    <row r="17" spans="1:14" ht="12.75" customHeight="1">
      <c r="A17" s="27" t="s">
        <v>176</v>
      </c>
      <c r="B17" s="27" t="s">
        <v>160</v>
      </c>
      <c r="C17" s="28">
        <f>G26</f>
        <v>0</v>
      </c>
      <c r="D17" s="141" t="s">
        <v>178</v>
      </c>
      <c r="E17" s="141"/>
      <c r="F17" s="469"/>
      <c r="G17" s="469"/>
      <c r="H17" s="469"/>
      <c r="I17" s="469"/>
      <c r="J17" s="469"/>
      <c r="L17" s="143"/>
      <c r="N17" s="136"/>
    </row>
    <row r="18" spans="1:14" ht="12.75" customHeight="1">
      <c r="A18" s="27" t="s">
        <v>179</v>
      </c>
      <c r="B18" s="27" t="s">
        <v>159</v>
      </c>
      <c r="C18" s="33">
        <f>F27</f>
        <v>0</v>
      </c>
      <c r="D18" s="141" t="s">
        <v>180</v>
      </c>
      <c r="E18" s="141"/>
      <c r="F18" s="469">
        <f>'SP5-1'!E19</f>
        <v>0</v>
      </c>
      <c r="G18" s="469"/>
      <c r="H18" s="469"/>
      <c r="I18" s="469"/>
      <c r="J18" s="469"/>
      <c r="L18" s="143"/>
      <c r="N18" s="136"/>
    </row>
    <row r="19" spans="1:14" ht="12.75" customHeight="1">
      <c r="A19" s="27" t="s">
        <v>179</v>
      </c>
      <c r="B19" s="27" t="s">
        <v>160</v>
      </c>
      <c r="C19" s="28">
        <f>G27</f>
        <v>0</v>
      </c>
      <c r="D19" s="141" t="s">
        <v>181</v>
      </c>
      <c r="E19" s="141"/>
      <c r="F19" s="469">
        <f>'SP5-1'!E13</f>
        <v>0</v>
      </c>
      <c r="G19" s="469"/>
      <c r="H19" s="469"/>
      <c r="I19" s="469"/>
      <c r="J19" s="469"/>
      <c r="L19" s="143"/>
      <c r="N19" s="136"/>
    </row>
    <row r="20" spans="1:14" ht="13.8">
      <c r="A20" s="27" t="s">
        <v>179</v>
      </c>
      <c r="B20" s="27" t="s">
        <v>166</v>
      </c>
      <c r="C20" s="28">
        <f>H27</f>
        <v>0</v>
      </c>
      <c r="D20" s="141"/>
      <c r="E20" s="141"/>
      <c r="F20" s="141"/>
      <c r="G20" s="141"/>
      <c r="H20" s="141"/>
      <c r="I20" s="141"/>
      <c r="L20" s="145"/>
      <c r="N20" s="136"/>
    </row>
    <row r="21" spans="1:14" ht="13.8">
      <c r="A21" s="27" t="s">
        <v>182</v>
      </c>
      <c r="B21" s="27" t="s">
        <v>159</v>
      </c>
      <c r="C21" s="33">
        <f>F28</f>
        <v>0</v>
      </c>
      <c r="D21" s="150" t="s">
        <v>183</v>
      </c>
      <c r="E21" s="141"/>
      <c r="F21" s="150" t="s">
        <v>184</v>
      </c>
      <c r="G21" s="150" t="s">
        <v>185</v>
      </c>
      <c r="H21" s="150" t="s">
        <v>186</v>
      </c>
      <c r="I21" s="141"/>
      <c r="L21" s="145"/>
      <c r="N21" s="136"/>
    </row>
    <row r="22" spans="1:14" ht="13.8">
      <c r="A22" s="27" t="s">
        <v>182</v>
      </c>
      <c r="B22" s="27" t="s">
        <v>160</v>
      </c>
      <c r="C22" s="28">
        <f>G28</f>
        <v>0</v>
      </c>
      <c r="D22" s="141" t="s">
        <v>187</v>
      </c>
      <c r="E22" s="146" t="s">
        <v>188</v>
      </c>
      <c r="F22" s="151">
        <f>'SP5-1'!I28</f>
        <v>0</v>
      </c>
      <c r="G22" s="152">
        <f>'SP5-1'!I29</f>
        <v>0</v>
      </c>
      <c r="H22" s="141"/>
      <c r="I22" s="141"/>
      <c r="L22" s="143"/>
      <c r="N22" s="136"/>
    </row>
    <row r="23" spans="1:14" ht="13.8">
      <c r="A23" s="27" t="s">
        <v>189</v>
      </c>
      <c r="B23" s="153"/>
      <c r="C23" s="154">
        <f>F29</f>
        <v>0</v>
      </c>
      <c r="D23" s="141" t="s">
        <v>190</v>
      </c>
      <c r="E23" s="146" t="s">
        <v>191</v>
      </c>
      <c r="F23" s="151">
        <v>0</v>
      </c>
      <c r="G23" s="152">
        <v>0</v>
      </c>
      <c r="H23" s="151">
        <v>0</v>
      </c>
      <c r="I23" s="141"/>
      <c r="L23" s="143"/>
      <c r="N23" s="136"/>
    </row>
    <row r="24" spans="1:14" ht="13.8">
      <c r="A24" s="27" t="s">
        <v>192</v>
      </c>
      <c r="B24" s="27"/>
      <c r="C24" s="30">
        <f>F30</f>
        <v>0</v>
      </c>
      <c r="D24" s="141" t="s">
        <v>193</v>
      </c>
      <c r="E24" s="146" t="s">
        <v>191</v>
      </c>
      <c r="F24" s="151">
        <v>0</v>
      </c>
      <c r="G24" s="152">
        <v>0</v>
      </c>
      <c r="H24" s="151">
        <v>0</v>
      </c>
      <c r="I24" s="141"/>
      <c r="K24" s="155"/>
      <c r="L24" s="143"/>
      <c r="N24" s="136"/>
    </row>
    <row r="25" spans="1:14" ht="13.8">
      <c r="A25" s="27" t="s">
        <v>194</v>
      </c>
      <c r="B25" s="27" t="s">
        <v>195</v>
      </c>
      <c r="C25" s="32">
        <f>F33</f>
        <v>0</v>
      </c>
      <c r="D25" s="141" t="s">
        <v>196</v>
      </c>
      <c r="E25" s="146" t="s">
        <v>191</v>
      </c>
      <c r="F25" s="151">
        <v>0</v>
      </c>
      <c r="G25" s="152">
        <v>0</v>
      </c>
      <c r="H25" s="151">
        <v>0</v>
      </c>
      <c r="I25" s="141"/>
      <c r="L25" s="143"/>
      <c r="N25" s="136"/>
    </row>
    <row r="26" spans="1:14" ht="13.8">
      <c r="A26" s="27" t="s">
        <v>194</v>
      </c>
      <c r="B26" s="27" t="s">
        <v>197</v>
      </c>
      <c r="C26" s="32">
        <f>G33</f>
        <v>0</v>
      </c>
      <c r="D26" s="141" t="s">
        <v>198</v>
      </c>
      <c r="E26" s="146" t="s">
        <v>191</v>
      </c>
      <c r="F26" s="151">
        <v>0</v>
      </c>
      <c r="G26" s="152">
        <v>0</v>
      </c>
      <c r="H26" s="141"/>
      <c r="I26" s="141"/>
      <c r="L26" s="143"/>
      <c r="N26" s="136"/>
    </row>
    <row r="27" spans="1:14" ht="13.8">
      <c r="A27" s="27" t="s">
        <v>199</v>
      </c>
      <c r="B27" s="27" t="s">
        <v>195</v>
      </c>
      <c r="C27" s="32">
        <f>F34</f>
        <v>0</v>
      </c>
      <c r="D27" s="141" t="s">
        <v>200</v>
      </c>
      <c r="E27" s="146" t="s">
        <v>201</v>
      </c>
      <c r="F27" s="151">
        <v>0</v>
      </c>
      <c r="G27" s="152">
        <v>0</v>
      </c>
      <c r="H27" s="151">
        <v>0</v>
      </c>
      <c r="I27" s="141"/>
      <c r="L27" s="143"/>
      <c r="N27" s="136"/>
    </row>
    <row r="28" spans="1:14" ht="13.8">
      <c r="A28" s="27" t="s">
        <v>199</v>
      </c>
      <c r="B28" s="27" t="s">
        <v>197</v>
      </c>
      <c r="C28" s="32">
        <f>G34</f>
        <v>0</v>
      </c>
      <c r="D28" s="141" t="s">
        <v>202</v>
      </c>
      <c r="E28" s="146" t="s">
        <v>188</v>
      </c>
      <c r="F28" s="151">
        <v>0</v>
      </c>
      <c r="G28" s="152">
        <v>0</v>
      </c>
      <c r="H28" s="141"/>
      <c r="I28" s="141"/>
      <c r="L28" s="143"/>
      <c r="N28" s="136"/>
    </row>
    <row r="29" spans="1:14" ht="13.8">
      <c r="A29" s="27" t="s">
        <v>203</v>
      </c>
      <c r="B29" s="27" t="s">
        <v>195</v>
      </c>
      <c r="C29" s="32">
        <f>F35</f>
        <v>0</v>
      </c>
      <c r="D29" s="141" t="s">
        <v>202</v>
      </c>
      <c r="E29" s="146" t="s">
        <v>204</v>
      </c>
      <c r="F29" s="156">
        <v>0</v>
      </c>
      <c r="G29" s="141"/>
      <c r="H29" s="141"/>
      <c r="I29" s="141"/>
      <c r="L29" s="143"/>
      <c r="N29" s="136"/>
    </row>
    <row r="30" spans="1:14" ht="13.8">
      <c r="A30" s="27" t="s">
        <v>203</v>
      </c>
      <c r="B30" s="27" t="s">
        <v>197</v>
      </c>
      <c r="C30" s="32">
        <f>G35</f>
        <v>0</v>
      </c>
      <c r="D30" s="141" t="s">
        <v>205</v>
      </c>
      <c r="E30" s="141"/>
      <c r="F30" s="157">
        <f>'SP5-6'!N9</f>
        <v>0</v>
      </c>
      <c r="G30" s="141"/>
      <c r="H30" s="141"/>
      <c r="I30" s="141"/>
      <c r="L30" s="143"/>
      <c r="N30" s="136"/>
    </row>
    <row r="31" spans="1:14" ht="13.8">
      <c r="A31" s="27" t="s">
        <v>206</v>
      </c>
      <c r="B31" s="27" t="s">
        <v>195</v>
      </c>
      <c r="C31" s="28">
        <f>F36</f>
        <v>0</v>
      </c>
      <c r="D31" s="141"/>
      <c r="E31" s="141"/>
      <c r="F31" s="141"/>
      <c r="G31" s="141"/>
      <c r="H31" s="141"/>
      <c r="I31" s="141"/>
      <c r="L31" s="145"/>
      <c r="N31" s="136"/>
    </row>
    <row r="32" spans="1:14" ht="13.8">
      <c r="A32" s="27" t="s">
        <v>206</v>
      </c>
      <c r="B32" s="27" t="s">
        <v>197</v>
      </c>
      <c r="C32" s="28">
        <f>G36</f>
        <v>0</v>
      </c>
      <c r="D32" s="141"/>
      <c r="E32" s="141"/>
      <c r="F32" s="150" t="s">
        <v>207</v>
      </c>
      <c r="G32" s="150" t="s">
        <v>208</v>
      </c>
      <c r="H32" s="141"/>
      <c r="I32" s="141"/>
      <c r="L32" s="145"/>
      <c r="N32" s="136"/>
    </row>
    <row r="33" spans="1:14" ht="13.8">
      <c r="A33" s="27" t="s">
        <v>209</v>
      </c>
      <c r="B33" s="27" t="s">
        <v>195</v>
      </c>
      <c r="C33" s="28">
        <f>F37</f>
        <v>0</v>
      </c>
      <c r="D33" s="141" t="s">
        <v>210</v>
      </c>
      <c r="E33" s="146" t="s">
        <v>211</v>
      </c>
      <c r="F33" s="148">
        <v>0</v>
      </c>
      <c r="G33" s="148">
        <v>0</v>
      </c>
      <c r="H33" s="141"/>
      <c r="I33" s="141"/>
      <c r="L33" s="143"/>
      <c r="N33" s="136"/>
    </row>
    <row r="34" spans="1:14" ht="13.8">
      <c r="A34" s="27" t="s">
        <v>209</v>
      </c>
      <c r="B34" s="27" t="s">
        <v>197</v>
      </c>
      <c r="C34" s="28">
        <f>G37</f>
        <v>0</v>
      </c>
      <c r="D34" s="141" t="s">
        <v>212</v>
      </c>
      <c r="E34" s="146" t="s">
        <v>213</v>
      </c>
      <c r="F34" s="148">
        <f>'SP5-1'!E31</f>
        <v>0</v>
      </c>
      <c r="G34" s="148">
        <v>0</v>
      </c>
      <c r="H34" s="141"/>
      <c r="I34" s="141"/>
      <c r="L34" s="143"/>
      <c r="N34" s="136"/>
    </row>
    <row r="35" spans="1:14" ht="13.8">
      <c r="A35" s="27" t="s">
        <v>214</v>
      </c>
      <c r="B35" s="27" t="s">
        <v>195</v>
      </c>
      <c r="C35" s="32">
        <f>F38</f>
        <v>0</v>
      </c>
      <c r="D35" s="141" t="s">
        <v>215</v>
      </c>
      <c r="E35" s="146" t="s">
        <v>213</v>
      </c>
      <c r="F35" s="148">
        <v>0</v>
      </c>
      <c r="G35" s="148">
        <v>0</v>
      </c>
      <c r="H35" s="141"/>
      <c r="I35" s="141"/>
      <c r="L35" s="143"/>
      <c r="N35" s="136"/>
    </row>
    <row r="36" spans="1:14" ht="13.8">
      <c r="A36" s="27" t="s">
        <v>214</v>
      </c>
      <c r="B36" s="27" t="s">
        <v>197</v>
      </c>
      <c r="C36" s="32">
        <f>G38</f>
        <v>0</v>
      </c>
      <c r="D36" s="141" t="s">
        <v>216</v>
      </c>
      <c r="E36" s="146" t="s">
        <v>217</v>
      </c>
      <c r="F36" s="158">
        <v>0</v>
      </c>
      <c r="G36" s="158">
        <v>0</v>
      </c>
      <c r="H36" s="141"/>
      <c r="I36" s="141"/>
      <c r="L36" s="143"/>
      <c r="N36" s="136"/>
    </row>
    <row r="37" spans="1:14" ht="13.8">
      <c r="A37" s="27" t="s">
        <v>218</v>
      </c>
      <c r="B37" s="27" t="s">
        <v>219</v>
      </c>
      <c r="C37" s="31">
        <f>F41</f>
        <v>0</v>
      </c>
      <c r="D37" s="141" t="s">
        <v>220</v>
      </c>
      <c r="E37" s="146" t="s">
        <v>221</v>
      </c>
      <c r="F37" s="158">
        <v>0</v>
      </c>
      <c r="G37" s="158">
        <v>0</v>
      </c>
      <c r="H37" s="141"/>
      <c r="I37" s="141"/>
      <c r="L37" s="143"/>
      <c r="N37" s="136"/>
    </row>
    <row r="38" spans="1:14" ht="13.8">
      <c r="A38" s="27" t="s">
        <v>218</v>
      </c>
      <c r="B38" s="27" t="s">
        <v>222</v>
      </c>
      <c r="C38" s="31">
        <f>G41</f>
        <v>0</v>
      </c>
      <c r="D38" s="141" t="s">
        <v>223</v>
      </c>
      <c r="E38" s="146" t="s">
        <v>224</v>
      </c>
      <c r="F38" s="148">
        <v>0</v>
      </c>
      <c r="G38" s="148">
        <v>0</v>
      </c>
      <c r="H38" s="141"/>
      <c r="I38" s="141"/>
      <c r="L38" s="143"/>
      <c r="N38" s="136"/>
    </row>
    <row r="39" spans="1:14" ht="13.8">
      <c r="A39" s="27" t="s">
        <v>225</v>
      </c>
      <c r="B39" s="27" t="s">
        <v>219</v>
      </c>
      <c r="C39" s="31">
        <f>H41</f>
        <v>0</v>
      </c>
      <c r="D39" s="141"/>
      <c r="E39" s="141"/>
      <c r="F39" s="141"/>
      <c r="G39" s="141"/>
      <c r="H39" s="141"/>
      <c r="I39" s="141"/>
      <c r="L39" s="145"/>
      <c r="N39" s="136"/>
    </row>
    <row r="40" spans="1:14" ht="13.8">
      <c r="A40" s="27" t="s">
        <v>225</v>
      </c>
      <c r="B40" s="27" t="s">
        <v>222</v>
      </c>
      <c r="C40" s="31">
        <f>I41</f>
        <v>0</v>
      </c>
      <c r="D40" s="141"/>
      <c r="E40" s="141"/>
      <c r="F40" s="150" t="s">
        <v>226</v>
      </c>
      <c r="G40" s="150" t="s">
        <v>227</v>
      </c>
      <c r="H40" s="150" t="s">
        <v>228</v>
      </c>
      <c r="I40" s="150" t="s">
        <v>229</v>
      </c>
      <c r="L40" s="145"/>
      <c r="N40" s="136"/>
    </row>
    <row r="41" spans="1:14" ht="13.8">
      <c r="A41" s="27" t="s">
        <v>230</v>
      </c>
      <c r="B41" s="27"/>
      <c r="C41" s="30">
        <f>F42</f>
        <v>0</v>
      </c>
      <c r="D41" s="141" t="s">
        <v>231</v>
      </c>
      <c r="E41" s="141"/>
      <c r="F41" s="159"/>
      <c r="G41" s="159"/>
      <c r="H41" s="159"/>
      <c r="I41" s="159"/>
      <c r="L41" s="145"/>
      <c r="N41" s="136"/>
    </row>
    <row r="42" spans="1:14" ht="13.8">
      <c r="A42" s="27" t="s">
        <v>232</v>
      </c>
      <c r="B42" s="27" t="s">
        <v>233</v>
      </c>
      <c r="C42" s="29">
        <f>F47</f>
        <v>0</v>
      </c>
      <c r="D42" s="141" t="s">
        <v>234</v>
      </c>
      <c r="E42" s="146" t="s">
        <v>235</v>
      </c>
      <c r="F42" s="160">
        <v>0</v>
      </c>
      <c r="G42" s="141"/>
      <c r="H42" s="141"/>
      <c r="I42" s="141"/>
      <c r="L42" s="143"/>
      <c r="N42" s="136"/>
    </row>
    <row r="43" spans="1:14" ht="13.8">
      <c r="A43" s="27" t="s">
        <v>232</v>
      </c>
      <c r="B43" s="27" t="s">
        <v>236</v>
      </c>
      <c r="C43" s="29">
        <f>G47</f>
        <v>0</v>
      </c>
      <c r="D43" s="141"/>
      <c r="E43" s="146"/>
      <c r="F43" s="141"/>
      <c r="G43" s="141"/>
      <c r="H43" s="141"/>
      <c r="I43" s="141"/>
      <c r="L43" s="145"/>
      <c r="N43" s="136"/>
    </row>
    <row r="44" spans="1:14" ht="13.8">
      <c r="A44" s="27" t="s">
        <v>232</v>
      </c>
      <c r="B44" s="27" t="s">
        <v>237</v>
      </c>
      <c r="C44" s="29">
        <f>H47</f>
        <v>0</v>
      </c>
      <c r="D44" s="141" t="s">
        <v>238</v>
      </c>
      <c r="E44" s="146" t="s">
        <v>239</v>
      </c>
      <c r="F44" s="161"/>
      <c r="G44" s="161"/>
      <c r="H44" s="141"/>
      <c r="I44" s="141"/>
      <c r="L44" s="143"/>
      <c r="N44" s="136"/>
    </row>
    <row r="45" spans="1:14" ht="13.8">
      <c r="A45" s="27" t="s">
        <v>232</v>
      </c>
      <c r="B45" s="27" t="s">
        <v>240</v>
      </c>
      <c r="C45" s="29">
        <f>I47</f>
        <v>0</v>
      </c>
      <c r="D45" s="141"/>
      <c r="E45" s="141"/>
      <c r="F45" s="141"/>
      <c r="G45" s="141"/>
      <c r="H45" s="141"/>
      <c r="I45" s="141"/>
      <c r="L45" s="145"/>
      <c r="N45" s="136"/>
    </row>
    <row r="46" spans="1:14" ht="13.8">
      <c r="A46" s="27" t="s">
        <v>241</v>
      </c>
      <c r="B46" s="27" t="s">
        <v>233</v>
      </c>
      <c r="C46" s="29" t="str">
        <f>F48</f>
        <v/>
      </c>
      <c r="D46" s="141"/>
      <c r="E46" s="141"/>
      <c r="F46" s="150" t="s">
        <v>242</v>
      </c>
      <c r="G46" s="150" t="s">
        <v>243</v>
      </c>
      <c r="H46" s="150" t="s">
        <v>244</v>
      </c>
      <c r="I46" s="150" t="s">
        <v>245</v>
      </c>
      <c r="L46" s="145"/>
      <c r="N46" s="136"/>
    </row>
    <row r="47" spans="1:14" ht="13.8">
      <c r="A47" s="27" t="s">
        <v>241</v>
      </c>
      <c r="B47" s="27" t="s">
        <v>236</v>
      </c>
      <c r="C47" s="29" t="str">
        <f>G48</f>
        <v/>
      </c>
      <c r="D47" s="141" t="s">
        <v>711</v>
      </c>
      <c r="E47" s="141"/>
      <c r="F47" s="162">
        <f>'SP5-6'!J16</f>
        <v>0</v>
      </c>
      <c r="G47" s="162">
        <f>'SP5-6'!L16</f>
        <v>0</v>
      </c>
      <c r="H47" s="162">
        <f>'SP5-6'!N16</f>
        <v>0</v>
      </c>
      <c r="I47" s="162">
        <f>'SP5-6'!P16</f>
        <v>0</v>
      </c>
      <c r="L47" s="143"/>
      <c r="N47" s="136"/>
    </row>
    <row r="48" spans="1:14" ht="13.8">
      <c r="A48" s="27" t="s">
        <v>241</v>
      </c>
      <c r="B48" s="27" t="s">
        <v>237</v>
      </c>
      <c r="C48" s="29" t="str">
        <f>H48</f>
        <v/>
      </c>
      <c r="D48" s="141" t="s">
        <v>246</v>
      </c>
      <c r="E48" s="141"/>
      <c r="F48" s="162" t="str">
        <f>'SP5-6'!J25</f>
        <v/>
      </c>
      <c r="G48" s="162" t="str">
        <f>'SP5-6'!L25</f>
        <v/>
      </c>
      <c r="H48" s="162" t="str">
        <f>'SP5-6'!N25</f>
        <v/>
      </c>
      <c r="I48" s="162" t="str">
        <f>'SP5-6'!P25</f>
        <v/>
      </c>
      <c r="L48" s="143"/>
      <c r="N48" s="136"/>
    </row>
    <row r="49" spans="1:14" ht="13.8">
      <c r="A49" s="27" t="s">
        <v>241</v>
      </c>
      <c r="B49" s="27" t="s">
        <v>240</v>
      </c>
      <c r="C49" s="29" t="str">
        <f>I48</f>
        <v/>
      </c>
      <c r="D49" s="141" t="s">
        <v>247</v>
      </c>
      <c r="E49" s="141"/>
      <c r="F49" s="162" t="str">
        <f>'SP5-6'!J35</f>
        <v/>
      </c>
      <c r="G49" s="162" t="str">
        <f>'SP5-6'!L35</f>
        <v/>
      </c>
      <c r="H49" s="162" t="str">
        <f>'SP5-6'!N35</f>
        <v/>
      </c>
      <c r="I49" s="162" t="str">
        <f>'SP5-6'!P35</f>
        <v/>
      </c>
      <c r="L49" s="143"/>
      <c r="N49" s="136"/>
    </row>
    <row r="50" spans="1:14" ht="13.8">
      <c r="A50" s="27" t="s">
        <v>248</v>
      </c>
      <c r="B50" s="27" t="s">
        <v>233</v>
      </c>
      <c r="C50" s="29" t="str">
        <f>F49</f>
        <v/>
      </c>
      <c r="D50" s="141"/>
      <c r="E50" s="141"/>
      <c r="F50" s="141"/>
      <c r="G50" s="141"/>
      <c r="H50" s="141"/>
      <c r="I50" s="141"/>
      <c r="L50" s="145"/>
      <c r="N50" s="136"/>
    </row>
    <row r="51" spans="1:14" ht="13.8">
      <c r="A51" s="27" t="s">
        <v>248</v>
      </c>
      <c r="B51" s="27" t="s">
        <v>236</v>
      </c>
      <c r="C51" s="29" t="str">
        <f>G49</f>
        <v/>
      </c>
      <c r="D51" s="141" t="s">
        <v>249</v>
      </c>
      <c r="E51" s="146" t="s">
        <v>250</v>
      </c>
      <c r="F51" s="163">
        <v>0</v>
      </c>
      <c r="G51" s="141"/>
      <c r="H51" s="164" t="s">
        <v>251</v>
      </c>
      <c r="I51" s="161" t="e">
        <f>'SP5-1'!H51</f>
        <v>#VALUE!</v>
      </c>
      <c r="L51" s="143"/>
      <c r="N51" s="136"/>
    </row>
    <row r="52" spans="1:14" ht="13.8">
      <c r="A52" s="27" t="s">
        <v>248</v>
      </c>
      <c r="B52" s="27" t="s">
        <v>237</v>
      </c>
      <c r="C52" s="29" t="str">
        <f>H49</f>
        <v/>
      </c>
      <c r="D52" s="141" t="s">
        <v>252</v>
      </c>
      <c r="E52" s="146" t="s">
        <v>253</v>
      </c>
      <c r="F52" s="163">
        <v>0</v>
      </c>
      <c r="G52" s="141"/>
      <c r="H52" s="164" t="s">
        <v>254</v>
      </c>
      <c r="I52" s="165">
        <f>'SP5-1'!D50</f>
        <v>0</v>
      </c>
      <c r="L52" s="143"/>
      <c r="N52" s="136"/>
    </row>
    <row r="53" spans="1:14" ht="13.8">
      <c r="A53" s="27" t="s">
        <v>248</v>
      </c>
      <c r="B53" s="27" t="s">
        <v>240</v>
      </c>
      <c r="C53" s="29" t="str">
        <f>I49</f>
        <v/>
      </c>
      <c r="D53" s="141" t="s">
        <v>255</v>
      </c>
      <c r="E53" s="146" t="s">
        <v>224</v>
      </c>
      <c r="F53" s="163">
        <v>0</v>
      </c>
      <c r="G53" s="141"/>
      <c r="H53" s="164" t="s">
        <v>256</v>
      </c>
      <c r="I53" s="165" t="e">
        <f>'SP5-1'!H49</f>
        <v>#DIV/0!</v>
      </c>
      <c r="L53" s="143"/>
      <c r="N53" s="136"/>
    </row>
    <row r="54" spans="1:14" ht="13.8">
      <c r="A54" s="27" t="s">
        <v>257</v>
      </c>
      <c r="B54" s="27"/>
      <c r="C54" s="26">
        <f>F51</f>
        <v>0</v>
      </c>
      <c r="D54" s="141"/>
      <c r="E54" s="146"/>
      <c r="F54" s="141"/>
      <c r="G54" s="141"/>
      <c r="H54" s="141"/>
      <c r="I54" s="141"/>
      <c r="L54" s="145"/>
      <c r="N54" s="136"/>
    </row>
    <row r="55" spans="1:14" ht="13.8">
      <c r="A55" s="27" t="s">
        <v>258</v>
      </c>
      <c r="B55" s="27"/>
      <c r="C55" s="26">
        <f>F52</f>
        <v>0</v>
      </c>
      <c r="D55" s="150" t="s">
        <v>259</v>
      </c>
      <c r="E55" s="146"/>
      <c r="F55" s="150" t="s">
        <v>260</v>
      </c>
      <c r="G55" s="150" t="s">
        <v>261</v>
      </c>
      <c r="H55" s="141"/>
      <c r="I55" s="141"/>
      <c r="L55" s="145"/>
      <c r="N55" s="136"/>
    </row>
    <row r="56" spans="1:14" ht="13.8">
      <c r="A56" s="27" t="s">
        <v>262</v>
      </c>
      <c r="B56" s="27"/>
      <c r="C56" s="26">
        <f>F53</f>
        <v>0</v>
      </c>
      <c r="D56" s="141" t="s">
        <v>263</v>
      </c>
      <c r="E56" s="146" t="s">
        <v>264</v>
      </c>
      <c r="F56" s="163">
        <v>0</v>
      </c>
      <c r="G56" s="163">
        <f>'SP5-3 (1)'!K7</f>
        <v>0</v>
      </c>
      <c r="H56" s="141"/>
      <c r="I56" s="141"/>
      <c r="L56" s="143"/>
      <c r="N56" s="136"/>
    </row>
    <row r="57" spans="1:14" ht="13.8">
      <c r="A57" s="27" t="s">
        <v>265</v>
      </c>
      <c r="B57" s="27" t="s">
        <v>266</v>
      </c>
      <c r="C57" s="26">
        <f>F56</f>
        <v>0</v>
      </c>
      <c r="D57" s="141"/>
      <c r="E57" s="141"/>
      <c r="F57" s="141"/>
      <c r="G57" s="141"/>
      <c r="H57" s="141"/>
      <c r="I57" s="141"/>
      <c r="L57" s="143"/>
      <c r="N57" s="136"/>
    </row>
    <row r="58" spans="1:14" ht="13.8">
      <c r="A58" s="27" t="s">
        <v>265</v>
      </c>
      <c r="B58" s="27" t="s">
        <v>267</v>
      </c>
      <c r="C58" s="26">
        <f>G56</f>
        <v>0</v>
      </c>
      <c r="D58" s="141" t="s">
        <v>268</v>
      </c>
      <c r="E58" s="146" t="s">
        <v>264</v>
      </c>
      <c r="F58" s="163">
        <v>0</v>
      </c>
      <c r="G58" s="163">
        <f>'SP5-3 (1)'!Q7</f>
        <v>0</v>
      </c>
      <c r="H58" s="141"/>
      <c r="I58" s="141"/>
      <c r="L58" s="143"/>
      <c r="N58" s="136"/>
    </row>
    <row r="59" spans="1:14" ht="13.8">
      <c r="A59" s="27" t="s">
        <v>269</v>
      </c>
      <c r="B59" s="27" t="s">
        <v>266</v>
      </c>
      <c r="C59" s="26">
        <f>F58</f>
        <v>0</v>
      </c>
      <c r="D59" s="141" t="s">
        <v>270</v>
      </c>
      <c r="E59" s="146" t="s">
        <v>264</v>
      </c>
      <c r="F59" s="163">
        <f>'SP5-2'!Q33</f>
        <v>0</v>
      </c>
      <c r="G59" s="163">
        <f>'SP5-3 (1)'!Q8+'SP5-3 (1)'!Q10+'SP5-3 (1)'!Q23+'SP5-3 (1)'!Q25</f>
        <v>0</v>
      </c>
      <c r="H59" s="141"/>
      <c r="I59" s="141"/>
      <c r="L59" s="143"/>
      <c r="N59" s="136"/>
    </row>
    <row r="60" spans="1:14" ht="13.8">
      <c r="A60" s="27" t="s">
        <v>269</v>
      </c>
      <c r="B60" s="27" t="s">
        <v>267</v>
      </c>
      <c r="C60" s="26">
        <f>G58</f>
        <v>0</v>
      </c>
      <c r="D60" s="141" t="s">
        <v>271</v>
      </c>
      <c r="E60" s="146" t="s">
        <v>264</v>
      </c>
      <c r="F60" s="163">
        <f>'SP5-1'!M34</f>
        <v>0</v>
      </c>
      <c r="G60" s="163">
        <f>'SP5-1'!M35</f>
        <v>0</v>
      </c>
      <c r="H60" s="141"/>
      <c r="I60" s="141"/>
      <c r="L60" s="143"/>
      <c r="N60" s="136"/>
    </row>
    <row r="61" spans="1:14" ht="13.8">
      <c r="A61" s="27" t="s">
        <v>272</v>
      </c>
      <c r="B61" s="27" t="s">
        <v>266</v>
      </c>
      <c r="C61" s="26">
        <f>F59</f>
        <v>0</v>
      </c>
      <c r="D61" s="141"/>
      <c r="E61" s="146"/>
      <c r="F61" s="141"/>
      <c r="G61" s="141"/>
      <c r="H61" s="141"/>
      <c r="I61" s="141"/>
      <c r="L61" s="145"/>
      <c r="N61" s="136"/>
    </row>
    <row r="62" spans="1:14" ht="13.8">
      <c r="A62" s="27" t="s">
        <v>272</v>
      </c>
      <c r="B62" s="27" t="s">
        <v>267</v>
      </c>
      <c r="C62" s="26">
        <f>G59</f>
        <v>0</v>
      </c>
      <c r="D62" s="141" t="s">
        <v>273</v>
      </c>
      <c r="E62" s="146" t="s">
        <v>264</v>
      </c>
      <c r="F62" s="166">
        <v>0</v>
      </c>
      <c r="G62" s="141"/>
      <c r="H62" s="141"/>
      <c r="I62" s="141"/>
      <c r="L62" s="143"/>
      <c r="N62" s="136"/>
    </row>
    <row r="63" spans="1:14" ht="13.8">
      <c r="A63" s="27" t="s">
        <v>274</v>
      </c>
      <c r="B63" s="27" t="s">
        <v>266</v>
      </c>
      <c r="C63" s="26">
        <f>F60</f>
        <v>0</v>
      </c>
      <c r="D63" s="141" t="s">
        <v>275</v>
      </c>
      <c r="E63" s="146" t="s">
        <v>264</v>
      </c>
      <c r="F63" s="166">
        <v>0</v>
      </c>
      <c r="G63" s="141"/>
      <c r="H63" s="141"/>
      <c r="I63" s="141"/>
      <c r="L63" s="167"/>
      <c r="N63" s="136"/>
    </row>
    <row r="64" spans="1:14" ht="13.8">
      <c r="A64" s="27" t="s">
        <v>274</v>
      </c>
      <c r="B64" s="27" t="s">
        <v>267</v>
      </c>
      <c r="C64" s="26">
        <f>G60</f>
        <v>0</v>
      </c>
      <c r="D64" s="141"/>
      <c r="E64" s="146"/>
      <c r="F64" s="141"/>
      <c r="G64" s="141"/>
      <c r="H64" s="141"/>
      <c r="I64" s="141"/>
      <c r="L64" s="145"/>
      <c r="N64" s="136"/>
    </row>
    <row r="65" spans="1:14" ht="13.8">
      <c r="A65" s="27" t="s">
        <v>276</v>
      </c>
      <c r="B65" s="27"/>
      <c r="C65" s="26">
        <f>F62</f>
        <v>0</v>
      </c>
      <c r="D65" s="150" t="s">
        <v>712</v>
      </c>
      <c r="E65" s="146"/>
      <c r="F65" s="141"/>
      <c r="G65" s="141"/>
      <c r="H65" s="168" t="s">
        <v>277</v>
      </c>
      <c r="I65" s="141"/>
      <c r="L65" s="145"/>
      <c r="N65" s="136"/>
    </row>
    <row r="66" spans="1:14" ht="13.8">
      <c r="A66" s="27" t="s">
        <v>278</v>
      </c>
      <c r="B66" s="27"/>
      <c r="C66" s="26">
        <f>F63</f>
        <v>0</v>
      </c>
      <c r="D66" s="141" t="s">
        <v>279</v>
      </c>
      <c r="E66" s="146" t="s">
        <v>264</v>
      </c>
      <c r="F66" s="163">
        <f>'SP5-1'!M37</f>
        <v>0</v>
      </c>
      <c r="G66" s="146" t="s">
        <v>264</v>
      </c>
      <c r="H66" s="157">
        <f>'SP5-1'!D49</f>
        <v>0</v>
      </c>
      <c r="I66" s="141"/>
      <c r="L66" s="143"/>
      <c r="N66" s="136"/>
    </row>
    <row r="67" spans="1:14" ht="13.8">
      <c r="A67" s="27" t="s">
        <v>280</v>
      </c>
      <c r="B67" s="27" t="s">
        <v>281</v>
      </c>
      <c r="C67" s="26">
        <f>F66</f>
        <v>0</v>
      </c>
      <c r="D67" s="141" t="s">
        <v>282</v>
      </c>
      <c r="E67" s="146" t="s">
        <v>264</v>
      </c>
      <c r="F67" s="163">
        <f>'SP5-1'!M38</f>
        <v>0</v>
      </c>
      <c r="G67" s="146" t="s">
        <v>264</v>
      </c>
      <c r="H67" s="165">
        <f>'SP5-1'!D50</f>
        <v>0</v>
      </c>
      <c r="I67" s="141"/>
      <c r="L67" s="143"/>
      <c r="N67" s="136"/>
    </row>
    <row r="68" spans="1:14" ht="13.8">
      <c r="A68" s="27" t="s">
        <v>283</v>
      </c>
      <c r="B68" s="27" t="s">
        <v>281</v>
      </c>
      <c r="C68" s="26">
        <f t="shared" ref="C68:C85" si="0">F67</f>
        <v>0</v>
      </c>
      <c r="D68" s="141" t="s">
        <v>284</v>
      </c>
      <c r="E68" s="146" t="s">
        <v>264</v>
      </c>
      <c r="F68" s="163">
        <f>'SP5-1'!M39</f>
        <v>0</v>
      </c>
      <c r="G68" s="146" t="s">
        <v>264</v>
      </c>
      <c r="H68" s="165">
        <f>'SP5-1'!D51</f>
        <v>0</v>
      </c>
      <c r="I68" s="141"/>
      <c r="L68" s="143"/>
      <c r="N68" s="136"/>
    </row>
    <row r="69" spans="1:14" ht="13.8">
      <c r="A69" s="27" t="s">
        <v>285</v>
      </c>
      <c r="B69" s="27" t="s">
        <v>281</v>
      </c>
      <c r="C69" s="26">
        <f t="shared" si="0"/>
        <v>0</v>
      </c>
      <c r="D69" s="141" t="s">
        <v>286</v>
      </c>
      <c r="E69" s="146" t="s">
        <v>264</v>
      </c>
      <c r="F69" s="163">
        <v>0</v>
      </c>
      <c r="G69" s="146" t="s">
        <v>264</v>
      </c>
      <c r="H69" s="165"/>
      <c r="I69" s="141"/>
      <c r="L69" s="143"/>
      <c r="N69" s="136"/>
    </row>
    <row r="70" spans="1:14" ht="13.8">
      <c r="A70" s="27" t="s">
        <v>287</v>
      </c>
      <c r="B70" s="27" t="s">
        <v>281</v>
      </c>
      <c r="C70" s="26">
        <f t="shared" si="0"/>
        <v>0</v>
      </c>
      <c r="D70" s="141" t="s">
        <v>288</v>
      </c>
      <c r="E70" s="146" t="s">
        <v>264</v>
      </c>
      <c r="F70" s="163">
        <v>0</v>
      </c>
      <c r="G70" s="146" t="s">
        <v>264</v>
      </c>
      <c r="H70" s="165"/>
      <c r="I70" s="141"/>
      <c r="L70" s="143"/>
      <c r="N70" s="136"/>
    </row>
    <row r="71" spans="1:14" ht="13.8">
      <c r="A71" s="27" t="s">
        <v>289</v>
      </c>
      <c r="B71" s="27" t="s">
        <v>281</v>
      </c>
      <c r="C71" s="26">
        <f t="shared" si="0"/>
        <v>0</v>
      </c>
      <c r="D71" s="141" t="s">
        <v>290</v>
      </c>
      <c r="E71" s="146" t="s">
        <v>264</v>
      </c>
      <c r="F71" s="163">
        <v>0</v>
      </c>
      <c r="G71" s="146" t="s">
        <v>264</v>
      </c>
      <c r="H71" s="165"/>
      <c r="I71" s="141"/>
      <c r="L71" s="143"/>
      <c r="N71" s="136"/>
    </row>
    <row r="72" spans="1:14" ht="13.8">
      <c r="A72" s="27" t="s">
        <v>291</v>
      </c>
      <c r="B72" s="27" t="s">
        <v>281</v>
      </c>
      <c r="C72" s="26">
        <f t="shared" si="0"/>
        <v>0</v>
      </c>
      <c r="D72" s="141" t="s">
        <v>292</v>
      </c>
      <c r="E72" s="146" t="s">
        <v>264</v>
      </c>
      <c r="F72" s="163">
        <v>0</v>
      </c>
      <c r="G72" s="146" t="s">
        <v>264</v>
      </c>
      <c r="H72" s="165"/>
      <c r="I72" s="141"/>
      <c r="L72" s="143"/>
      <c r="N72" s="136"/>
    </row>
    <row r="73" spans="1:14" ht="13.8">
      <c r="A73" s="27" t="s">
        <v>293</v>
      </c>
      <c r="B73" s="27" t="s">
        <v>281</v>
      </c>
      <c r="C73" s="26">
        <f t="shared" si="0"/>
        <v>0</v>
      </c>
      <c r="D73" s="141" t="s">
        <v>294</v>
      </c>
      <c r="E73" s="146" t="s">
        <v>264</v>
      </c>
      <c r="F73" s="163">
        <v>0</v>
      </c>
      <c r="G73" s="146" t="s">
        <v>264</v>
      </c>
      <c r="H73" s="165"/>
      <c r="I73" s="141"/>
      <c r="L73" s="143"/>
      <c r="N73" s="136"/>
    </row>
    <row r="74" spans="1:14" ht="13.8">
      <c r="A74" s="27" t="s">
        <v>295</v>
      </c>
      <c r="B74" s="27" t="s">
        <v>281</v>
      </c>
      <c r="C74" s="26">
        <f t="shared" si="0"/>
        <v>0</v>
      </c>
      <c r="D74" s="141" t="s">
        <v>296</v>
      </c>
      <c r="E74" s="146" t="s">
        <v>264</v>
      </c>
      <c r="F74" s="163">
        <v>0</v>
      </c>
      <c r="G74" s="146" t="s">
        <v>264</v>
      </c>
      <c r="H74" s="165"/>
      <c r="I74" s="141"/>
      <c r="L74" s="143"/>
      <c r="N74" s="136"/>
    </row>
    <row r="75" spans="1:14" ht="13.8">
      <c r="A75" s="27" t="s">
        <v>297</v>
      </c>
      <c r="B75" s="27" t="s">
        <v>281</v>
      </c>
      <c r="C75" s="26">
        <f t="shared" si="0"/>
        <v>0</v>
      </c>
      <c r="D75" s="141" t="s">
        <v>637</v>
      </c>
      <c r="E75" s="146" t="s">
        <v>264</v>
      </c>
      <c r="F75" s="163">
        <v>0</v>
      </c>
      <c r="G75" s="146" t="s">
        <v>264</v>
      </c>
      <c r="H75" s="165"/>
      <c r="I75" s="141"/>
      <c r="L75" s="143"/>
      <c r="N75" s="136"/>
    </row>
    <row r="76" spans="1:14" ht="13.8">
      <c r="A76" s="27" t="s">
        <v>298</v>
      </c>
      <c r="B76" s="27" t="s">
        <v>281</v>
      </c>
      <c r="C76" s="26">
        <f t="shared" si="0"/>
        <v>0</v>
      </c>
      <c r="D76" s="141" t="s">
        <v>299</v>
      </c>
      <c r="E76" s="146" t="s">
        <v>264</v>
      </c>
      <c r="F76" s="163">
        <v>0</v>
      </c>
      <c r="G76" s="146" t="s">
        <v>264</v>
      </c>
      <c r="H76" s="165"/>
      <c r="I76" s="141"/>
      <c r="L76" s="143"/>
      <c r="N76" s="136"/>
    </row>
    <row r="77" spans="1:14" ht="13.8">
      <c r="A77" s="27" t="s">
        <v>300</v>
      </c>
      <c r="B77" s="27" t="s">
        <v>281</v>
      </c>
      <c r="C77" s="26">
        <f t="shared" si="0"/>
        <v>0</v>
      </c>
      <c r="D77" s="141" t="s">
        <v>301</v>
      </c>
      <c r="E77" s="146" t="s">
        <v>264</v>
      </c>
      <c r="F77" s="163">
        <v>0</v>
      </c>
      <c r="G77" s="146" t="s">
        <v>264</v>
      </c>
      <c r="H77" s="165"/>
      <c r="I77" s="141"/>
      <c r="L77" s="143"/>
      <c r="N77" s="136"/>
    </row>
    <row r="78" spans="1:14" ht="13.8">
      <c r="A78" s="27" t="s">
        <v>302</v>
      </c>
      <c r="B78" s="27" t="s">
        <v>281</v>
      </c>
      <c r="C78" s="26">
        <f t="shared" si="0"/>
        <v>0</v>
      </c>
      <c r="D78" s="141" t="s">
        <v>303</v>
      </c>
      <c r="E78" s="146" t="s">
        <v>264</v>
      </c>
      <c r="F78" s="163">
        <v>0</v>
      </c>
      <c r="G78" s="146" t="s">
        <v>264</v>
      </c>
      <c r="H78" s="165"/>
      <c r="I78" s="141"/>
      <c r="L78" s="143"/>
      <c r="N78" s="136"/>
    </row>
    <row r="79" spans="1:14" ht="13.8">
      <c r="A79" s="27" t="s">
        <v>304</v>
      </c>
      <c r="B79" s="27" t="s">
        <v>281</v>
      </c>
      <c r="C79" s="26">
        <f t="shared" si="0"/>
        <v>0</v>
      </c>
      <c r="D79" s="141" t="s">
        <v>305</v>
      </c>
      <c r="E79" s="146" t="s">
        <v>264</v>
      </c>
      <c r="F79" s="163">
        <v>0</v>
      </c>
      <c r="G79" s="146" t="s">
        <v>264</v>
      </c>
      <c r="H79" s="165"/>
      <c r="I79" s="141"/>
      <c r="L79" s="143"/>
      <c r="N79" s="136"/>
    </row>
    <row r="80" spans="1:14" ht="13.8">
      <c r="A80" s="27" t="s">
        <v>306</v>
      </c>
      <c r="B80" s="27" t="s">
        <v>281</v>
      </c>
      <c r="C80" s="26">
        <f t="shared" si="0"/>
        <v>0</v>
      </c>
      <c r="D80" s="141" t="s">
        <v>307</v>
      </c>
      <c r="E80" s="146" t="s">
        <v>264</v>
      </c>
      <c r="F80" s="163">
        <v>0</v>
      </c>
      <c r="G80" s="146" t="s">
        <v>264</v>
      </c>
      <c r="H80" s="165"/>
      <c r="I80" s="141"/>
      <c r="L80" s="143"/>
      <c r="N80" s="136"/>
    </row>
    <row r="81" spans="1:14" ht="13.8">
      <c r="A81" s="27" t="s">
        <v>308</v>
      </c>
      <c r="B81" s="27" t="s">
        <v>281</v>
      </c>
      <c r="C81" s="26">
        <f t="shared" si="0"/>
        <v>0</v>
      </c>
      <c r="D81" s="141" t="s">
        <v>309</v>
      </c>
      <c r="E81" s="146" t="s">
        <v>264</v>
      </c>
      <c r="F81" s="163">
        <v>0</v>
      </c>
      <c r="G81" s="146" t="s">
        <v>264</v>
      </c>
      <c r="H81" s="165"/>
      <c r="I81" s="141"/>
      <c r="L81" s="143"/>
      <c r="N81" s="136"/>
    </row>
    <row r="82" spans="1:14" ht="13.8">
      <c r="A82" s="27" t="s">
        <v>310</v>
      </c>
      <c r="B82" s="27" t="s">
        <v>281</v>
      </c>
      <c r="C82" s="26">
        <f t="shared" si="0"/>
        <v>0</v>
      </c>
      <c r="D82" s="141" t="s">
        <v>311</v>
      </c>
      <c r="E82" s="146" t="s">
        <v>264</v>
      </c>
      <c r="F82" s="163">
        <v>0</v>
      </c>
      <c r="G82" s="146" t="s">
        <v>264</v>
      </c>
      <c r="H82" s="165"/>
      <c r="I82" s="141"/>
      <c r="L82" s="143"/>
      <c r="N82" s="136"/>
    </row>
    <row r="83" spans="1:14" ht="13.8">
      <c r="A83" s="27" t="s">
        <v>312</v>
      </c>
      <c r="B83" s="27" t="s">
        <v>281</v>
      </c>
      <c r="C83" s="26">
        <f t="shared" si="0"/>
        <v>0</v>
      </c>
      <c r="D83" s="141" t="s">
        <v>313</v>
      </c>
      <c r="E83" s="146" t="s">
        <v>264</v>
      </c>
      <c r="F83" s="163">
        <v>0</v>
      </c>
      <c r="G83" s="146" t="s">
        <v>264</v>
      </c>
      <c r="H83" s="165"/>
      <c r="I83" s="141"/>
      <c r="L83" s="143"/>
      <c r="N83" s="136"/>
    </row>
    <row r="84" spans="1:14" ht="13.8">
      <c r="A84" s="27" t="s">
        <v>314</v>
      </c>
      <c r="B84" s="27" t="s">
        <v>281</v>
      </c>
      <c r="C84" s="26">
        <f t="shared" si="0"/>
        <v>0</v>
      </c>
      <c r="D84" s="141" t="s">
        <v>713</v>
      </c>
      <c r="E84" s="146" t="s">
        <v>264</v>
      </c>
      <c r="F84" s="161">
        <f>SUM(F66:F83)</f>
        <v>0</v>
      </c>
      <c r="G84" s="146" t="s">
        <v>264</v>
      </c>
      <c r="H84" s="169">
        <f>SUM(H66:H83)</f>
        <v>0</v>
      </c>
      <c r="I84" s="141"/>
      <c r="L84" s="143"/>
      <c r="N84" s="136"/>
    </row>
    <row r="85" spans="1:14" ht="13.8">
      <c r="A85" s="27" t="s">
        <v>315</v>
      </c>
      <c r="B85" s="27" t="s">
        <v>281</v>
      </c>
      <c r="C85" s="26">
        <f t="shared" si="0"/>
        <v>0</v>
      </c>
      <c r="D85" s="170"/>
      <c r="E85" s="141"/>
      <c r="F85" s="141"/>
      <c r="G85" s="141"/>
      <c r="H85" s="141"/>
      <c r="I85" s="141"/>
      <c r="L85" s="145"/>
      <c r="N85" s="136"/>
    </row>
    <row r="86" spans="1:14" ht="12.75" customHeight="1">
      <c r="A86" s="27" t="s">
        <v>316</v>
      </c>
      <c r="B86" s="27"/>
      <c r="C86" s="28">
        <f>F88</f>
        <v>0</v>
      </c>
      <c r="D86" s="141" t="s">
        <v>317</v>
      </c>
      <c r="E86" s="141"/>
      <c r="F86" s="470"/>
      <c r="G86" s="471"/>
      <c r="H86" s="471"/>
      <c r="I86" s="471"/>
      <c r="J86" s="472"/>
      <c r="L86" s="143"/>
      <c r="N86" s="136"/>
    </row>
    <row r="87" spans="1:14" ht="13.8">
      <c r="A87" s="27" t="s">
        <v>318</v>
      </c>
      <c r="B87" s="27"/>
      <c r="C87" s="28">
        <f>F89</f>
        <v>0</v>
      </c>
      <c r="D87" s="141"/>
      <c r="E87" s="141"/>
      <c r="F87" s="141"/>
      <c r="G87" s="141"/>
      <c r="H87" s="141"/>
      <c r="I87" s="141"/>
      <c r="L87" s="145"/>
      <c r="N87" s="136"/>
    </row>
    <row r="88" spans="1:14" ht="13.8">
      <c r="A88" s="27" t="s">
        <v>319</v>
      </c>
      <c r="B88" s="27"/>
      <c r="C88" s="28">
        <f>F90</f>
        <v>0</v>
      </c>
      <c r="D88" s="141" t="s">
        <v>320</v>
      </c>
      <c r="E88" s="141"/>
      <c r="F88" s="158">
        <f>'SP5-1'!M40</f>
        <v>0</v>
      </c>
      <c r="G88" s="141"/>
      <c r="H88" s="141"/>
      <c r="I88" s="141"/>
      <c r="L88" s="143"/>
      <c r="N88" s="136"/>
    </row>
    <row r="89" spans="1:14" ht="13.8">
      <c r="A89" s="27" t="s">
        <v>321</v>
      </c>
      <c r="B89" s="27" t="s">
        <v>322</v>
      </c>
      <c r="C89" s="28">
        <f>F92</f>
        <v>0</v>
      </c>
      <c r="D89" s="141" t="s">
        <v>323</v>
      </c>
      <c r="E89" s="141"/>
      <c r="F89" s="158">
        <v>0</v>
      </c>
      <c r="G89" s="141"/>
      <c r="H89" s="141"/>
      <c r="I89" s="141"/>
      <c r="L89" s="143"/>
      <c r="N89" s="136"/>
    </row>
    <row r="90" spans="1:14" ht="13.8">
      <c r="A90" s="27" t="s">
        <v>321</v>
      </c>
      <c r="B90" s="27" t="s">
        <v>324</v>
      </c>
      <c r="C90" s="28">
        <f>G92</f>
        <v>0</v>
      </c>
      <c r="D90" s="141" t="s">
        <v>325</v>
      </c>
      <c r="E90" s="141"/>
      <c r="F90" s="158">
        <f>'SP5-1'!M42</f>
        <v>0</v>
      </c>
      <c r="G90" s="141"/>
      <c r="H90" s="141"/>
      <c r="I90" s="141"/>
      <c r="L90" s="143"/>
      <c r="N90" s="136"/>
    </row>
    <row r="91" spans="1:14" ht="26.4">
      <c r="A91" s="171" t="s">
        <v>326</v>
      </c>
      <c r="B91" s="27"/>
      <c r="C91" s="26" t="e">
        <f>I51</f>
        <v>#VALUE!</v>
      </c>
      <c r="D91" s="141"/>
      <c r="E91" s="141"/>
      <c r="F91" s="141"/>
      <c r="G91" s="141"/>
      <c r="H91" s="141"/>
      <c r="I91" s="141"/>
      <c r="L91" s="145"/>
      <c r="N91" s="136"/>
    </row>
    <row r="92" spans="1:14" ht="13.8">
      <c r="A92" s="27" t="s">
        <v>327</v>
      </c>
      <c r="B92" s="27"/>
      <c r="C92" s="26">
        <f>I52</f>
        <v>0</v>
      </c>
      <c r="D92" s="141" t="s">
        <v>328</v>
      </c>
      <c r="E92" s="141"/>
      <c r="F92" s="158">
        <v>0</v>
      </c>
      <c r="G92" s="158">
        <v>0</v>
      </c>
      <c r="H92" s="141"/>
      <c r="I92" s="141"/>
      <c r="L92" s="143"/>
      <c r="N92" s="136"/>
    </row>
    <row r="93" spans="1:14">
      <c r="A93" s="27" t="s">
        <v>329</v>
      </c>
      <c r="B93" s="27"/>
      <c r="C93" s="26" t="e">
        <f>I53</f>
        <v>#DIV/0!</v>
      </c>
      <c r="N93" s="136"/>
    </row>
    <row r="94" spans="1:14">
      <c r="A94" s="27" t="s">
        <v>280</v>
      </c>
      <c r="B94" s="27" t="s">
        <v>330</v>
      </c>
      <c r="C94" s="26">
        <f>H66</f>
        <v>0</v>
      </c>
      <c r="N94" s="136"/>
    </row>
    <row r="95" spans="1:14">
      <c r="A95" s="27" t="s">
        <v>283</v>
      </c>
      <c r="B95" s="27" t="s">
        <v>330</v>
      </c>
      <c r="C95" s="26">
        <f t="shared" ref="C95:C112" si="1">H67</f>
        <v>0</v>
      </c>
      <c r="N95" s="136"/>
    </row>
    <row r="96" spans="1:14">
      <c r="A96" s="27" t="s">
        <v>285</v>
      </c>
      <c r="B96" s="27" t="s">
        <v>330</v>
      </c>
      <c r="C96" s="26">
        <f t="shared" si="1"/>
        <v>0</v>
      </c>
      <c r="N96" s="136"/>
    </row>
    <row r="97" spans="1:14">
      <c r="A97" s="27" t="s">
        <v>287</v>
      </c>
      <c r="B97" s="27" t="s">
        <v>330</v>
      </c>
      <c r="C97" s="26">
        <f t="shared" si="1"/>
        <v>0</v>
      </c>
      <c r="N97" s="136"/>
    </row>
    <row r="98" spans="1:14">
      <c r="A98" s="27" t="s">
        <v>289</v>
      </c>
      <c r="B98" s="27" t="s">
        <v>330</v>
      </c>
      <c r="C98" s="26">
        <f t="shared" si="1"/>
        <v>0</v>
      </c>
      <c r="N98" s="136"/>
    </row>
    <row r="99" spans="1:14" ht="14.4" hidden="1">
      <c r="A99" s="27" t="s">
        <v>291</v>
      </c>
      <c r="B99" s="27" t="s">
        <v>330</v>
      </c>
      <c r="C99" s="26">
        <f t="shared" si="1"/>
        <v>0</v>
      </c>
      <c r="D99" s="132" t="s">
        <v>331</v>
      </c>
      <c r="N99" s="136"/>
    </row>
    <row r="100" spans="1:14" hidden="1">
      <c r="A100" s="27" t="s">
        <v>293</v>
      </c>
      <c r="B100" s="27" t="s">
        <v>330</v>
      </c>
      <c r="C100" s="26">
        <f t="shared" si="1"/>
        <v>0</v>
      </c>
      <c r="D100" s="133" t="s">
        <v>332</v>
      </c>
      <c r="N100" s="136"/>
    </row>
    <row r="101" spans="1:14" hidden="1">
      <c r="A101" s="27" t="s">
        <v>295</v>
      </c>
      <c r="B101" s="27" t="s">
        <v>330</v>
      </c>
      <c r="C101" s="26">
        <f t="shared" si="1"/>
        <v>0</v>
      </c>
      <c r="D101" s="133" t="s">
        <v>333</v>
      </c>
      <c r="N101" s="136"/>
    </row>
    <row r="102" spans="1:14" hidden="1">
      <c r="A102" s="27" t="s">
        <v>297</v>
      </c>
      <c r="B102" s="27" t="s">
        <v>330</v>
      </c>
      <c r="C102" s="26">
        <f t="shared" si="1"/>
        <v>0</v>
      </c>
      <c r="D102" s="133" t="s">
        <v>334</v>
      </c>
      <c r="N102" s="136"/>
    </row>
    <row r="103" spans="1:14" hidden="1">
      <c r="A103" s="27" t="s">
        <v>298</v>
      </c>
      <c r="B103" s="27" t="s">
        <v>330</v>
      </c>
      <c r="C103" s="26">
        <f t="shared" si="1"/>
        <v>0</v>
      </c>
      <c r="D103" s="133" t="s">
        <v>335</v>
      </c>
      <c r="N103" s="136"/>
    </row>
    <row r="104" spans="1:14" hidden="1">
      <c r="A104" s="27" t="s">
        <v>300</v>
      </c>
      <c r="B104" s="27" t="s">
        <v>330</v>
      </c>
      <c r="C104" s="26">
        <f t="shared" si="1"/>
        <v>0</v>
      </c>
      <c r="D104" s="133" t="s">
        <v>336</v>
      </c>
      <c r="N104" s="136"/>
    </row>
    <row r="105" spans="1:14">
      <c r="A105" s="27" t="s">
        <v>302</v>
      </c>
      <c r="B105" s="27" t="s">
        <v>330</v>
      </c>
      <c r="C105" s="26">
        <f t="shared" si="1"/>
        <v>0</v>
      </c>
      <c r="N105" s="136"/>
    </row>
    <row r="106" spans="1:14">
      <c r="A106" s="27" t="s">
        <v>304</v>
      </c>
      <c r="B106" s="27" t="s">
        <v>330</v>
      </c>
      <c r="C106" s="26">
        <f t="shared" si="1"/>
        <v>0</v>
      </c>
      <c r="N106" s="136"/>
    </row>
    <row r="107" spans="1:14">
      <c r="A107" s="27" t="s">
        <v>306</v>
      </c>
      <c r="B107" s="27" t="s">
        <v>330</v>
      </c>
      <c r="C107" s="26">
        <f t="shared" si="1"/>
        <v>0</v>
      </c>
      <c r="N107" s="136"/>
    </row>
    <row r="108" spans="1:14">
      <c r="A108" s="27" t="s">
        <v>308</v>
      </c>
      <c r="B108" s="27" t="s">
        <v>330</v>
      </c>
      <c r="C108" s="26">
        <f t="shared" si="1"/>
        <v>0</v>
      </c>
      <c r="N108" s="136"/>
    </row>
    <row r="109" spans="1:14">
      <c r="A109" s="27" t="s">
        <v>310</v>
      </c>
      <c r="B109" s="27" t="s">
        <v>330</v>
      </c>
      <c r="C109" s="26">
        <f t="shared" si="1"/>
        <v>0</v>
      </c>
      <c r="N109" s="136"/>
    </row>
    <row r="110" spans="1:14">
      <c r="A110" s="27" t="s">
        <v>312</v>
      </c>
      <c r="B110" s="27" t="s">
        <v>330</v>
      </c>
      <c r="C110" s="26">
        <f t="shared" si="1"/>
        <v>0</v>
      </c>
      <c r="N110" s="136"/>
    </row>
    <row r="111" spans="1:14">
      <c r="A111" s="27" t="s">
        <v>314</v>
      </c>
      <c r="B111" s="27" t="s">
        <v>330</v>
      </c>
      <c r="C111" s="26">
        <f t="shared" si="1"/>
        <v>0</v>
      </c>
      <c r="N111" s="136"/>
    </row>
    <row r="112" spans="1:14">
      <c r="A112" s="27" t="s">
        <v>315</v>
      </c>
      <c r="B112" s="27" t="s">
        <v>330</v>
      </c>
      <c r="C112" s="26">
        <f t="shared" si="1"/>
        <v>0</v>
      </c>
      <c r="N112" s="136"/>
    </row>
    <row r="113" spans="14:14">
      <c r="N113" s="136"/>
    </row>
    <row r="114" spans="14:14">
      <c r="N114" s="136"/>
    </row>
    <row r="115" spans="14:14">
      <c r="N115" s="136"/>
    </row>
    <row r="116" spans="14:14">
      <c r="N116" s="136"/>
    </row>
    <row r="117" spans="14:14">
      <c r="N117" s="136"/>
    </row>
    <row r="118" spans="14:14">
      <c r="N118" s="136"/>
    </row>
    <row r="119" spans="14:14">
      <c r="N119" s="136"/>
    </row>
    <row r="120" spans="14:14">
      <c r="N120" s="136"/>
    </row>
    <row r="121" spans="14:14">
      <c r="N121" s="136"/>
    </row>
    <row r="122" spans="14:14">
      <c r="N122" s="136"/>
    </row>
    <row r="123" spans="14:14">
      <c r="N123" s="136"/>
    </row>
    <row r="124" spans="14:14">
      <c r="N124" s="136"/>
    </row>
    <row r="125" spans="14:14">
      <c r="N125" s="136"/>
    </row>
    <row r="126" spans="14:14">
      <c r="N126" s="136"/>
    </row>
    <row r="127" spans="14:14">
      <c r="N127" s="136"/>
    </row>
    <row r="128" spans="14:14">
      <c r="N128" s="136"/>
    </row>
    <row r="129" spans="14:14">
      <c r="N129" s="136"/>
    </row>
    <row r="130" spans="14:14">
      <c r="N130" s="136"/>
    </row>
    <row r="131" spans="14:14">
      <c r="N131" s="136"/>
    </row>
    <row r="132" spans="14:14">
      <c r="N132" s="136"/>
    </row>
    <row r="133" spans="14:14">
      <c r="N133" s="136"/>
    </row>
    <row r="134" spans="14:14">
      <c r="N134" s="136"/>
    </row>
    <row r="135" spans="14:14">
      <c r="N135" s="136"/>
    </row>
    <row r="136" spans="14:14">
      <c r="N136" s="136"/>
    </row>
    <row r="137" spans="14:14">
      <c r="N137" s="136"/>
    </row>
    <row r="138" spans="14:14">
      <c r="N138" s="136"/>
    </row>
    <row r="139" spans="14:14">
      <c r="N139" s="136"/>
    </row>
    <row r="140" spans="14:14">
      <c r="N140" s="136"/>
    </row>
    <row r="141" spans="14:14">
      <c r="N141" s="136"/>
    </row>
    <row r="142" spans="14:14">
      <c r="N142" s="136"/>
    </row>
    <row r="143" spans="14:14">
      <c r="N143" s="136"/>
    </row>
    <row r="144" spans="14:14">
      <c r="N144" s="136"/>
    </row>
    <row r="145" spans="14:14">
      <c r="N145" s="136"/>
    </row>
    <row r="146" spans="14:14">
      <c r="N146" s="136"/>
    </row>
    <row r="147" spans="14:14">
      <c r="N147" s="136"/>
    </row>
    <row r="148" spans="14:14">
      <c r="N148" s="136"/>
    </row>
    <row r="149" spans="14:14">
      <c r="N149" s="136"/>
    </row>
    <row r="150" spans="14:14">
      <c r="N150" s="136"/>
    </row>
    <row r="151" spans="14:14">
      <c r="N151" s="136"/>
    </row>
    <row r="152" spans="14:14">
      <c r="N152" s="136"/>
    </row>
    <row r="153" spans="14:14">
      <c r="N153" s="136"/>
    </row>
    <row r="154" spans="14:14">
      <c r="N154" s="136"/>
    </row>
    <row r="155" spans="14:14">
      <c r="N155" s="136"/>
    </row>
    <row r="156" spans="14:14">
      <c r="N156" s="136"/>
    </row>
    <row r="157" spans="14:14">
      <c r="N157" s="136"/>
    </row>
    <row r="158" spans="14:14">
      <c r="N158" s="136"/>
    </row>
    <row r="159" spans="14:14">
      <c r="N159" s="136"/>
    </row>
    <row r="160" spans="14:14">
      <c r="N160" s="136"/>
    </row>
    <row r="161" spans="14:14">
      <c r="N161" s="136"/>
    </row>
    <row r="162" spans="14:14">
      <c r="N162" s="136"/>
    </row>
    <row r="163" spans="14:14">
      <c r="N163" s="136"/>
    </row>
    <row r="164" spans="14:14">
      <c r="N164" s="136"/>
    </row>
    <row r="165" spans="14:14">
      <c r="N165" s="136"/>
    </row>
    <row r="166" spans="14:14">
      <c r="N166" s="136"/>
    </row>
    <row r="167" spans="14:14">
      <c r="N167" s="136"/>
    </row>
    <row r="168" spans="14:14">
      <c r="N168" s="136"/>
    </row>
    <row r="169" spans="14:14">
      <c r="N169" s="136"/>
    </row>
    <row r="170" spans="14:14">
      <c r="N170" s="136"/>
    </row>
    <row r="171" spans="14:14">
      <c r="N171" s="136"/>
    </row>
    <row r="172" spans="14:14">
      <c r="N172" s="136"/>
    </row>
    <row r="173" spans="14:14">
      <c r="N173" s="136"/>
    </row>
    <row r="174" spans="14:14">
      <c r="N174" s="136"/>
    </row>
    <row r="175" spans="14:14">
      <c r="N175" s="136"/>
    </row>
    <row r="176" spans="14:14">
      <c r="N176" s="136"/>
    </row>
    <row r="177" spans="14:14">
      <c r="N177" s="136"/>
    </row>
    <row r="178" spans="14:14">
      <c r="N178" s="136"/>
    </row>
    <row r="179" spans="14:14">
      <c r="N179" s="136"/>
    </row>
    <row r="180" spans="14:14">
      <c r="N180" s="136"/>
    </row>
    <row r="181" spans="14:14">
      <c r="N181" s="136"/>
    </row>
    <row r="182" spans="14:14">
      <c r="N182" s="136"/>
    </row>
    <row r="183" spans="14:14">
      <c r="N183" s="136"/>
    </row>
    <row r="184" spans="14:14">
      <c r="N184" s="136"/>
    </row>
    <row r="185" spans="14:14">
      <c r="N185" s="136"/>
    </row>
    <row r="186" spans="14:14">
      <c r="N186" s="136"/>
    </row>
    <row r="187" spans="14:14">
      <c r="N187" s="136"/>
    </row>
    <row r="188" spans="14:14">
      <c r="N188" s="136"/>
    </row>
    <row r="189" spans="14:14">
      <c r="N189" s="136"/>
    </row>
    <row r="190" spans="14:14">
      <c r="N190" s="136"/>
    </row>
    <row r="191" spans="14:14">
      <c r="N191" s="136"/>
    </row>
    <row r="192" spans="14:14">
      <c r="N192" s="136"/>
    </row>
    <row r="193" spans="14:14">
      <c r="N193" s="136"/>
    </row>
    <row r="194" spans="14:14">
      <c r="N194" s="136"/>
    </row>
    <row r="195" spans="14:14">
      <c r="N195" s="136"/>
    </row>
    <row r="196" spans="14:14">
      <c r="N196" s="136"/>
    </row>
    <row r="197" spans="14:14">
      <c r="N197" s="136"/>
    </row>
    <row r="198" spans="14:14">
      <c r="N198" s="136"/>
    </row>
    <row r="199" spans="14:14">
      <c r="N199" s="136"/>
    </row>
    <row r="200" spans="14:14">
      <c r="N200" s="136"/>
    </row>
    <row r="201" spans="14:14">
      <c r="N201" s="136"/>
    </row>
    <row r="202" spans="14:14">
      <c r="N202" s="136"/>
    </row>
    <row r="203" spans="14:14">
      <c r="N203" s="136"/>
    </row>
    <row r="204" spans="14:14">
      <c r="N204" s="136"/>
    </row>
    <row r="205" spans="14:14">
      <c r="N205" s="136"/>
    </row>
    <row r="206" spans="14:14">
      <c r="N206" s="136"/>
    </row>
    <row r="207" spans="14:14">
      <c r="N207" s="136"/>
    </row>
    <row r="208" spans="14:14">
      <c r="N208" s="136"/>
    </row>
    <row r="209" spans="14:14">
      <c r="N209" s="136"/>
    </row>
    <row r="210" spans="14:14">
      <c r="N210" s="136"/>
    </row>
    <row r="211" spans="14:14">
      <c r="N211" s="136"/>
    </row>
    <row r="212" spans="14:14">
      <c r="N212" s="136"/>
    </row>
    <row r="213" spans="14:14">
      <c r="N213" s="136"/>
    </row>
    <row r="214" spans="14:14">
      <c r="N214" s="136"/>
    </row>
    <row r="215" spans="14:14">
      <c r="N215" s="136"/>
    </row>
    <row r="216" spans="14:14">
      <c r="N216" s="136"/>
    </row>
    <row r="217" spans="14:14">
      <c r="N217" s="136"/>
    </row>
    <row r="218" spans="14:14">
      <c r="N218" s="136"/>
    </row>
    <row r="219" spans="14:14">
      <c r="N219" s="136"/>
    </row>
    <row r="220" spans="14:14">
      <c r="N220" s="136"/>
    </row>
    <row r="221" spans="14:14">
      <c r="N221" s="136"/>
    </row>
    <row r="222" spans="14:14">
      <c r="N222" s="136"/>
    </row>
    <row r="223" spans="14:14">
      <c r="N223" s="136"/>
    </row>
    <row r="224" spans="14:14">
      <c r="N224" s="136"/>
    </row>
    <row r="225" spans="14:14">
      <c r="N225" s="136"/>
    </row>
    <row r="226" spans="14:14">
      <c r="N226" s="136"/>
    </row>
    <row r="227" spans="14:14">
      <c r="N227" s="136"/>
    </row>
    <row r="228" spans="14:14">
      <c r="N228" s="136"/>
    </row>
    <row r="229" spans="14:14">
      <c r="N229" s="136"/>
    </row>
    <row r="230" spans="14:14">
      <c r="N230" s="136"/>
    </row>
    <row r="231" spans="14:14">
      <c r="N231" s="136"/>
    </row>
    <row r="232" spans="14:14">
      <c r="N232" s="136"/>
    </row>
    <row r="233" spans="14:14">
      <c r="N233" s="136"/>
    </row>
    <row r="234" spans="14:14">
      <c r="N234" s="136"/>
    </row>
    <row r="235" spans="14:14">
      <c r="N235" s="136"/>
    </row>
    <row r="236" spans="14:14">
      <c r="N236" s="136"/>
    </row>
    <row r="237" spans="14:14">
      <c r="N237" s="136"/>
    </row>
    <row r="238" spans="14:14">
      <c r="N238" s="136"/>
    </row>
    <row r="239" spans="14:14">
      <c r="N239" s="136"/>
    </row>
    <row r="240" spans="14:14">
      <c r="N240" s="136"/>
    </row>
    <row r="241" spans="14:14">
      <c r="N241" s="136"/>
    </row>
    <row r="242" spans="14:14">
      <c r="N242" s="136"/>
    </row>
    <row r="243" spans="14:14">
      <c r="N243" s="136"/>
    </row>
    <row r="244" spans="14:14">
      <c r="N244" s="136"/>
    </row>
    <row r="245" spans="14:14">
      <c r="N245" s="136"/>
    </row>
    <row r="246" spans="14:14">
      <c r="N246" s="136"/>
    </row>
    <row r="247" spans="14:14">
      <c r="N247" s="136"/>
    </row>
    <row r="248" spans="14:14">
      <c r="N248" s="136"/>
    </row>
    <row r="249" spans="14:14">
      <c r="N249" s="136"/>
    </row>
    <row r="250" spans="14:14">
      <c r="N250" s="136"/>
    </row>
    <row r="251" spans="14:14">
      <c r="N251" s="136"/>
    </row>
    <row r="252" spans="14:14">
      <c r="N252" s="136"/>
    </row>
    <row r="253" spans="14:14">
      <c r="N253" s="136"/>
    </row>
    <row r="254" spans="14:14">
      <c r="N254" s="136"/>
    </row>
    <row r="255" spans="14:14">
      <c r="N255" s="136"/>
    </row>
    <row r="256" spans="14:14">
      <c r="N256" s="136"/>
    </row>
    <row r="257" spans="14:14">
      <c r="N257" s="136"/>
    </row>
    <row r="258" spans="14:14">
      <c r="N258" s="136"/>
    </row>
    <row r="259" spans="14:14">
      <c r="N259" s="136"/>
    </row>
    <row r="260" spans="14:14">
      <c r="N260" s="136"/>
    </row>
    <row r="261" spans="14:14">
      <c r="N261" s="136"/>
    </row>
    <row r="262" spans="14:14">
      <c r="N262" s="136"/>
    </row>
    <row r="263" spans="14:14">
      <c r="N263" s="136"/>
    </row>
    <row r="264" spans="14:14">
      <c r="N264" s="136"/>
    </row>
    <row r="265" spans="14:14">
      <c r="N265" s="136"/>
    </row>
    <row r="266" spans="14:14">
      <c r="N266" s="136"/>
    </row>
    <row r="267" spans="14:14">
      <c r="N267" s="136"/>
    </row>
    <row r="268" spans="14:14">
      <c r="N268" s="136"/>
    </row>
    <row r="269" spans="14:14">
      <c r="N269" s="136"/>
    </row>
    <row r="270" spans="14:14">
      <c r="N270" s="136"/>
    </row>
    <row r="271" spans="14:14">
      <c r="N271" s="136"/>
    </row>
    <row r="272" spans="14:14">
      <c r="N272" s="136"/>
    </row>
    <row r="273" spans="14:14">
      <c r="N273" s="136"/>
    </row>
    <row r="274" spans="14:14">
      <c r="N274" s="136"/>
    </row>
    <row r="275" spans="14:14">
      <c r="N275" s="136"/>
    </row>
    <row r="276" spans="14:14">
      <c r="N276" s="136"/>
    </row>
    <row r="277" spans="14:14">
      <c r="N277" s="136"/>
    </row>
    <row r="278" spans="14:14">
      <c r="N278" s="136"/>
    </row>
    <row r="279" spans="14:14">
      <c r="N279" s="136"/>
    </row>
    <row r="280" spans="14:14">
      <c r="N280" s="136"/>
    </row>
    <row r="281" spans="14:14">
      <c r="N281" s="136"/>
    </row>
    <row r="282" spans="14:14">
      <c r="N282" s="136"/>
    </row>
    <row r="283" spans="14:14">
      <c r="N283" s="136"/>
    </row>
    <row r="284" spans="14:14">
      <c r="N284" s="136"/>
    </row>
    <row r="285" spans="14:14">
      <c r="N285" s="136"/>
    </row>
    <row r="286" spans="14:14">
      <c r="N286" s="136"/>
    </row>
    <row r="287" spans="14:14">
      <c r="N287" s="136"/>
    </row>
    <row r="288" spans="14:14">
      <c r="N288" s="136"/>
    </row>
    <row r="289" spans="14:14">
      <c r="N289" s="136"/>
    </row>
    <row r="290" spans="14:14">
      <c r="N290" s="136"/>
    </row>
    <row r="291" spans="14:14">
      <c r="N291" s="136"/>
    </row>
    <row r="292" spans="14:14">
      <c r="N292" s="136"/>
    </row>
    <row r="293" spans="14:14">
      <c r="N293" s="136"/>
    </row>
    <row r="294" spans="14:14">
      <c r="N294" s="136"/>
    </row>
    <row r="295" spans="14:14">
      <c r="N295" s="136"/>
    </row>
    <row r="296" spans="14:14">
      <c r="N296" s="136"/>
    </row>
    <row r="297" spans="14:14">
      <c r="N297" s="136"/>
    </row>
    <row r="298" spans="14:14">
      <c r="N298" s="136"/>
    </row>
    <row r="299" spans="14:14">
      <c r="N299" s="136"/>
    </row>
    <row r="300" spans="14:14">
      <c r="N300" s="136"/>
    </row>
    <row r="301" spans="14:14">
      <c r="N301" s="136"/>
    </row>
    <row r="302" spans="14:14">
      <c r="N302" s="136"/>
    </row>
    <row r="303" spans="14:14">
      <c r="N303" s="136"/>
    </row>
    <row r="304" spans="14:14">
      <c r="N304" s="136"/>
    </row>
    <row r="305" spans="14:14">
      <c r="N305" s="136"/>
    </row>
    <row r="306" spans="14:14">
      <c r="N306" s="136"/>
    </row>
    <row r="307" spans="14:14">
      <c r="N307" s="136"/>
    </row>
    <row r="308" spans="14:14">
      <c r="N308" s="136"/>
    </row>
    <row r="309" spans="14:14">
      <c r="N309" s="136"/>
    </row>
    <row r="310" spans="14:14">
      <c r="N310" s="136"/>
    </row>
    <row r="311" spans="14:14">
      <c r="N311" s="136"/>
    </row>
    <row r="312" spans="14:14">
      <c r="N312" s="136"/>
    </row>
    <row r="313" spans="14:14">
      <c r="N313" s="136"/>
    </row>
    <row r="314" spans="14:14">
      <c r="N314" s="136"/>
    </row>
    <row r="315" spans="14:14">
      <c r="N315" s="136"/>
    </row>
    <row r="316" spans="14:14">
      <c r="N316" s="136"/>
    </row>
    <row r="317" spans="14:14">
      <c r="N317" s="136"/>
    </row>
    <row r="318" spans="14:14">
      <c r="N318" s="136"/>
    </row>
    <row r="319" spans="14:14">
      <c r="N319" s="136"/>
    </row>
    <row r="320" spans="14:14">
      <c r="N320" s="136"/>
    </row>
    <row r="321" spans="14:14">
      <c r="N321" s="136"/>
    </row>
    <row r="322" spans="14:14">
      <c r="N322" s="136"/>
    </row>
    <row r="323" spans="14:14">
      <c r="N323" s="136"/>
    </row>
    <row r="324" spans="14:14">
      <c r="N324" s="136"/>
    </row>
    <row r="325" spans="14:14">
      <c r="N325" s="136"/>
    </row>
    <row r="326" spans="14:14">
      <c r="N326" s="136"/>
    </row>
    <row r="327" spans="14:14">
      <c r="N327" s="136"/>
    </row>
    <row r="328" spans="14:14">
      <c r="N328" s="136"/>
    </row>
    <row r="329" spans="14:14">
      <c r="N329" s="136"/>
    </row>
    <row r="330" spans="14:14">
      <c r="N330" s="136"/>
    </row>
    <row r="331" spans="14:14">
      <c r="N331" s="136"/>
    </row>
    <row r="332" spans="14:14">
      <c r="N332" s="136"/>
    </row>
    <row r="333" spans="14:14">
      <c r="N333" s="136"/>
    </row>
    <row r="334" spans="14:14">
      <c r="N334" s="136"/>
    </row>
    <row r="335" spans="14:14">
      <c r="N335" s="136"/>
    </row>
    <row r="336" spans="14:14">
      <c r="N336" s="136"/>
    </row>
    <row r="337" spans="14:14">
      <c r="N337" s="136"/>
    </row>
    <row r="338" spans="14:14">
      <c r="N338" s="136"/>
    </row>
    <row r="339" spans="14:14">
      <c r="N339" s="136"/>
    </row>
    <row r="340" spans="14:14">
      <c r="N340" s="136"/>
    </row>
    <row r="341" spans="14:14">
      <c r="N341" s="136"/>
    </row>
    <row r="342" spans="14:14">
      <c r="N342" s="136"/>
    </row>
    <row r="343" spans="14:14">
      <c r="N343" s="136"/>
    </row>
    <row r="344" spans="14:14">
      <c r="N344" s="136"/>
    </row>
    <row r="345" spans="14:14">
      <c r="N345" s="136"/>
    </row>
    <row r="346" spans="14:14">
      <c r="N346" s="136"/>
    </row>
    <row r="347" spans="14:14">
      <c r="N347" s="136"/>
    </row>
    <row r="348" spans="14:14">
      <c r="N348" s="136"/>
    </row>
    <row r="349" spans="14:14">
      <c r="N349" s="136"/>
    </row>
    <row r="350" spans="14:14">
      <c r="N350" s="136"/>
    </row>
    <row r="351" spans="14:14">
      <c r="N351" s="136"/>
    </row>
    <row r="352" spans="14:14">
      <c r="N352" s="136"/>
    </row>
    <row r="353" spans="14:14">
      <c r="N353" s="136"/>
    </row>
    <row r="354" spans="14:14">
      <c r="N354" s="136"/>
    </row>
    <row r="355" spans="14:14">
      <c r="N355" s="136"/>
    </row>
    <row r="356" spans="14:14">
      <c r="N356" s="136"/>
    </row>
    <row r="357" spans="14:14">
      <c r="N357" s="136"/>
    </row>
    <row r="358" spans="14:14">
      <c r="N358" s="136"/>
    </row>
    <row r="359" spans="14:14">
      <c r="N359" s="136"/>
    </row>
    <row r="360" spans="14:14">
      <c r="N360" s="136"/>
    </row>
    <row r="361" spans="14:14">
      <c r="N361" s="136"/>
    </row>
    <row r="362" spans="14:14">
      <c r="N362" s="136"/>
    </row>
    <row r="363" spans="14:14">
      <c r="N363" s="136"/>
    </row>
    <row r="364" spans="14:14">
      <c r="N364" s="136"/>
    </row>
    <row r="365" spans="14:14">
      <c r="N365" s="136"/>
    </row>
  </sheetData>
  <sheetProtection selectLockedCells="1"/>
  <mergeCells count="11">
    <mergeCell ref="F16:J16"/>
    <mergeCell ref="F17:J17"/>
    <mergeCell ref="F18:J18"/>
    <mergeCell ref="F19:J19"/>
    <mergeCell ref="F86:J86"/>
    <mergeCell ref="F15:J15"/>
    <mergeCell ref="F3:H3"/>
    <mergeCell ref="F4:H4"/>
    <mergeCell ref="F6:H6"/>
    <mergeCell ref="F7:H7"/>
    <mergeCell ref="F14:J14"/>
  </mergeCells>
  <pageMargins left="1.1811023622047245" right="0.78740157480314965" top="0.78740157480314965" bottom="0.78740157480314965" header="0.51181102362204722" footer="0.51181102362204722"/>
  <pageSetup paperSize="9" scale="62" orientation="portrait" r:id="rId1"/>
  <headerFooter alignWithMargins="0">
    <oddHeader>&amp;L&amp;F&amp;R&amp;A</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C1AE2C-BA12-4752-BCC4-302F316473C3}">
  <sheetPr codeName="Sheet4">
    <tabColor theme="0"/>
    <pageSetUpPr fitToPage="1"/>
  </sheetPr>
  <dimension ref="B1:CE49"/>
  <sheetViews>
    <sheetView showRowColHeaders="0" zoomScale="90" zoomScaleNormal="90" workbookViewId="0">
      <selection activeCell="H16" sqref="H16:I16"/>
    </sheetView>
  </sheetViews>
  <sheetFormatPr defaultRowHeight="12.6"/>
  <cols>
    <col min="1" max="1" width="3.59765625" style="172" customWidth="1"/>
    <col min="2" max="2" width="2.09765625" style="172" customWidth="1"/>
    <col min="3" max="3" width="30.59765625" style="172" customWidth="1"/>
    <col min="4" max="4" width="45.59765625" style="172" customWidth="1"/>
    <col min="5" max="5" width="21.5" style="172" customWidth="1"/>
    <col min="6" max="14" width="9" style="172"/>
    <col min="15" max="15" width="9.19921875" style="172" customWidth="1"/>
    <col min="16" max="256" width="9" style="172"/>
    <col min="257" max="257" width="3.59765625" style="172" customWidth="1"/>
    <col min="258" max="258" width="2.09765625" style="172" customWidth="1"/>
    <col min="259" max="259" width="26.69921875" style="172" customWidth="1"/>
    <col min="260" max="260" width="45.59765625" style="172" customWidth="1"/>
    <col min="261" max="261" width="21.5" style="172" customWidth="1"/>
    <col min="262" max="270" width="9" style="172"/>
    <col min="271" max="271" width="9.19921875" style="172" customWidth="1"/>
    <col min="272" max="512" width="9" style="172"/>
    <col min="513" max="513" width="3.59765625" style="172" customWidth="1"/>
    <col min="514" max="514" width="2.09765625" style="172" customWidth="1"/>
    <col min="515" max="515" width="26.69921875" style="172" customWidth="1"/>
    <col min="516" max="516" width="45.59765625" style="172" customWidth="1"/>
    <col min="517" max="517" width="21.5" style="172" customWidth="1"/>
    <col min="518" max="526" width="9" style="172"/>
    <col min="527" max="527" width="9.19921875" style="172" customWidth="1"/>
    <col min="528" max="768" width="9" style="172"/>
    <col min="769" max="769" width="3.59765625" style="172" customWidth="1"/>
    <col min="770" max="770" width="2.09765625" style="172" customWidth="1"/>
    <col min="771" max="771" width="26.69921875" style="172" customWidth="1"/>
    <col min="772" max="772" width="45.59765625" style="172" customWidth="1"/>
    <col min="773" max="773" width="21.5" style="172" customWidth="1"/>
    <col min="774" max="782" width="9" style="172"/>
    <col min="783" max="783" width="9.19921875" style="172" customWidth="1"/>
    <col min="784" max="1024" width="9" style="172"/>
    <col min="1025" max="1025" width="3.59765625" style="172" customWidth="1"/>
    <col min="1026" max="1026" width="2.09765625" style="172" customWidth="1"/>
    <col min="1027" max="1027" width="26.69921875" style="172" customWidth="1"/>
    <col min="1028" max="1028" width="45.59765625" style="172" customWidth="1"/>
    <col min="1029" max="1029" width="21.5" style="172" customWidth="1"/>
    <col min="1030" max="1038" width="9" style="172"/>
    <col min="1039" max="1039" width="9.19921875" style="172" customWidth="1"/>
    <col min="1040" max="1280" width="9" style="172"/>
    <col min="1281" max="1281" width="3.59765625" style="172" customWidth="1"/>
    <col min="1282" max="1282" width="2.09765625" style="172" customWidth="1"/>
    <col min="1283" max="1283" width="26.69921875" style="172" customWidth="1"/>
    <col min="1284" max="1284" width="45.59765625" style="172" customWidth="1"/>
    <col min="1285" max="1285" width="21.5" style="172" customWidth="1"/>
    <col min="1286" max="1294" width="9" style="172"/>
    <col min="1295" max="1295" width="9.19921875" style="172" customWidth="1"/>
    <col min="1296" max="1536" width="9" style="172"/>
    <col min="1537" max="1537" width="3.59765625" style="172" customWidth="1"/>
    <col min="1538" max="1538" width="2.09765625" style="172" customWidth="1"/>
    <col min="1539" max="1539" width="26.69921875" style="172" customWidth="1"/>
    <col min="1540" max="1540" width="45.59765625" style="172" customWidth="1"/>
    <col min="1541" max="1541" width="21.5" style="172" customWidth="1"/>
    <col min="1542" max="1550" width="9" style="172"/>
    <col min="1551" max="1551" width="9.19921875" style="172" customWidth="1"/>
    <col min="1552" max="1792" width="9" style="172"/>
    <col min="1793" max="1793" width="3.59765625" style="172" customWidth="1"/>
    <col min="1794" max="1794" width="2.09765625" style="172" customWidth="1"/>
    <col min="1795" max="1795" width="26.69921875" style="172" customWidth="1"/>
    <col min="1796" max="1796" width="45.59765625" style="172" customWidth="1"/>
    <col min="1797" max="1797" width="21.5" style="172" customWidth="1"/>
    <col min="1798" max="1806" width="9" style="172"/>
    <col min="1807" max="1807" width="9.19921875" style="172" customWidth="1"/>
    <col min="1808" max="2048" width="9" style="172"/>
    <col min="2049" max="2049" width="3.59765625" style="172" customWidth="1"/>
    <col min="2050" max="2050" width="2.09765625" style="172" customWidth="1"/>
    <col min="2051" max="2051" width="26.69921875" style="172" customWidth="1"/>
    <col min="2052" max="2052" width="45.59765625" style="172" customWidth="1"/>
    <col min="2053" max="2053" width="21.5" style="172" customWidth="1"/>
    <col min="2054" max="2062" width="9" style="172"/>
    <col min="2063" max="2063" width="9.19921875" style="172" customWidth="1"/>
    <col min="2064" max="2304" width="9" style="172"/>
    <col min="2305" max="2305" width="3.59765625" style="172" customWidth="1"/>
    <col min="2306" max="2306" width="2.09765625" style="172" customWidth="1"/>
    <col min="2307" max="2307" width="26.69921875" style="172" customWidth="1"/>
    <col min="2308" max="2308" width="45.59765625" style="172" customWidth="1"/>
    <col min="2309" max="2309" width="21.5" style="172" customWidth="1"/>
    <col min="2310" max="2318" width="9" style="172"/>
    <col min="2319" max="2319" width="9.19921875" style="172" customWidth="1"/>
    <col min="2320" max="2560" width="9" style="172"/>
    <col min="2561" max="2561" width="3.59765625" style="172" customWidth="1"/>
    <col min="2562" max="2562" width="2.09765625" style="172" customWidth="1"/>
    <col min="2563" max="2563" width="26.69921875" style="172" customWidth="1"/>
    <col min="2564" max="2564" width="45.59765625" style="172" customWidth="1"/>
    <col min="2565" max="2565" width="21.5" style="172" customWidth="1"/>
    <col min="2566" max="2574" width="9" style="172"/>
    <col min="2575" max="2575" width="9.19921875" style="172" customWidth="1"/>
    <col min="2576" max="2816" width="9" style="172"/>
    <col min="2817" max="2817" width="3.59765625" style="172" customWidth="1"/>
    <col min="2818" max="2818" width="2.09765625" style="172" customWidth="1"/>
    <col min="2819" max="2819" width="26.69921875" style="172" customWidth="1"/>
    <col min="2820" max="2820" width="45.59765625" style="172" customWidth="1"/>
    <col min="2821" max="2821" width="21.5" style="172" customWidth="1"/>
    <col min="2822" max="2830" width="9" style="172"/>
    <col min="2831" max="2831" width="9.19921875" style="172" customWidth="1"/>
    <col min="2832" max="3072" width="9" style="172"/>
    <col min="3073" max="3073" width="3.59765625" style="172" customWidth="1"/>
    <col min="3074" max="3074" width="2.09765625" style="172" customWidth="1"/>
    <col min="3075" max="3075" width="26.69921875" style="172" customWidth="1"/>
    <col min="3076" max="3076" width="45.59765625" style="172" customWidth="1"/>
    <col min="3077" max="3077" width="21.5" style="172" customWidth="1"/>
    <col min="3078" max="3086" width="9" style="172"/>
    <col min="3087" max="3087" width="9.19921875" style="172" customWidth="1"/>
    <col min="3088" max="3328" width="9" style="172"/>
    <col min="3329" max="3329" width="3.59765625" style="172" customWidth="1"/>
    <col min="3330" max="3330" width="2.09765625" style="172" customWidth="1"/>
    <col min="3331" max="3331" width="26.69921875" style="172" customWidth="1"/>
    <col min="3332" max="3332" width="45.59765625" style="172" customWidth="1"/>
    <col min="3333" max="3333" width="21.5" style="172" customWidth="1"/>
    <col min="3334" max="3342" width="9" style="172"/>
    <col min="3343" max="3343" width="9.19921875" style="172" customWidth="1"/>
    <col min="3344" max="3584" width="9" style="172"/>
    <col min="3585" max="3585" width="3.59765625" style="172" customWidth="1"/>
    <col min="3586" max="3586" width="2.09765625" style="172" customWidth="1"/>
    <col min="3587" max="3587" width="26.69921875" style="172" customWidth="1"/>
    <col min="3588" max="3588" width="45.59765625" style="172" customWidth="1"/>
    <col min="3589" max="3589" width="21.5" style="172" customWidth="1"/>
    <col min="3590" max="3598" width="9" style="172"/>
    <col min="3599" max="3599" width="9.19921875" style="172" customWidth="1"/>
    <col min="3600" max="3840" width="9" style="172"/>
    <col min="3841" max="3841" width="3.59765625" style="172" customWidth="1"/>
    <col min="3842" max="3842" width="2.09765625" style="172" customWidth="1"/>
    <col min="3843" max="3843" width="26.69921875" style="172" customWidth="1"/>
    <col min="3844" max="3844" width="45.59765625" style="172" customWidth="1"/>
    <col min="3845" max="3845" width="21.5" style="172" customWidth="1"/>
    <col min="3846" max="3854" width="9" style="172"/>
    <col min="3855" max="3855" width="9.19921875" style="172" customWidth="1"/>
    <col min="3856" max="4096" width="9" style="172"/>
    <col min="4097" max="4097" width="3.59765625" style="172" customWidth="1"/>
    <col min="4098" max="4098" width="2.09765625" style="172" customWidth="1"/>
    <col min="4099" max="4099" width="26.69921875" style="172" customWidth="1"/>
    <col min="4100" max="4100" width="45.59765625" style="172" customWidth="1"/>
    <col min="4101" max="4101" width="21.5" style="172" customWidth="1"/>
    <col min="4102" max="4110" width="9" style="172"/>
    <col min="4111" max="4111" width="9.19921875" style="172" customWidth="1"/>
    <col min="4112" max="4352" width="9" style="172"/>
    <col min="4353" max="4353" width="3.59765625" style="172" customWidth="1"/>
    <col min="4354" max="4354" width="2.09765625" style="172" customWidth="1"/>
    <col min="4355" max="4355" width="26.69921875" style="172" customWidth="1"/>
    <col min="4356" max="4356" width="45.59765625" style="172" customWidth="1"/>
    <col min="4357" max="4357" width="21.5" style="172" customWidth="1"/>
    <col min="4358" max="4366" width="9" style="172"/>
    <col min="4367" max="4367" width="9.19921875" style="172" customWidth="1"/>
    <col min="4368" max="4608" width="9" style="172"/>
    <col min="4609" max="4609" width="3.59765625" style="172" customWidth="1"/>
    <col min="4610" max="4610" width="2.09765625" style="172" customWidth="1"/>
    <col min="4611" max="4611" width="26.69921875" style="172" customWidth="1"/>
    <col min="4612" max="4612" width="45.59765625" style="172" customWidth="1"/>
    <col min="4613" max="4613" width="21.5" style="172" customWidth="1"/>
    <col min="4614" max="4622" width="9" style="172"/>
    <col min="4623" max="4623" width="9.19921875" style="172" customWidth="1"/>
    <col min="4624" max="4864" width="9" style="172"/>
    <col min="4865" max="4865" width="3.59765625" style="172" customWidth="1"/>
    <col min="4866" max="4866" width="2.09765625" style="172" customWidth="1"/>
    <col min="4867" max="4867" width="26.69921875" style="172" customWidth="1"/>
    <col min="4868" max="4868" width="45.59765625" style="172" customWidth="1"/>
    <col min="4869" max="4869" width="21.5" style="172" customWidth="1"/>
    <col min="4870" max="4878" width="9" style="172"/>
    <col min="4879" max="4879" width="9.19921875" style="172" customWidth="1"/>
    <col min="4880" max="5120" width="9" style="172"/>
    <col min="5121" max="5121" width="3.59765625" style="172" customWidth="1"/>
    <col min="5122" max="5122" width="2.09765625" style="172" customWidth="1"/>
    <col min="5123" max="5123" width="26.69921875" style="172" customWidth="1"/>
    <col min="5124" max="5124" width="45.59765625" style="172" customWidth="1"/>
    <col min="5125" max="5125" width="21.5" style="172" customWidth="1"/>
    <col min="5126" max="5134" width="9" style="172"/>
    <col min="5135" max="5135" width="9.19921875" style="172" customWidth="1"/>
    <col min="5136" max="5376" width="9" style="172"/>
    <col min="5377" max="5377" width="3.59765625" style="172" customWidth="1"/>
    <col min="5378" max="5378" width="2.09765625" style="172" customWidth="1"/>
    <col min="5379" max="5379" width="26.69921875" style="172" customWidth="1"/>
    <col min="5380" max="5380" width="45.59765625" style="172" customWidth="1"/>
    <col min="5381" max="5381" width="21.5" style="172" customWidth="1"/>
    <col min="5382" max="5390" width="9" style="172"/>
    <col min="5391" max="5391" width="9.19921875" style="172" customWidth="1"/>
    <col min="5392" max="5632" width="9" style="172"/>
    <col min="5633" max="5633" width="3.59765625" style="172" customWidth="1"/>
    <col min="5634" max="5634" width="2.09765625" style="172" customWidth="1"/>
    <col min="5635" max="5635" width="26.69921875" style="172" customWidth="1"/>
    <col min="5636" max="5636" width="45.59765625" style="172" customWidth="1"/>
    <col min="5637" max="5637" width="21.5" style="172" customWidth="1"/>
    <col min="5638" max="5646" width="9" style="172"/>
    <col min="5647" max="5647" width="9.19921875" style="172" customWidth="1"/>
    <col min="5648" max="5888" width="9" style="172"/>
    <col min="5889" max="5889" width="3.59765625" style="172" customWidth="1"/>
    <col min="5890" max="5890" width="2.09765625" style="172" customWidth="1"/>
    <col min="5891" max="5891" width="26.69921875" style="172" customWidth="1"/>
    <col min="5892" max="5892" width="45.59765625" style="172" customWidth="1"/>
    <col min="5893" max="5893" width="21.5" style="172" customWidth="1"/>
    <col min="5894" max="5902" width="9" style="172"/>
    <col min="5903" max="5903" width="9.19921875" style="172" customWidth="1"/>
    <col min="5904" max="6144" width="9" style="172"/>
    <col min="6145" max="6145" width="3.59765625" style="172" customWidth="1"/>
    <col min="6146" max="6146" width="2.09765625" style="172" customWidth="1"/>
    <col min="6147" max="6147" width="26.69921875" style="172" customWidth="1"/>
    <col min="6148" max="6148" width="45.59765625" style="172" customWidth="1"/>
    <col min="6149" max="6149" width="21.5" style="172" customWidth="1"/>
    <col min="6150" max="6158" width="9" style="172"/>
    <col min="6159" max="6159" width="9.19921875" style="172" customWidth="1"/>
    <col min="6160" max="6400" width="9" style="172"/>
    <col min="6401" max="6401" width="3.59765625" style="172" customWidth="1"/>
    <col min="6402" max="6402" width="2.09765625" style="172" customWidth="1"/>
    <col min="6403" max="6403" width="26.69921875" style="172" customWidth="1"/>
    <col min="6404" max="6404" width="45.59765625" style="172" customWidth="1"/>
    <col min="6405" max="6405" width="21.5" style="172" customWidth="1"/>
    <col min="6406" max="6414" width="9" style="172"/>
    <col min="6415" max="6415" width="9.19921875" style="172" customWidth="1"/>
    <col min="6416" max="6656" width="9" style="172"/>
    <col min="6657" max="6657" width="3.59765625" style="172" customWidth="1"/>
    <col min="6658" max="6658" width="2.09765625" style="172" customWidth="1"/>
    <col min="6659" max="6659" width="26.69921875" style="172" customWidth="1"/>
    <col min="6660" max="6660" width="45.59765625" style="172" customWidth="1"/>
    <col min="6661" max="6661" width="21.5" style="172" customWidth="1"/>
    <col min="6662" max="6670" width="9" style="172"/>
    <col min="6671" max="6671" width="9.19921875" style="172" customWidth="1"/>
    <col min="6672" max="6912" width="9" style="172"/>
    <col min="6913" max="6913" width="3.59765625" style="172" customWidth="1"/>
    <col min="6914" max="6914" width="2.09765625" style="172" customWidth="1"/>
    <col min="6915" max="6915" width="26.69921875" style="172" customWidth="1"/>
    <col min="6916" max="6916" width="45.59765625" style="172" customWidth="1"/>
    <col min="6917" max="6917" width="21.5" style="172" customWidth="1"/>
    <col min="6918" max="6926" width="9" style="172"/>
    <col min="6927" max="6927" width="9.19921875" style="172" customWidth="1"/>
    <col min="6928" max="7168" width="9" style="172"/>
    <col min="7169" max="7169" width="3.59765625" style="172" customWidth="1"/>
    <col min="7170" max="7170" width="2.09765625" style="172" customWidth="1"/>
    <col min="7171" max="7171" width="26.69921875" style="172" customWidth="1"/>
    <col min="7172" max="7172" width="45.59765625" style="172" customWidth="1"/>
    <col min="7173" max="7173" width="21.5" style="172" customWidth="1"/>
    <col min="7174" max="7182" width="9" style="172"/>
    <col min="7183" max="7183" width="9.19921875" style="172" customWidth="1"/>
    <col min="7184" max="7424" width="9" style="172"/>
    <col min="7425" max="7425" width="3.59765625" style="172" customWidth="1"/>
    <col min="7426" max="7426" width="2.09765625" style="172" customWidth="1"/>
    <col min="7427" max="7427" width="26.69921875" style="172" customWidth="1"/>
    <col min="7428" max="7428" width="45.59765625" style="172" customWidth="1"/>
    <col min="7429" max="7429" width="21.5" style="172" customWidth="1"/>
    <col min="7430" max="7438" width="9" style="172"/>
    <col min="7439" max="7439" width="9.19921875" style="172" customWidth="1"/>
    <col min="7440" max="7680" width="9" style="172"/>
    <col min="7681" max="7681" width="3.59765625" style="172" customWidth="1"/>
    <col min="7682" max="7682" width="2.09765625" style="172" customWidth="1"/>
    <col min="7683" max="7683" width="26.69921875" style="172" customWidth="1"/>
    <col min="7684" max="7684" width="45.59765625" style="172" customWidth="1"/>
    <col min="7685" max="7685" width="21.5" style="172" customWidth="1"/>
    <col min="7686" max="7694" width="9" style="172"/>
    <col min="7695" max="7695" width="9.19921875" style="172" customWidth="1"/>
    <col min="7696" max="7936" width="9" style="172"/>
    <col min="7937" max="7937" width="3.59765625" style="172" customWidth="1"/>
    <col min="7938" max="7938" width="2.09765625" style="172" customWidth="1"/>
    <col min="7939" max="7939" width="26.69921875" style="172" customWidth="1"/>
    <col min="7940" max="7940" width="45.59765625" style="172" customWidth="1"/>
    <col min="7941" max="7941" width="21.5" style="172" customWidth="1"/>
    <col min="7942" max="7950" width="9" style="172"/>
    <col min="7951" max="7951" width="9.19921875" style="172" customWidth="1"/>
    <col min="7952" max="8192" width="9" style="172"/>
    <col min="8193" max="8193" width="3.59765625" style="172" customWidth="1"/>
    <col min="8194" max="8194" width="2.09765625" style="172" customWidth="1"/>
    <col min="8195" max="8195" width="26.69921875" style="172" customWidth="1"/>
    <col min="8196" max="8196" width="45.59765625" style="172" customWidth="1"/>
    <col min="8197" max="8197" width="21.5" style="172" customWidth="1"/>
    <col min="8198" max="8206" width="9" style="172"/>
    <col min="8207" max="8207" width="9.19921875" style="172" customWidth="1"/>
    <col min="8208" max="8448" width="9" style="172"/>
    <col min="8449" max="8449" width="3.59765625" style="172" customWidth="1"/>
    <col min="8450" max="8450" width="2.09765625" style="172" customWidth="1"/>
    <col min="8451" max="8451" width="26.69921875" style="172" customWidth="1"/>
    <col min="8452" max="8452" width="45.59765625" style="172" customWidth="1"/>
    <col min="8453" max="8453" width="21.5" style="172" customWidth="1"/>
    <col min="8454" max="8462" width="9" style="172"/>
    <col min="8463" max="8463" width="9.19921875" style="172" customWidth="1"/>
    <col min="8464" max="8704" width="9" style="172"/>
    <col min="8705" max="8705" width="3.59765625" style="172" customWidth="1"/>
    <col min="8706" max="8706" width="2.09765625" style="172" customWidth="1"/>
    <col min="8707" max="8707" width="26.69921875" style="172" customWidth="1"/>
    <col min="8708" max="8708" width="45.59765625" style="172" customWidth="1"/>
    <col min="8709" max="8709" width="21.5" style="172" customWidth="1"/>
    <col min="8710" max="8718" width="9" style="172"/>
    <col min="8719" max="8719" width="9.19921875" style="172" customWidth="1"/>
    <col min="8720" max="8960" width="9" style="172"/>
    <col min="8961" max="8961" width="3.59765625" style="172" customWidth="1"/>
    <col min="8962" max="8962" width="2.09765625" style="172" customWidth="1"/>
    <col min="8963" max="8963" width="26.69921875" style="172" customWidth="1"/>
    <col min="8964" max="8964" width="45.59765625" style="172" customWidth="1"/>
    <col min="8965" max="8965" width="21.5" style="172" customWidth="1"/>
    <col min="8966" max="8974" width="9" style="172"/>
    <col min="8975" max="8975" width="9.19921875" style="172" customWidth="1"/>
    <col min="8976" max="9216" width="9" style="172"/>
    <col min="9217" max="9217" width="3.59765625" style="172" customWidth="1"/>
    <col min="9218" max="9218" width="2.09765625" style="172" customWidth="1"/>
    <col min="9219" max="9219" width="26.69921875" style="172" customWidth="1"/>
    <col min="9220" max="9220" width="45.59765625" style="172" customWidth="1"/>
    <col min="9221" max="9221" width="21.5" style="172" customWidth="1"/>
    <col min="9222" max="9230" width="9" style="172"/>
    <col min="9231" max="9231" width="9.19921875" style="172" customWidth="1"/>
    <col min="9232" max="9472" width="9" style="172"/>
    <col min="9473" max="9473" width="3.59765625" style="172" customWidth="1"/>
    <col min="9474" max="9474" width="2.09765625" style="172" customWidth="1"/>
    <col min="9475" max="9475" width="26.69921875" style="172" customWidth="1"/>
    <col min="9476" max="9476" width="45.59765625" style="172" customWidth="1"/>
    <col min="9477" max="9477" width="21.5" style="172" customWidth="1"/>
    <col min="9478" max="9486" width="9" style="172"/>
    <col min="9487" max="9487" width="9.19921875" style="172" customWidth="1"/>
    <col min="9488" max="9728" width="9" style="172"/>
    <col min="9729" max="9729" width="3.59765625" style="172" customWidth="1"/>
    <col min="9730" max="9730" width="2.09765625" style="172" customWidth="1"/>
    <col min="9731" max="9731" width="26.69921875" style="172" customWidth="1"/>
    <col min="9732" max="9732" width="45.59765625" style="172" customWidth="1"/>
    <col min="9733" max="9733" width="21.5" style="172" customWidth="1"/>
    <col min="9734" max="9742" width="9" style="172"/>
    <col min="9743" max="9743" width="9.19921875" style="172" customWidth="1"/>
    <col min="9744" max="9984" width="9" style="172"/>
    <col min="9985" max="9985" width="3.59765625" style="172" customWidth="1"/>
    <col min="9986" max="9986" width="2.09765625" style="172" customWidth="1"/>
    <col min="9987" max="9987" width="26.69921875" style="172" customWidth="1"/>
    <col min="9988" max="9988" width="45.59765625" style="172" customWidth="1"/>
    <col min="9989" max="9989" width="21.5" style="172" customWidth="1"/>
    <col min="9990" max="9998" width="9" style="172"/>
    <col min="9999" max="9999" width="9.19921875" style="172" customWidth="1"/>
    <col min="10000" max="10240" width="9" style="172"/>
    <col min="10241" max="10241" width="3.59765625" style="172" customWidth="1"/>
    <col min="10242" max="10242" width="2.09765625" style="172" customWidth="1"/>
    <col min="10243" max="10243" width="26.69921875" style="172" customWidth="1"/>
    <col min="10244" max="10244" width="45.59765625" style="172" customWidth="1"/>
    <col min="10245" max="10245" width="21.5" style="172" customWidth="1"/>
    <col min="10246" max="10254" width="9" style="172"/>
    <col min="10255" max="10255" width="9.19921875" style="172" customWidth="1"/>
    <col min="10256" max="10496" width="9" style="172"/>
    <col min="10497" max="10497" width="3.59765625" style="172" customWidth="1"/>
    <col min="10498" max="10498" width="2.09765625" style="172" customWidth="1"/>
    <col min="10499" max="10499" width="26.69921875" style="172" customWidth="1"/>
    <col min="10500" max="10500" width="45.59765625" style="172" customWidth="1"/>
    <col min="10501" max="10501" width="21.5" style="172" customWidth="1"/>
    <col min="10502" max="10510" width="9" style="172"/>
    <col min="10511" max="10511" width="9.19921875" style="172" customWidth="1"/>
    <col min="10512" max="10752" width="9" style="172"/>
    <col min="10753" max="10753" width="3.59765625" style="172" customWidth="1"/>
    <col min="10754" max="10754" width="2.09765625" style="172" customWidth="1"/>
    <col min="10755" max="10755" width="26.69921875" style="172" customWidth="1"/>
    <col min="10756" max="10756" width="45.59765625" style="172" customWidth="1"/>
    <col min="10757" max="10757" width="21.5" style="172" customWidth="1"/>
    <col min="10758" max="10766" width="9" style="172"/>
    <col min="10767" max="10767" width="9.19921875" style="172" customWidth="1"/>
    <col min="10768" max="11008" width="9" style="172"/>
    <col min="11009" max="11009" width="3.59765625" style="172" customWidth="1"/>
    <col min="11010" max="11010" width="2.09765625" style="172" customWidth="1"/>
    <col min="11011" max="11011" width="26.69921875" style="172" customWidth="1"/>
    <col min="11012" max="11012" width="45.59765625" style="172" customWidth="1"/>
    <col min="11013" max="11013" width="21.5" style="172" customWidth="1"/>
    <col min="11014" max="11022" width="9" style="172"/>
    <col min="11023" max="11023" width="9.19921875" style="172" customWidth="1"/>
    <col min="11024" max="11264" width="9" style="172"/>
    <col min="11265" max="11265" width="3.59765625" style="172" customWidth="1"/>
    <col min="11266" max="11266" width="2.09765625" style="172" customWidth="1"/>
    <col min="11267" max="11267" width="26.69921875" style="172" customWidth="1"/>
    <col min="11268" max="11268" width="45.59765625" style="172" customWidth="1"/>
    <col min="11269" max="11269" width="21.5" style="172" customWidth="1"/>
    <col min="11270" max="11278" width="9" style="172"/>
    <col min="11279" max="11279" width="9.19921875" style="172" customWidth="1"/>
    <col min="11280" max="11520" width="9" style="172"/>
    <col min="11521" max="11521" width="3.59765625" style="172" customWidth="1"/>
    <col min="11522" max="11522" width="2.09765625" style="172" customWidth="1"/>
    <col min="11523" max="11523" width="26.69921875" style="172" customWidth="1"/>
    <col min="11524" max="11524" width="45.59765625" style="172" customWidth="1"/>
    <col min="11525" max="11525" width="21.5" style="172" customWidth="1"/>
    <col min="11526" max="11534" width="9" style="172"/>
    <col min="11535" max="11535" width="9.19921875" style="172" customWidth="1"/>
    <col min="11536" max="11776" width="9" style="172"/>
    <col min="11777" max="11777" width="3.59765625" style="172" customWidth="1"/>
    <col min="11778" max="11778" width="2.09765625" style="172" customWidth="1"/>
    <col min="11779" max="11779" width="26.69921875" style="172" customWidth="1"/>
    <col min="11780" max="11780" width="45.59765625" style="172" customWidth="1"/>
    <col min="11781" max="11781" width="21.5" style="172" customWidth="1"/>
    <col min="11782" max="11790" width="9" style="172"/>
    <col min="11791" max="11791" width="9.19921875" style="172" customWidth="1"/>
    <col min="11792" max="12032" width="9" style="172"/>
    <col min="12033" max="12033" width="3.59765625" style="172" customWidth="1"/>
    <col min="12034" max="12034" width="2.09765625" style="172" customWidth="1"/>
    <col min="12035" max="12035" width="26.69921875" style="172" customWidth="1"/>
    <col min="12036" max="12036" width="45.59765625" style="172" customWidth="1"/>
    <col min="12037" max="12037" width="21.5" style="172" customWidth="1"/>
    <col min="12038" max="12046" width="9" style="172"/>
    <col min="12047" max="12047" width="9.19921875" style="172" customWidth="1"/>
    <col min="12048" max="12288" width="9" style="172"/>
    <col min="12289" max="12289" width="3.59765625" style="172" customWidth="1"/>
    <col min="12290" max="12290" width="2.09765625" style="172" customWidth="1"/>
    <col min="12291" max="12291" width="26.69921875" style="172" customWidth="1"/>
    <col min="12292" max="12292" width="45.59765625" style="172" customWidth="1"/>
    <col min="12293" max="12293" width="21.5" style="172" customWidth="1"/>
    <col min="12294" max="12302" width="9" style="172"/>
    <col min="12303" max="12303" width="9.19921875" style="172" customWidth="1"/>
    <col min="12304" max="12544" width="9" style="172"/>
    <col min="12545" max="12545" width="3.59765625" style="172" customWidth="1"/>
    <col min="12546" max="12546" width="2.09765625" style="172" customWidth="1"/>
    <col min="12547" max="12547" width="26.69921875" style="172" customWidth="1"/>
    <col min="12548" max="12548" width="45.59765625" style="172" customWidth="1"/>
    <col min="12549" max="12549" width="21.5" style="172" customWidth="1"/>
    <col min="12550" max="12558" width="9" style="172"/>
    <col min="12559" max="12559" width="9.19921875" style="172" customWidth="1"/>
    <col min="12560" max="12800" width="9" style="172"/>
    <col min="12801" max="12801" width="3.59765625" style="172" customWidth="1"/>
    <col min="12802" max="12802" width="2.09765625" style="172" customWidth="1"/>
    <col min="12803" max="12803" width="26.69921875" style="172" customWidth="1"/>
    <col min="12804" max="12804" width="45.59765625" style="172" customWidth="1"/>
    <col min="12805" max="12805" width="21.5" style="172" customWidth="1"/>
    <col min="12806" max="12814" width="9" style="172"/>
    <col min="12815" max="12815" width="9.19921875" style="172" customWidth="1"/>
    <col min="12816" max="13056" width="9" style="172"/>
    <col min="13057" max="13057" width="3.59765625" style="172" customWidth="1"/>
    <col min="13058" max="13058" width="2.09765625" style="172" customWidth="1"/>
    <col min="13059" max="13059" width="26.69921875" style="172" customWidth="1"/>
    <col min="13060" max="13060" width="45.59765625" style="172" customWidth="1"/>
    <col min="13061" max="13061" width="21.5" style="172" customWidth="1"/>
    <col min="13062" max="13070" width="9" style="172"/>
    <col min="13071" max="13071" width="9.19921875" style="172" customWidth="1"/>
    <col min="13072" max="13312" width="9" style="172"/>
    <col min="13313" max="13313" width="3.59765625" style="172" customWidth="1"/>
    <col min="13314" max="13314" width="2.09765625" style="172" customWidth="1"/>
    <col min="13315" max="13315" width="26.69921875" style="172" customWidth="1"/>
    <col min="13316" max="13316" width="45.59765625" style="172" customWidth="1"/>
    <col min="13317" max="13317" width="21.5" style="172" customWidth="1"/>
    <col min="13318" max="13326" width="9" style="172"/>
    <col min="13327" max="13327" width="9.19921875" style="172" customWidth="1"/>
    <col min="13328" max="13568" width="9" style="172"/>
    <col min="13569" max="13569" width="3.59765625" style="172" customWidth="1"/>
    <col min="13570" max="13570" width="2.09765625" style="172" customWidth="1"/>
    <col min="13571" max="13571" width="26.69921875" style="172" customWidth="1"/>
    <col min="13572" max="13572" width="45.59765625" style="172" customWidth="1"/>
    <col min="13573" max="13573" width="21.5" style="172" customWidth="1"/>
    <col min="13574" max="13582" width="9" style="172"/>
    <col min="13583" max="13583" width="9.19921875" style="172" customWidth="1"/>
    <col min="13584" max="13824" width="9" style="172"/>
    <col min="13825" max="13825" width="3.59765625" style="172" customWidth="1"/>
    <col min="13826" max="13826" width="2.09765625" style="172" customWidth="1"/>
    <col min="13827" max="13827" width="26.69921875" style="172" customWidth="1"/>
    <col min="13828" max="13828" width="45.59765625" style="172" customWidth="1"/>
    <col min="13829" max="13829" width="21.5" style="172" customWidth="1"/>
    <col min="13830" max="13838" width="9" style="172"/>
    <col min="13839" max="13839" width="9.19921875" style="172" customWidth="1"/>
    <col min="13840" max="14080" width="9" style="172"/>
    <col min="14081" max="14081" width="3.59765625" style="172" customWidth="1"/>
    <col min="14082" max="14082" width="2.09765625" style="172" customWidth="1"/>
    <col min="14083" max="14083" width="26.69921875" style="172" customWidth="1"/>
    <col min="14084" max="14084" width="45.59765625" style="172" customWidth="1"/>
    <col min="14085" max="14085" width="21.5" style="172" customWidth="1"/>
    <col min="14086" max="14094" width="9" style="172"/>
    <col min="14095" max="14095" width="9.19921875" style="172" customWidth="1"/>
    <col min="14096" max="14336" width="9" style="172"/>
    <col min="14337" max="14337" width="3.59765625" style="172" customWidth="1"/>
    <col min="14338" max="14338" width="2.09765625" style="172" customWidth="1"/>
    <col min="14339" max="14339" width="26.69921875" style="172" customWidth="1"/>
    <col min="14340" max="14340" width="45.59765625" style="172" customWidth="1"/>
    <col min="14341" max="14341" width="21.5" style="172" customWidth="1"/>
    <col min="14342" max="14350" width="9" style="172"/>
    <col min="14351" max="14351" width="9.19921875" style="172" customWidth="1"/>
    <col min="14352" max="14592" width="9" style="172"/>
    <col min="14593" max="14593" width="3.59765625" style="172" customWidth="1"/>
    <col min="14594" max="14594" width="2.09765625" style="172" customWidth="1"/>
    <col min="14595" max="14595" width="26.69921875" style="172" customWidth="1"/>
    <col min="14596" max="14596" width="45.59765625" style="172" customWidth="1"/>
    <col min="14597" max="14597" width="21.5" style="172" customWidth="1"/>
    <col min="14598" max="14606" width="9" style="172"/>
    <col min="14607" max="14607" width="9.19921875" style="172" customWidth="1"/>
    <col min="14608" max="14848" width="9" style="172"/>
    <col min="14849" max="14849" width="3.59765625" style="172" customWidth="1"/>
    <col min="14850" max="14850" width="2.09765625" style="172" customWidth="1"/>
    <col min="14851" max="14851" width="26.69921875" style="172" customWidth="1"/>
    <col min="14852" max="14852" width="45.59765625" style="172" customWidth="1"/>
    <col min="14853" max="14853" width="21.5" style="172" customWidth="1"/>
    <col min="14854" max="14862" width="9" style="172"/>
    <col min="14863" max="14863" width="9.19921875" style="172" customWidth="1"/>
    <col min="14864" max="15104" width="9" style="172"/>
    <col min="15105" max="15105" width="3.59765625" style="172" customWidth="1"/>
    <col min="15106" max="15106" width="2.09765625" style="172" customWidth="1"/>
    <col min="15107" max="15107" width="26.69921875" style="172" customWidth="1"/>
    <col min="15108" max="15108" width="45.59765625" style="172" customWidth="1"/>
    <col min="15109" max="15109" width="21.5" style="172" customWidth="1"/>
    <col min="15110" max="15118" width="9" style="172"/>
    <col min="15119" max="15119" width="9.19921875" style="172" customWidth="1"/>
    <col min="15120" max="15360" width="9" style="172"/>
    <col min="15361" max="15361" width="3.59765625" style="172" customWidth="1"/>
    <col min="15362" max="15362" width="2.09765625" style="172" customWidth="1"/>
    <col min="15363" max="15363" width="26.69921875" style="172" customWidth="1"/>
    <col min="15364" max="15364" width="45.59765625" style="172" customWidth="1"/>
    <col min="15365" max="15365" width="21.5" style="172" customWidth="1"/>
    <col min="15366" max="15374" width="9" style="172"/>
    <col min="15375" max="15375" width="9.19921875" style="172" customWidth="1"/>
    <col min="15376" max="15616" width="9" style="172"/>
    <col min="15617" max="15617" width="3.59765625" style="172" customWidth="1"/>
    <col min="15618" max="15618" width="2.09765625" style="172" customWidth="1"/>
    <col min="15619" max="15619" width="26.69921875" style="172" customWidth="1"/>
    <col min="15620" max="15620" width="45.59765625" style="172" customWidth="1"/>
    <col min="15621" max="15621" width="21.5" style="172" customWidth="1"/>
    <col min="15622" max="15630" width="9" style="172"/>
    <col min="15631" max="15631" width="9.19921875" style="172" customWidth="1"/>
    <col min="15632" max="15872" width="9" style="172"/>
    <col min="15873" max="15873" width="3.59765625" style="172" customWidth="1"/>
    <col min="15874" max="15874" width="2.09765625" style="172" customWidth="1"/>
    <col min="15875" max="15875" width="26.69921875" style="172" customWidth="1"/>
    <col min="15876" max="15876" width="45.59765625" style="172" customWidth="1"/>
    <col min="15877" max="15877" width="21.5" style="172" customWidth="1"/>
    <col min="15878" max="15886" width="9" style="172"/>
    <col min="15887" max="15887" width="9.19921875" style="172" customWidth="1"/>
    <col min="15888" max="16128" width="9" style="172"/>
    <col min="16129" max="16129" width="3.59765625" style="172" customWidth="1"/>
    <col min="16130" max="16130" width="2.09765625" style="172" customWidth="1"/>
    <col min="16131" max="16131" width="26.69921875" style="172" customWidth="1"/>
    <col min="16132" max="16132" width="45.59765625" style="172" customWidth="1"/>
    <col min="16133" max="16133" width="21.5" style="172" customWidth="1"/>
    <col min="16134" max="16142" width="9" style="172"/>
    <col min="16143" max="16143" width="9.19921875" style="172" customWidth="1"/>
    <col min="16144" max="16384" width="9" style="172"/>
  </cols>
  <sheetData>
    <row r="1" spans="2:83" ht="20.100000000000001" customHeight="1" thickBot="1"/>
    <row r="2" spans="2:83" ht="20.100000000000001" customHeight="1" thickBot="1">
      <c r="B2" s="173"/>
      <c r="C2" s="174" t="s">
        <v>714</v>
      </c>
      <c r="D2" s="175"/>
      <c r="E2" s="175"/>
      <c r="F2" s="175"/>
      <c r="G2" s="176"/>
      <c r="H2" s="175"/>
      <c r="I2" s="175"/>
      <c r="J2" s="175"/>
      <c r="K2" s="175"/>
      <c r="L2" s="175"/>
      <c r="M2" s="175"/>
      <c r="N2" s="175" t="str">
        <f>'SP5-1'!L2</f>
        <v>Spreadsheet May 2025</v>
      </c>
      <c r="O2" s="175"/>
      <c r="P2" s="175"/>
      <c r="Q2" s="175"/>
      <c r="R2" s="175"/>
      <c r="S2" s="177"/>
    </row>
    <row r="3" spans="2:83" ht="9.9" customHeight="1"/>
    <row r="4" spans="2:83" ht="20.100000000000001" customHeight="1">
      <c r="C4" s="178" t="s">
        <v>337</v>
      </c>
      <c r="D4" s="179"/>
      <c r="E4" s="179"/>
      <c r="F4" s="179"/>
      <c r="G4" s="179"/>
      <c r="H4" s="179"/>
      <c r="I4" s="179"/>
      <c r="J4" s="179"/>
      <c r="K4" s="179"/>
      <c r="L4" s="179"/>
      <c r="M4" s="179"/>
      <c r="N4" s="179"/>
      <c r="O4" s="179"/>
      <c r="P4" s="179"/>
      <c r="Q4" s="179"/>
      <c r="R4" s="179"/>
      <c r="S4" s="179"/>
    </row>
    <row r="5" spans="2:83" ht="20.100000000000001" customHeight="1">
      <c r="C5" s="180" t="s">
        <v>338</v>
      </c>
      <c r="D5" s="181"/>
      <c r="E5" s="182"/>
      <c r="F5" s="182"/>
      <c r="G5" s="182"/>
      <c r="H5" s="182"/>
      <c r="I5" s="182"/>
      <c r="J5" s="182"/>
      <c r="K5" s="182"/>
      <c r="L5" s="182"/>
      <c r="M5" s="182"/>
      <c r="N5" s="182"/>
      <c r="O5" s="182"/>
    </row>
    <row r="6" spans="2:83" ht="20.100000000000001" customHeight="1">
      <c r="C6" s="183" t="s">
        <v>715</v>
      </c>
      <c r="D6" s="184"/>
      <c r="E6" s="185"/>
      <c r="F6" s="185"/>
      <c r="G6" s="185"/>
      <c r="H6" s="185"/>
      <c r="I6" s="185"/>
      <c r="J6" s="186"/>
      <c r="K6" s="186"/>
      <c r="L6" s="186"/>
      <c r="M6" s="186"/>
      <c r="N6" s="186"/>
      <c r="O6" s="182"/>
    </row>
    <row r="7" spans="2:83" ht="20.100000000000001" customHeight="1">
      <c r="C7" s="183" t="s">
        <v>716</v>
      </c>
      <c r="D7" s="187"/>
      <c r="E7" s="188"/>
      <c r="F7" s="188"/>
      <c r="G7" s="188"/>
      <c r="H7" s="188"/>
      <c r="I7" s="188"/>
      <c r="J7" s="189"/>
      <c r="K7" s="189"/>
      <c r="L7" s="189"/>
      <c r="M7" s="189"/>
      <c r="N7" s="189"/>
      <c r="O7" s="182"/>
    </row>
    <row r="8" spans="2:83" ht="20.100000000000001" customHeight="1">
      <c r="C8" s="183" t="s">
        <v>717</v>
      </c>
      <c r="D8" s="187"/>
      <c r="E8" s="188"/>
      <c r="F8" s="188"/>
      <c r="G8" s="188"/>
      <c r="H8" s="188"/>
      <c r="I8" s="188"/>
      <c r="J8" s="189"/>
      <c r="K8" s="189"/>
      <c r="L8" s="189"/>
      <c r="M8" s="189"/>
      <c r="N8" s="189"/>
      <c r="O8" s="182"/>
    </row>
    <row r="9" spans="2:83" ht="20.100000000000001" customHeight="1">
      <c r="C9" s="183" t="s">
        <v>638</v>
      </c>
      <c r="D9" s="187"/>
      <c r="E9" s="188"/>
      <c r="F9" s="188"/>
      <c r="G9" s="188"/>
      <c r="H9" s="188"/>
      <c r="I9" s="188"/>
      <c r="J9" s="189"/>
      <c r="K9" s="189"/>
      <c r="L9" s="189"/>
      <c r="M9" s="189"/>
      <c r="N9" s="189"/>
      <c r="O9" s="182"/>
    </row>
    <row r="10" spans="2:83" ht="20.100000000000001" customHeight="1">
      <c r="C10" s="183" t="s">
        <v>718</v>
      </c>
      <c r="D10" s="190"/>
      <c r="E10" s="188"/>
      <c r="F10" s="188"/>
      <c r="G10" s="188"/>
      <c r="H10" s="188"/>
      <c r="I10" s="188"/>
      <c r="J10" s="189"/>
      <c r="K10" s="189"/>
      <c r="L10" s="189"/>
      <c r="M10" s="189"/>
      <c r="N10" s="189"/>
      <c r="O10" s="182"/>
    </row>
    <row r="11" spans="2:83" ht="20.100000000000001" customHeight="1">
      <c r="C11" s="474" t="s">
        <v>339</v>
      </c>
      <c r="D11" s="474"/>
      <c r="E11" s="188"/>
      <c r="F11" s="188"/>
      <c r="G11" s="188"/>
      <c r="H11" s="188"/>
      <c r="I11" s="188"/>
      <c r="J11" s="189"/>
      <c r="K11" s="189"/>
      <c r="L11" s="189"/>
      <c r="M11" s="189"/>
      <c r="N11" s="189"/>
      <c r="O11" s="182"/>
      <c r="CE11" s="191"/>
    </row>
    <row r="12" spans="2:83" ht="20.100000000000001" customHeight="1">
      <c r="B12" s="192"/>
      <c r="C12" s="475" t="s">
        <v>719</v>
      </c>
      <c r="D12" s="475"/>
      <c r="F12" s="188"/>
      <c r="G12" s="188"/>
      <c r="H12" s="188"/>
      <c r="I12" s="188"/>
      <c r="J12" s="189"/>
      <c r="K12" s="189"/>
      <c r="L12" s="189"/>
      <c r="M12" s="189"/>
      <c r="N12" s="189"/>
      <c r="O12" s="182"/>
      <c r="CE12" s="191" t="s">
        <v>340</v>
      </c>
    </row>
    <row r="13" spans="2:83" ht="20.100000000000001" customHeight="1">
      <c r="E13" s="193"/>
      <c r="F13" s="193"/>
      <c r="G13" s="193"/>
      <c r="H13" s="193"/>
      <c r="I13" s="193"/>
      <c r="J13" s="192"/>
      <c r="K13" s="192"/>
      <c r="L13" s="192"/>
      <c r="M13" s="192"/>
      <c r="CE13" s="191" t="s">
        <v>341</v>
      </c>
    </row>
    <row r="14" spans="2:83" ht="20.100000000000001" customHeight="1" thickBot="1">
      <c r="C14" s="194" t="s">
        <v>639</v>
      </c>
      <c r="E14" s="195"/>
      <c r="F14" s="195"/>
      <c r="G14" s="195"/>
      <c r="H14" s="195"/>
      <c r="I14" s="195"/>
      <c r="J14" s="196"/>
      <c r="K14" s="196"/>
      <c r="L14" s="196"/>
      <c r="M14" s="196"/>
      <c r="CE14" s="191" t="s">
        <v>342</v>
      </c>
    </row>
    <row r="15" spans="2:83" s="190" customFormat="1" ht="20.100000000000001" customHeight="1" thickTop="1" thickBot="1">
      <c r="C15" s="183" t="s">
        <v>343</v>
      </c>
      <c r="D15" s="188"/>
      <c r="E15" s="197"/>
      <c r="F15" s="172"/>
      <c r="G15" s="172"/>
      <c r="H15" s="476"/>
      <c r="I15" s="477"/>
      <c r="J15" s="198"/>
      <c r="K15" s="198"/>
      <c r="L15" s="198"/>
      <c r="M15" s="198"/>
      <c r="N15" s="172"/>
      <c r="O15" s="172"/>
      <c r="P15" s="172"/>
      <c r="Q15" s="172"/>
      <c r="R15" s="172"/>
      <c r="S15" s="172"/>
      <c r="CD15" s="191" t="s">
        <v>344</v>
      </c>
    </row>
    <row r="16" spans="2:83" ht="20.100000000000001" customHeight="1" thickTop="1">
      <c r="C16" s="183" t="s">
        <v>345</v>
      </c>
      <c r="F16" s="190"/>
      <c r="G16" s="190"/>
      <c r="H16" s="478"/>
      <c r="I16" s="478"/>
      <c r="J16" s="190"/>
      <c r="K16" s="190"/>
      <c r="L16" s="190"/>
      <c r="M16" s="190"/>
      <c r="N16" s="190"/>
      <c r="O16" s="190"/>
      <c r="P16" s="190"/>
      <c r="Q16" s="190"/>
      <c r="R16" s="190"/>
      <c r="S16" s="190"/>
      <c r="CB16" s="191" t="s">
        <v>346</v>
      </c>
    </row>
    <row r="17" spans="3:83" ht="20.100000000000001" customHeight="1">
      <c r="C17" s="199" t="s">
        <v>347</v>
      </c>
      <c r="D17" s="195"/>
      <c r="H17" s="200"/>
      <c r="I17" s="201"/>
      <c r="CE17" s="191" t="s">
        <v>348</v>
      </c>
    </row>
    <row r="18" spans="3:83" ht="15" customHeight="1">
      <c r="C18" s="202"/>
      <c r="D18" s="195"/>
      <c r="CE18" s="191" t="s">
        <v>349</v>
      </c>
    </row>
    <row r="19" spans="3:83" ht="5.0999999999999996" customHeight="1">
      <c r="D19" s="197"/>
      <c r="CE19" s="191" t="s">
        <v>350</v>
      </c>
    </row>
    <row r="20" spans="3:83" ht="20.100000000000001" customHeight="1">
      <c r="C20" s="203" t="s">
        <v>351</v>
      </c>
      <c r="D20" s="204"/>
      <c r="E20" s="205"/>
      <c r="F20" s="205"/>
      <c r="G20" s="205"/>
      <c r="H20" s="205"/>
      <c r="I20" s="205"/>
      <c r="J20" s="205"/>
      <c r="K20" s="205"/>
      <c r="L20" s="205"/>
      <c r="M20" s="205"/>
      <c r="N20" s="205"/>
      <c r="O20" s="205"/>
      <c r="P20" s="205"/>
      <c r="Q20" s="205"/>
      <c r="R20" s="205"/>
      <c r="S20" s="205"/>
      <c r="CE20" s="191" t="s">
        <v>352</v>
      </c>
    </row>
    <row r="21" spans="3:83" ht="20.100000000000001" customHeight="1">
      <c r="C21" s="206"/>
      <c r="D21" s="207" t="s">
        <v>353</v>
      </c>
      <c r="CE21" s="191" t="s">
        <v>354</v>
      </c>
    </row>
    <row r="22" spans="3:83" ht="5.0999999999999996" customHeight="1">
      <c r="CE22" s="191" t="s">
        <v>355</v>
      </c>
    </row>
    <row r="23" spans="3:83" ht="20.100000000000001" customHeight="1">
      <c r="C23" s="366" t="s">
        <v>828</v>
      </c>
      <c r="D23" s="190" t="s">
        <v>356</v>
      </c>
      <c r="E23" s="190"/>
      <c r="F23" s="190"/>
      <c r="G23" s="190"/>
      <c r="H23" s="190"/>
      <c r="I23" s="190"/>
      <c r="J23" s="190"/>
      <c r="K23" s="190"/>
      <c r="L23" s="190"/>
      <c r="M23" s="190"/>
      <c r="N23" s="190"/>
      <c r="O23" s="190"/>
      <c r="CE23" s="191" t="s">
        <v>357</v>
      </c>
    </row>
    <row r="24" spans="3:83" ht="5.0999999999999996" customHeight="1">
      <c r="D24" s="190" t="s">
        <v>358</v>
      </c>
      <c r="E24" s="190"/>
      <c r="F24" s="190"/>
      <c r="G24" s="190"/>
      <c r="H24" s="190"/>
      <c r="I24" s="190"/>
      <c r="J24" s="190"/>
      <c r="K24" s="190"/>
      <c r="L24" s="190"/>
      <c r="M24" s="190"/>
      <c r="N24" s="190"/>
      <c r="O24" s="190"/>
      <c r="CE24" s="191" t="s">
        <v>359</v>
      </c>
    </row>
    <row r="25" spans="3:83" ht="20.100000000000001" customHeight="1">
      <c r="C25" s="366" t="s">
        <v>829</v>
      </c>
      <c r="D25" s="190" t="s">
        <v>640</v>
      </c>
      <c r="E25" s="190"/>
      <c r="F25" s="190"/>
      <c r="G25" s="190"/>
      <c r="H25" s="190"/>
      <c r="I25" s="190"/>
      <c r="J25" s="190"/>
      <c r="K25" s="190"/>
      <c r="L25" s="190"/>
      <c r="M25" s="190"/>
      <c r="N25" s="190"/>
      <c r="O25" s="190"/>
      <c r="CE25" s="191" t="s">
        <v>360</v>
      </c>
    </row>
    <row r="26" spans="3:83" ht="5.0999999999999996" customHeight="1">
      <c r="D26" s="190"/>
      <c r="E26" s="190"/>
      <c r="F26" s="190"/>
      <c r="G26" s="190"/>
      <c r="H26" s="190"/>
      <c r="I26" s="190"/>
      <c r="J26" s="190"/>
      <c r="K26" s="190"/>
      <c r="L26" s="190"/>
      <c r="M26" s="190"/>
      <c r="N26" s="190"/>
      <c r="O26" s="190"/>
      <c r="CE26" s="208"/>
    </row>
    <row r="27" spans="3:83" ht="20.100000000000001" customHeight="1">
      <c r="C27" s="366" t="s">
        <v>830</v>
      </c>
      <c r="D27" s="190" t="s">
        <v>720</v>
      </c>
      <c r="E27" s="190"/>
      <c r="F27" s="190"/>
      <c r="G27" s="190"/>
      <c r="H27" s="190"/>
      <c r="I27" s="190"/>
      <c r="J27" s="190"/>
      <c r="K27" s="190"/>
      <c r="L27" s="190"/>
      <c r="M27" s="190"/>
      <c r="N27" s="190"/>
      <c r="O27" s="190"/>
    </row>
    <row r="28" spans="3:83" ht="5.0999999999999996" customHeight="1">
      <c r="D28" s="190" t="s">
        <v>358</v>
      </c>
      <c r="E28" s="190"/>
      <c r="F28" s="190"/>
      <c r="G28" s="190"/>
      <c r="H28" s="190"/>
      <c r="I28" s="190"/>
      <c r="J28" s="190"/>
      <c r="K28" s="190"/>
      <c r="L28" s="190"/>
      <c r="M28" s="190"/>
      <c r="N28" s="190"/>
      <c r="O28" s="190"/>
    </row>
    <row r="29" spans="3:83" ht="20.100000000000001" customHeight="1">
      <c r="C29" s="366" t="s">
        <v>831</v>
      </c>
      <c r="D29" s="190" t="s">
        <v>361</v>
      </c>
      <c r="E29" s="190"/>
      <c r="F29" s="190"/>
      <c r="G29" s="190"/>
      <c r="H29" s="190"/>
      <c r="I29" s="190"/>
      <c r="J29" s="190"/>
      <c r="K29" s="190"/>
      <c r="L29" s="190"/>
      <c r="M29" s="190"/>
      <c r="N29" s="190"/>
      <c r="O29" s="190"/>
    </row>
    <row r="30" spans="3:83" ht="5.0999999999999996" customHeight="1">
      <c r="D30" s="190"/>
      <c r="E30" s="190"/>
      <c r="F30" s="190"/>
      <c r="G30" s="190"/>
      <c r="H30" s="190"/>
      <c r="I30" s="190"/>
      <c r="J30" s="190"/>
      <c r="K30" s="190"/>
      <c r="L30" s="190"/>
      <c r="M30" s="190"/>
      <c r="N30" s="190"/>
      <c r="O30" s="190"/>
    </row>
    <row r="31" spans="3:83" ht="20.100000000000001" customHeight="1">
      <c r="C31" s="366" t="s">
        <v>832</v>
      </c>
      <c r="D31" s="190" t="s">
        <v>362</v>
      </c>
      <c r="E31" s="190"/>
      <c r="F31" s="190"/>
      <c r="G31" s="190"/>
      <c r="H31" s="190"/>
      <c r="I31" s="190"/>
      <c r="J31" s="190"/>
      <c r="K31" s="190"/>
      <c r="L31" s="190"/>
      <c r="M31" s="190"/>
      <c r="N31" s="190"/>
      <c r="O31" s="190"/>
    </row>
    <row r="32" spans="3:83" ht="5.0999999999999996" customHeight="1">
      <c r="C32" s="190"/>
      <c r="D32" s="190"/>
      <c r="E32" s="190"/>
      <c r="F32" s="190"/>
      <c r="G32" s="190"/>
      <c r="H32" s="190"/>
      <c r="I32" s="190"/>
      <c r="J32" s="190"/>
      <c r="K32" s="190"/>
      <c r="L32" s="190"/>
      <c r="M32" s="190"/>
      <c r="N32" s="190"/>
      <c r="O32" s="190"/>
    </row>
    <row r="33" spans="3:15" ht="20.100000000000001" customHeight="1">
      <c r="C33" s="366" t="s">
        <v>833</v>
      </c>
      <c r="D33" s="190" t="s">
        <v>363</v>
      </c>
      <c r="E33" s="190"/>
      <c r="F33" s="190"/>
      <c r="G33" s="190"/>
      <c r="H33" s="190"/>
      <c r="I33" s="190"/>
      <c r="J33" s="190"/>
      <c r="K33" s="190"/>
      <c r="L33" s="190"/>
      <c r="M33" s="190"/>
      <c r="N33" s="190"/>
      <c r="O33" s="190"/>
    </row>
    <row r="34" spans="3:15" ht="5.0999999999999996" customHeight="1">
      <c r="D34" s="190"/>
      <c r="E34" s="190"/>
      <c r="F34" s="190"/>
      <c r="G34" s="190"/>
      <c r="H34" s="190"/>
      <c r="I34" s="190"/>
      <c r="J34" s="190"/>
      <c r="K34" s="190"/>
      <c r="L34" s="190"/>
      <c r="M34" s="190"/>
      <c r="N34" s="190"/>
      <c r="O34" s="190"/>
    </row>
    <row r="35" spans="3:15" ht="20.100000000000001" customHeight="1">
      <c r="C35" s="366" t="s">
        <v>834</v>
      </c>
      <c r="D35" s="190" t="s">
        <v>641</v>
      </c>
      <c r="E35" s="190"/>
      <c r="F35" s="190"/>
      <c r="G35" s="190"/>
      <c r="H35" s="190"/>
      <c r="I35" s="190"/>
      <c r="J35" s="190"/>
      <c r="K35" s="190"/>
      <c r="L35" s="190"/>
      <c r="M35" s="190"/>
      <c r="N35" s="190"/>
      <c r="O35" s="190"/>
    </row>
    <row r="36" spans="3:15" ht="5.0999999999999996" customHeight="1">
      <c r="D36" s="190"/>
      <c r="E36" s="190"/>
      <c r="F36" s="190"/>
      <c r="G36" s="190"/>
      <c r="H36" s="190"/>
      <c r="I36" s="190"/>
      <c r="J36" s="190"/>
      <c r="K36" s="190"/>
      <c r="L36" s="190"/>
      <c r="M36" s="190"/>
      <c r="N36" s="190"/>
      <c r="O36" s="190"/>
    </row>
    <row r="37" spans="3:15" ht="20.100000000000001" customHeight="1">
      <c r="C37" s="366" t="s">
        <v>835</v>
      </c>
      <c r="D37" s="473" t="s">
        <v>364</v>
      </c>
      <c r="E37" s="473"/>
      <c r="F37" s="473"/>
      <c r="G37" s="473"/>
      <c r="H37" s="473"/>
      <c r="I37" s="473"/>
      <c r="J37" s="473"/>
      <c r="K37" s="473"/>
      <c r="L37" s="473"/>
      <c r="M37" s="473"/>
      <c r="N37" s="473"/>
      <c r="O37" s="473"/>
    </row>
    <row r="38" spans="3:15" ht="5.0999999999999996" customHeight="1">
      <c r="C38" s="209"/>
      <c r="D38" s="190"/>
      <c r="E38" s="190"/>
      <c r="F38" s="190"/>
      <c r="G38" s="190"/>
      <c r="H38" s="190"/>
      <c r="I38" s="190"/>
      <c r="J38" s="190"/>
      <c r="K38" s="190"/>
      <c r="L38" s="190"/>
      <c r="M38" s="190"/>
      <c r="N38" s="190"/>
      <c r="O38" s="190"/>
    </row>
    <row r="39" spans="3:15" ht="20.100000000000001" customHeight="1">
      <c r="C39" s="366" t="s">
        <v>836</v>
      </c>
      <c r="D39" s="473" t="s">
        <v>365</v>
      </c>
      <c r="E39" s="473"/>
      <c r="F39" s="473"/>
      <c r="G39" s="473"/>
      <c r="H39" s="473"/>
      <c r="I39" s="473"/>
      <c r="J39" s="473"/>
      <c r="K39" s="473"/>
      <c r="L39" s="473"/>
      <c r="M39" s="473"/>
      <c r="N39" s="473"/>
      <c r="O39" s="473"/>
    </row>
    <row r="40" spans="3:15" ht="5.0999999999999996" customHeight="1"/>
    <row r="41" spans="3:15" ht="20.100000000000001" customHeight="1">
      <c r="C41" s="210" t="s">
        <v>366</v>
      </c>
      <c r="D41" s="210" t="s">
        <v>721</v>
      </c>
      <c r="E41" s="210"/>
    </row>
    <row r="42" spans="3:15" ht="12.75" customHeight="1">
      <c r="C42" s="211"/>
      <c r="D42" s="210" t="s">
        <v>722</v>
      </c>
      <c r="E42" s="210"/>
    </row>
    <row r="43" spans="3:15" ht="12.75" customHeight="1">
      <c r="C43" s="211"/>
      <c r="D43" s="210" t="s">
        <v>723</v>
      </c>
      <c r="E43" s="210"/>
    </row>
    <row r="44" spans="3:15" ht="12.75" customHeight="1">
      <c r="C44" s="211"/>
      <c r="D44" s="210" t="s">
        <v>724</v>
      </c>
      <c r="E44" s="210"/>
    </row>
    <row r="45" spans="3:15" ht="12.75" customHeight="1">
      <c r="C45" s="211"/>
      <c r="D45" s="210" t="s">
        <v>725</v>
      </c>
      <c r="E45" s="210"/>
    </row>
    <row r="46" spans="3:15">
      <c r="C46" s="211"/>
      <c r="D46" s="210" t="s">
        <v>726</v>
      </c>
      <c r="E46" s="210"/>
    </row>
    <row r="47" spans="3:15">
      <c r="C47" s="211"/>
      <c r="D47" s="210" t="s">
        <v>727</v>
      </c>
      <c r="E47" s="210"/>
    </row>
    <row r="48" spans="3:15">
      <c r="D48" s="211" t="s">
        <v>367</v>
      </c>
      <c r="E48" s="211"/>
      <c r="F48" s="211"/>
    </row>
    <row r="49" spans="4:6" ht="15.6">
      <c r="D49" s="377" t="s">
        <v>854</v>
      </c>
      <c r="E49" s="211"/>
      <c r="F49" s="211"/>
    </row>
  </sheetData>
  <sheetProtection algorithmName="SHA-512" hashValue="J8WcLk4PMFzcUU8uNMXbcYaKfVhy+h8fNwQq08SEfLcGgrplNpRSkA6rnTuteQDMGV7uaOqckROzLeFr8FIgsQ==" saltValue="qFg+tgNYzCOT5UmHdK2HrQ==" spinCount="100000" sheet="1"/>
  <mergeCells count="6">
    <mergeCell ref="D39:O39"/>
    <mergeCell ref="C11:D11"/>
    <mergeCell ref="C12:D12"/>
    <mergeCell ref="H15:I15"/>
    <mergeCell ref="H16:I16"/>
    <mergeCell ref="D37:O37"/>
  </mergeCells>
  <hyperlinks>
    <hyperlink ref="C12" r:id="rId1" display="for more information please refer to section 3.3 of Economic Evaluation Manual." xr:uid="{5BC2FAE5-10BC-4FF0-AA9C-9CD7D5B0A182}"/>
    <hyperlink ref="C12:D12" r:id="rId2" display="For more information please refer to section 4.1 of Monetised Benefits and Costs Manual." xr:uid="{B137A008-D53B-4406-8EC6-463F4362BDB6}"/>
    <hyperlink ref="D49" r:id="rId3" xr:uid="{418322FE-3A86-47E2-9561-FC03D8EFB3D3}"/>
  </hyperlinks>
  <pageMargins left="0.25" right="0.25" top="0.75" bottom="0.75" header="0.3" footer="0.3"/>
  <pageSetup paperSize="8" orientation="landscape" r:id="rId4"/>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036291-8A06-427D-84B3-DB538F87C4DB}">
  <sheetPr codeName="Sheet5">
    <pageSetUpPr fitToPage="1"/>
  </sheetPr>
  <dimension ref="A1:Z109"/>
  <sheetViews>
    <sheetView tabSelected="1" topLeftCell="A10" zoomScaleNormal="100" workbookViewId="0">
      <selection activeCell="O22" sqref="O22"/>
    </sheetView>
  </sheetViews>
  <sheetFormatPr defaultColWidth="7.69921875" defaultRowHeight="12.6"/>
  <cols>
    <col min="1" max="1" width="3.59765625" style="246" customWidth="1"/>
    <col min="2" max="2" width="10.5" style="217" customWidth="1"/>
    <col min="3" max="3" width="11" style="217" customWidth="1"/>
    <col min="4" max="4" width="8.8984375" style="217" customWidth="1"/>
    <col min="5" max="8" width="4.8984375" style="217" customWidth="1"/>
    <col min="9" max="9" width="5.69921875" style="217" customWidth="1"/>
    <col min="10" max="13" width="4.8984375" style="217" customWidth="1"/>
    <col min="14" max="14" width="3.59765625" style="217" customWidth="1"/>
    <col min="15" max="15" width="13.5" style="217" customWidth="1"/>
    <col min="16" max="16" width="13.59765625" style="217" customWidth="1"/>
    <col min="17" max="17" width="26.69921875" style="217" customWidth="1"/>
    <col min="18" max="21" width="13.59765625" style="217" customWidth="1"/>
    <col min="22" max="22" width="4.8984375" style="217" hidden="1" customWidth="1"/>
    <col min="23" max="23" width="9.19921875" style="217" hidden="1" customWidth="1"/>
    <col min="24" max="24" width="12.09765625" style="217" hidden="1" customWidth="1"/>
    <col min="25" max="256" width="7.69921875" style="217"/>
    <col min="257" max="257" width="3.59765625" style="217" customWidth="1"/>
    <col min="258" max="258" width="10.5" style="217" customWidth="1"/>
    <col min="259" max="259" width="11" style="217" customWidth="1"/>
    <col min="260" max="260" width="8.8984375" style="217" customWidth="1"/>
    <col min="261" max="264" width="4.8984375" style="217" customWidth="1"/>
    <col min="265" max="265" width="5.69921875" style="217" customWidth="1"/>
    <col min="266" max="269" width="4.8984375" style="217" customWidth="1"/>
    <col min="270" max="270" width="3.59765625" style="217" customWidth="1"/>
    <col min="271" max="271" width="13.5" style="217" customWidth="1"/>
    <col min="272" max="272" width="13.59765625" style="217" customWidth="1"/>
    <col min="273" max="273" width="26.69921875" style="217" customWidth="1"/>
    <col min="274" max="277" width="13.59765625" style="217" customWidth="1"/>
    <col min="278" max="278" width="4.8984375" style="217" customWidth="1"/>
    <col min="279" max="279" width="9.19921875" style="217" customWidth="1"/>
    <col min="280" max="280" width="12.09765625" style="217" bestFit="1" customWidth="1"/>
    <col min="281" max="512" width="7.69921875" style="217"/>
    <col min="513" max="513" width="3.59765625" style="217" customWidth="1"/>
    <col min="514" max="514" width="10.5" style="217" customWidth="1"/>
    <col min="515" max="515" width="11" style="217" customWidth="1"/>
    <col min="516" max="516" width="8.8984375" style="217" customWidth="1"/>
    <col min="517" max="520" width="4.8984375" style="217" customWidth="1"/>
    <col min="521" max="521" width="5.69921875" style="217" customWidth="1"/>
    <col min="522" max="525" width="4.8984375" style="217" customWidth="1"/>
    <col min="526" max="526" width="3.59765625" style="217" customWidth="1"/>
    <col min="527" max="527" width="13.5" style="217" customWidth="1"/>
    <col min="528" max="528" width="13.59765625" style="217" customWidth="1"/>
    <col min="529" max="529" width="26.69921875" style="217" customWidth="1"/>
    <col min="530" max="533" width="13.59765625" style="217" customWidth="1"/>
    <col min="534" max="534" width="4.8984375" style="217" customWidth="1"/>
    <col min="535" max="535" width="9.19921875" style="217" customWidth="1"/>
    <col min="536" max="536" width="12.09765625" style="217" bestFit="1" customWidth="1"/>
    <col min="537" max="768" width="7.69921875" style="217"/>
    <col min="769" max="769" width="3.59765625" style="217" customWidth="1"/>
    <col min="770" max="770" width="10.5" style="217" customWidth="1"/>
    <col min="771" max="771" width="11" style="217" customWidth="1"/>
    <col min="772" max="772" width="8.8984375" style="217" customWidth="1"/>
    <col min="773" max="776" width="4.8984375" style="217" customWidth="1"/>
    <col min="777" max="777" width="5.69921875" style="217" customWidth="1"/>
    <col min="778" max="781" width="4.8984375" style="217" customWidth="1"/>
    <col min="782" max="782" width="3.59765625" style="217" customWidth="1"/>
    <col min="783" max="783" width="13.5" style="217" customWidth="1"/>
    <col min="784" max="784" width="13.59765625" style="217" customWidth="1"/>
    <col min="785" max="785" width="26.69921875" style="217" customWidth="1"/>
    <col min="786" max="789" width="13.59765625" style="217" customWidth="1"/>
    <col min="790" max="790" width="4.8984375" style="217" customWidth="1"/>
    <col min="791" max="791" width="9.19921875" style="217" customWidth="1"/>
    <col min="792" max="792" width="12.09765625" style="217" bestFit="1" customWidth="1"/>
    <col min="793" max="1024" width="7.69921875" style="217"/>
    <col min="1025" max="1025" width="3.59765625" style="217" customWidth="1"/>
    <col min="1026" max="1026" width="10.5" style="217" customWidth="1"/>
    <col min="1027" max="1027" width="11" style="217" customWidth="1"/>
    <col min="1028" max="1028" width="8.8984375" style="217" customWidth="1"/>
    <col min="1029" max="1032" width="4.8984375" style="217" customWidth="1"/>
    <col min="1033" max="1033" width="5.69921875" style="217" customWidth="1"/>
    <col min="1034" max="1037" width="4.8984375" style="217" customWidth="1"/>
    <col min="1038" max="1038" width="3.59765625" style="217" customWidth="1"/>
    <col min="1039" max="1039" width="13.5" style="217" customWidth="1"/>
    <col min="1040" max="1040" width="13.59765625" style="217" customWidth="1"/>
    <col min="1041" max="1041" width="26.69921875" style="217" customWidth="1"/>
    <col min="1042" max="1045" width="13.59765625" style="217" customWidth="1"/>
    <col min="1046" max="1046" width="4.8984375" style="217" customWidth="1"/>
    <col min="1047" max="1047" width="9.19921875" style="217" customWidth="1"/>
    <col min="1048" max="1048" width="12.09765625" style="217" bestFit="1" customWidth="1"/>
    <col min="1049" max="1280" width="7.69921875" style="217"/>
    <col min="1281" max="1281" width="3.59765625" style="217" customWidth="1"/>
    <col min="1282" max="1282" width="10.5" style="217" customWidth="1"/>
    <col min="1283" max="1283" width="11" style="217" customWidth="1"/>
    <col min="1284" max="1284" width="8.8984375" style="217" customWidth="1"/>
    <col min="1285" max="1288" width="4.8984375" style="217" customWidth="1"/>
    <col min="1289" max="1289" width="5.69921875" style="217" customWidth="1"/>
    <col min="1290" max="1293" width="4.8984375" style="217" customWidth="1"/>
    <col min="1294" max="1294" width="3.59765625" style="217" customWidth="1"/>
    <col min="1295" max="1295" width="13.5" style="217" customWidth="1"/>
    <col min="1296" max="1296" width="13.59765625" style="217" customWidth="1"/>
    <col min="1297" max="1297" width="26.69921875" style="217" customWidth="1"/>
    <col min="1298" max="1301" width="13.59765625" style="217" customWidth="1"/>
    <col min="1302" max="1302" width="4.8984375" style="217" customWidth="1"/>
    <col min="1303" max="1303" width="9.19921875" style="217" customWidth="1"/>
    <col min="1304" max="1304" width="12.09765625" style="217" bestFit="1" customWidth="1"/>
    <col min="1305" max="1536" width="7.69921875" style="217"/>
    <col min="1537" max="1537" width="3.59765625" style="217" customWidth="1"/>
    <col min="1538" max="1538" width="10.5" style="217" customWidth="1"/>
    <col min="1539" max="1539" width="11" style="217" customWidth="1"/>
    <col min="1540" max="1540" width="8.8984375" style="217" customWidth="1"/>
    <col min="1541" max="1544" width="4.8984375" style="217" customWidth="1"/>
    <col min="1545" max="1545" width="5.69921875" style="217" customWidth="1"/>
    <col min="1546" max="1549" width="4.8984375" style="217" customWidth="1"/>
    <col min="1550" max="1550" width="3.59765625" style="217" customWidth="1"/>
    <col min="1551" max="1551" width="13.5" style="217" customWidth="1"/>
    <col min="1552" max="1552" width="13.59765625" style="217" customWidth="1"/>
    <col min="1553" max="1553" width="26.69921875" style="217" customWidth="1"/>
    <col min="1554" max="1557" width="13.59765625" style="217" customWidth="1"/>
    <col min="1558" max="1558" width="4.8984375" style="217" customWidth="1"/>
    <col min="1559" max="1559" width="9.19921875" style="217" customWidth="1"/>
    <col min="1560" max="1560" width="12.09765625" style="217" bestFit="1" customWidth="1"/>
    <col min="1561" max="1792" width="7.69921875" style="217"/>
    <col min="1793" max="1793" width="3.59765625" style="217" customWidth="1"/>
    <col min="1794" max="1794" width="10.5" style="217" customWidth="1"/>
    <col min="1795" max="1795" width="11" style="217" customWidth="1"/>
    <col min="1796" max="1796" width="8.8984375" style="217" customWidth="1"/>
    <col min="1797" max="1800" width="4.8984375" style="217" customWidth="1"/>
    <col min="1801" max="1801" width="5.69921875" style="217" customWidth="1"/>
    <col min="1802" max="1805" width="4.8984375" style="217" customWidth="1"/>
    <col min="1806" max="1806" width="3.59765625" style="217" customWidth="1"/>
    <col min="1807" max="1807" width="13.5" style="217" customWidth="1"/>
    <col min="1808" max="1808" width="13.59765625" style="217" customWidth="1"/>
    <col min="1809" max="1809" width="26.69921875" style="217" customWidth="1"/>
    <col min="1810" max="1813" width="13.59765625" style="217" customWidth="1"/>
    <col min="1814" max="1814" width="4.8984375" style="217" customWidth="1"/>
    <col min="1815" max="1815" width="9.19921875" style="217" customWidth="1"/>
    <col min="1816" max="1816" width="12.09765625" style="217" bestFit="1" customWidth="1"/>
    <col min="1817" max="2048" width="7.69921875" style="217"/>
    <col min="2049" max="2049" width="3.59765625" style="217" customWidth="1"/>
    <col min="2050" max="2050" width="10.5" style="217" customWidth="1"/>
    <col min="2051" max="2051" width="11" style="217" customWidth="1"/>
    <col min="2052" max="2052" width="8.8984375" style="217" customWidth="1"/>
    <col min="2053" max="2056" width="4.8984375" style="217" customWidth="1"/>
    <col min="2057" max="2057" width="5.69921875" style="217" customWidth="1"/>
    <col min="2058" max="2061" width="4.8984375" style="217" customWidth="1"/>
    <col min="2062" max="2062" width="3.59765625" style="217" customWidth="1"/>
    <col min="2063" max="2063" width="13.5" style="217" customWidth="1"/>
    <col min="2064" max="2064" width="13.59765625" style="217" customWidth="1"/>
    <col min="2065" max="2065" width="26.69921875" style="217" customWidth="1"/>
    <col min="2066" max="2069" width="13.59765625" style="217" customWidth="1"/>
    <col min="2070" max="2070" width="4.8984375" style="217" customWidth="1"/>
    <col min="2071" max="2071" width="9.19921875" style="217" customWidth="1"/>
    <col min="2072" max="2072" width="12.09765625" style="217" bestFit="1" customWidth="1"/>
    <col min="2073" max="2304" width="7.69921875" style="217"/>
    <col min="2305" max="2305" width="3.59765625" style="217" customWidth="1"/>
    <col min="2306" max="2306" width="10.5" style="217" customWidth="1"/>
    <col min="2307" max="2307" width="11" style="217" customWidth="1"/>
    <col min="2308" max="2308" width="8.8984375" style="217" customWidth="1"/>
    <col min="2309" max="2312" width="4.8984375" style="217" customWidth="1"/>
    <col min="2313" max="2313" width="5.69921875" style="217" customWidth="1"/>
    <col min="2314" max="2317" width="4.8984375" style="217" customWidth="1"/>
    <col min="2318" max="2318" width="3.59765625" style="217" customWidth="1"/>
    <col min="2319" max="2319" width="13.5" style="217" customWidth="1"/>
    <col min="2320" max="2320" width="13.59765625" style="217" customWidth="1"/>
    <col min="2321" max="2321" width="26.69921875" style="217" customWidth="1"/>
    <col min="2322" max="2325" width="13.59765625" style="217" customWidth="1"/>
    <col min="2326" max="2326" width="4.8984375" style="217" customWidth="1"/>
    <col min="2327" max="2327" width="9.19921875" style="217" customWidth="1"/>
    <col min="2328" max="2328" width="12.09765625" style="217" bestFit="1" customWidth="1"/>
    <col min="2329" max="2560" width="7.69921875" style="217"/>
    <col min="2561" max="2561" width="3.59765625" style="217" customWidth="1"/>
    <col min="2562" max="2562" width="10.5" style="217" customWidth="1"/>
    <col min="2563" max="2563" width="11" style="217" customWidth="1"/>
    <col min="2564" max="2564" width="8.8984375" style="217" customWidth="1"/>
    <col min="2565" max="2568" width="4.8984375" style="217" customWidth="1"/>
    <col min="2569" max="2569" width="5.69921875" style="217" customWidth="1"/>
    <col min="2570" max="2573" width="4.8984375" style="217" customWidth="1"/>
    <col min="2574" max="2574" width="3.59765625" style="217" customWidth="1"/>
    <col min="2575" max="2575" width="13.5" style="217" customWidth="1"/>
    <col min="2576" max="2576" width="13.59765625" style="217" customWidth="1"/>
    <col min="2577" max="2577" width="26.69921875" style="217" customWidth="1"/>
    <col min="2578" max="2581" width="13.59765625" style="217" customWidth="1"/>
    <col min="2582" max="2582" width="4.8984375" style="217" customWidth="1"/>
    <col min="2583" max="2583" width="9.19921875" style="217" customWidth="1"/>
    <col min="2584" max="2584" width="12.09765625" style="217" bestFit="1" customWidth="1"/>
    <col min="2585" max="2816" width="7.69921875" style="217"/>
    <col min="2817" max="2817" width="3.59765625" style="217" customWidth="1"/>
    <col min="2818" max="2818" width="10.5" style="217" customWidth="1"/>
    <col min="2819" max="2819" width="11" style="217" customWidth="1"/>
    <col min="2820" max="2820" width="8.8984375" style="217" customWidth="1"/>
    <col min="2821" max="2824" width="4.8984375" style="217" customWidth="1"/>
    <col min="2825" max="2825" width="5.69921875" style="217" customWidth="1"/>
    <col min="2826" max="2829" width="4.8984375" style="217" customWidth="1"/>
    <col min="2830" max="2830" width="3.59765625" style="217" customWidth="1"/>
    <col min="2831" max="2831" width="13.5" style="217" customWidth="1"/>
    <col min="2832" max="2832" width="13.59765625" style="217" customWidth="1"/>
    <col min="2833" max="2833" width="26.69921875" style="217" customWidth="1"/>
    <col min="2834" max="2837" width="13.59765625" style="217" customWidth="1"/>
    <col min="2838" max="2838" width="4.8984375" style="217" customWidth="1"/>
    <col min="2839" max="2839" width="9.19921875" style="217" customWidth="1"/>
    <col min="2840" max="2840" width="12.09765625" style="217" bestFit="1" customWidth="1"/>
    <col min="2841" max="3072" width="7.69921875" style="217"/>
    <col min="3073" max="3073" width="3.59765625" style="217" customWidth="1"/>
    <col min="3074" max="3074" width="10.5" style="217" customWidth="1"/>
    <col min="3075" max="3075" width="11" style="217" customWidth="1"/>
    <col min="3076" max="3076" width="8.8984375" style="217" customWidth="1"/>
    <col min="3077" max="3080" width="4.8984375" style="217" customWidth="1"/>
    <col min="3081" max="3081" width="5.69921875" style="217" customWidth="1"/>
    <col min="3082" max="3085" width="4.8984375" style="217" customWidth="1"/>
    <col min="3086" max="3086" width="3.59765625" style="217" customWidth="1"/>
    <col min="3087" max="3087" width="13.5" style="217" customWidth="1"/>
    <col min="3088" max="3088" width="13.59765625" style="217" customWidth="1"/>
    <col min="3089" max="3089" width="26.69921875" style="217" customWidth="1"/>
    <col min="3090" max="3093" width="13.59765625" style="217" customWidth="1"/>
    <col min="3094" max="3094" width="4.8984375" style="217" customWidth="1"/>
    <col min="3095" max="3095" width="9.19921875" style="217" customWidth="1"/>
    <col min="3096" max="3096" width="12.09765625" style="217" bestFit="1" customWidth="1"/>
    <col min="3097" max="3328" width="7.69921875" style="217"/>
    <col min="3329" max="3329" width="3.59765625" style="217" customWidth="1"/>
    <col min="3330" max="3330" width="10.5" style="217" customWidth="1"/>
    <col min="3331" max="3331" width="11" style="217" customWidth="1"/>
    <col min="3332" max="3332" width="8.8984375" style="217" customWidth="1"/>
    <col min="3333" max="3336" width="4.8984375" style="217" customWidth="1"/>
    <col min="3337" max="3337" width="5.69921875" style="217" customWidth="1"/>
    <col min="3338" max="3341" width="4.8984375" style="217" customWidth="1"/>
    <col min="3342" max="3342" width="3.59765625" style="217" customWidth="1"/>
    <col min="3343" max="3343" width="13.5" style="217" customWidth="1"/>
    <col min="3344" max="3344" width="13.59765625" style="217" customWidth="1"/>
    <col min="3345" max="3345" width="26.69921875" style="217" customWidth="1"/>
    <col min="3346" max="3349" width="13.59765625" style="217" customWidth="1"/>
    <col min="3350" max="3350" width="4.8984375" style="217" customWidth="1"/>
    <col min="3351" max="3351" width="9.19921875" style="217" customWidth="1"/>
    <col min="3352" max="3352" width="12.09765625" style="217" bestFit="1" customWidth="1"/>
    <col min="3353" max="3584" width="7.69921875" style="217"/>
    <col min="3585" max="3585" width="3.59765625" style="217" customWidth="1"/>
    <col min="3586" max="3586" width="10.5" style="217" customWidth="1"/>
    <col min="3587" max="3587" width="11" style="217" customWidth="1"/>
    <col min="3588" max="3588" width="8.8984375" style="217" customWidth="1"/>
    <col min="3589" max="3592" width="4.8984375" style="217" customWidth="1"/>
    <col min="3593" max="3593" width="5.69921875" style="217" customWidth="1"/>
    <col min="3594" max="3597" width="4.8984375" style="217" customWidth="1"/>
    <col min="3598" max="3598" width="3.59765625" style="217" customWidth="1"/>
    <col min="3599" max="3599" width="13.5" style="217" customWidth="1"/>
    <col min="3600" max="3600" width="13.59765625" style="217" customWidth="1"/>
    <col min="3601" max="3601" width="26.69921875" style="217" customWidth="1"/>
    <col min="3602" max="3605" width="13.59765625" style="217" customWidth="1"/>
    <col min="3606" max="3606" width="4.8984375" style="217" customWidth="1"/>
    <col min="3607" max="3607" width="9.19921875" style="217" customWidth="1"/>
    <col min="3608" max="3608" width="12.09765625" style="217" bestFit="1" customWidth="1"/>
    <col min="3609" max="3840" width="7.69921875" style="217"/>
    <col min="3841" max="3841" width="3.59765625" style="217" customWidth="1"/>
    <col min="3842" max="3842" width="10.5" style="217" customWidth="1"/>
    <col min="3843" max="3843" width="11" style="217" customWidth="1"/>
    <col min="3844" max="3844" width="8.8984375" style="217" customWidth="1"/>
    <col min="3845" max="3848" width="4.8984375" style="217" customWidth="1"/>
    <col min="3849" max="3849" width="5.69921875" style="217" customWidth="1"/>
    <col min="3850" max="3853" width="4.8984375" style="217" customWidth="1"/>
    <col min="3854" max="3854" width="3.59765625" style="217" customWidth="1"/>
    <col min="3855" max="3855" width="13.5" style="217" customWidth="1"/>
    <col min="3856" max="3856" width="13.59765625" style="217" customWidth="1"/>
    <col min="3857" max="3857" width="26.69921875" style="217" customWidth="1"/>
    <col min="3858" max="3861" width="13.59765625" style="217" customWidth="1"/>
    <col min="3862" max="3862" width="4.8984375" style="217" customWidth="1"/>
    <col min="3863" max="3863" width="9.19921875" style="217" customWidth="1"/>
    <col min="3864" max="3864" width="12.09765625" style="217" bestFit="1" customWidth="1"/>
    <col min="3865" max="4096" width="7.69921875" style="217"/>
    <col min="4097" max="4097" width="3.59765625" style="217" customWidth="1"/>
    <col min="4098" max="4098" width="10.5" style="217" customWidth="1"/>
    <col min="4099" max="4099" width="11" style="217" customWidth="1"/>
    <col min="4100" max="4100" width="8.8984375" style="217" customWidth="1"/>
    <col min="4101" max="4104" width="4.8984375" style="217" customWidth="1"/>
    <col min="4105" max="4105" width="5.69921875" style="217" customWidth="1"/>
    <col min="4106" max="4109" width="4.8984375" style="217" customWidth="1"/>
    <col min="4110" max="4110" width="3.59765625" style="217" customWidth="1"/>
    <col min="4111" max="4111" width="13.5" style="217" customWidth="1"/>
    <col min="4112" max="4112" width="13.59765625" style="217" customWidth="1"/>
    <col min="4113" max="4113" width="26.69921875" style="217" customWidth="1"/>
    <col min="4114" max="4117" width="13.59765625" style="217" customWidth="1"/>
    <col min="4118" max="4118" width="4.8984375" style="217" customWidth="1"/>
    <col min="4119" max="4119" width="9.19921875" style="217" customWidth="1"/>
    <col min="4120" max="4120" width="12.09765625" style="217" bestFit="1" customWidth="1"/>
    <col min="4121" max="4352" width="7.69921875" style="217"/>
    <col min="4353" max="4353" width="3.59765625" style="217" customWidth="1"/>
    <col min="4354" max="4354" width="10.5" style="217" customWidth="1"/>
    <col min="4355" max="4355" width="11" style="217" customWidth="1"/>
    <col min="4356" max="4356" width="8.8984375" style="217" customWidth="1"/>
    <col min="4357" max="4360" width="4.8984375" style="217" customWidth="1"/>
    <col min="4361" max="4361" width="5.69921875" style="217" customWidth="1"/>
    <col min="4362" max="4365" width="4.8984375" style="217" customWidth="1"/>
    <col min="4366" max="4366" width="3.59765625" style="217" customWidth="1"/>
    <col min="4367" max="4367" width="13.5" style="217" customWidth="1"/>
    <col min="4368" max="4368" width="13.59765625" style="217" customWidth="1"/>
    <col min="4369" max="4369" width="26.69921875" style="217" customWidth="1"/>
    <col min="4370" max="4373" width="13.59765625" style="217" customWidth="1"/>
    <col min="4374" max="4374" width="4.8984375" style="217" customWidth="1"/>
    <col min="4375" max="4375" width="9.19921875" style="217" customWidth="1"/>
    <col min="4376" max="4376" width="12.09765625" style="217" bestFit="1" customWidth="1"/>
    <col min="4377" max="4608" width="7.69921875" style="217"/>
    <col min="4609" max="4609" width="3.59765625" style="217" customWidth="1"/>
    <col min="4610" max="4610" width="10.5" style="217" customWidth="1"/>
    <col min="4611" max="4611" width="11" style="217" customWidth="1"/>
    <col min="4612" max="4612" width="8.8984375" style="217" customWidth="1"/>
    <col min="4613" max="4616" width="4.8984375" style="217" customWidth="1"/>
    <col min="4617" max="4617" width="5.69921875" style="217" customWidth="1"/>
    <col min="4618" max="4621" width="4.8984375" style="217" customWidth="1"/>
    <col min="4622" max="4622" width="3.59765625" style="217" customWidth="1"/>
    <col min="4623" max="4623" width="13.5" style="217" customWidth="1"/>
    <col min="4624" max="4624" width="13.59765625" style="217" customWidth="1"/>
    <col min="4625" max="4625" width="26.69921875" style="217" customWidth="1"/>
    <col min="4626" max="4629" width="13.59765625" style="217" customWidth="1"/>
    <col min="4630" max="4630" width="4.8984375" style="217" customWidth="1"/>
    <col min="4631" max="4631" width="9.19921875" style="217" customWidth="1"/>
    <col min="4632" max="4632" width="12.09765625" style="217" bestFit="1" customWidth="1"/>
    <col min="4633" max="4864" width="7.69921875" style="217"/>
    <col min="4865" max="4865" width="3.59765625" style="217" customWidth="1"/>
    <col min="4866" max="4866" width="10.5" style="217" customWidth="1"/>
    <col min="4867" max="4867" width="11" style="217" customWidth="1"/>
    <col min="4868" max="4868" width="8.8984375" style="217" customWidth="1"/>
    <col min="4869" max="4872" width="4.8984375" style="217" customWidth="1"/>
    <col min="4873" max="4873" width="5.69921875" style="217" customWidth="1"/>
    <col min="4874" max="4877" width="4.8984375" style="217" customWidth="1"/>
    <col min="4878" max="4878" width="3.59765625" style="217" customWidth="1"/>
    <col min="4879" max="4879" width="13.5" style="217" customWidth="1"/>
    <col min="4880" max="4880" width="13.59765625" style="217" customWidth="1"/>
    <col min="4881" max="4881" width="26.69921875" style="217" customWidth="1"/>
    <col min="4882" max="4885" width="13.59765625" style="217" customWidth="1"/>
    <col min="4886" max="4886" width="4.8984375" style="217" customWidth="1"/>
    <col min="4887" max="4887" width="9.19921875" style="217" customWidth="1"/>
    <col min="4888" max="4888" width="12.09765625" style="217" bestFit="1" customWidth="1"/>
    <col min="4889" max="5120" width="7.69921875" style="217"/>
    <col min="5121" max="5121" width="3.59765625" style="217" customWidth="1"/>
    <col min="5122" max="5122" width="10.5" style="217" customWidth="1"/>
    <col min="5123" max="5123" width="11" style="217" customWidth="1"/>
    <col min="5124" max="5124" width="8.8984375" style="217" customWidth="1"/>
    <col min="5125" max="5128" width="4.8984375" style="217" customWidth="1"/>
    <col min="5129" max="5129" width="5.69921875" style="217" customWidth="1"/>
    <col min="5130" max="5133" width="4.8984375" style="217" customWidth="1"/>
    <col min="5134" max="5134" width="3.59765625" style="217" customWidth="1"/>
    <col min="5135" max="5135" width="13.5" style="217" customWidth="1"/>
    <col min="5136" max="5136" width="13.59765625" style="217" customWidth="1"/>
    <col min="5137" max="5137" width="26.69921875" style="217" customWidth="1"/>
    <col min="5138" max="5141" width="13.59765625" style="217" customWidth="1"/>
    <col min="5142" max="5142" width="4.8984375" style="217" customWidth="1"/>
    <col min="5143" max="5143" width="9.19921875" style="217" customWidth="1"/>
    <col min="5144" max="5144" width="12.09765625" style="217" bestFit="1" customWidth="1"/>
    <col min="5145" max="5376" width="7.69921875" style="217"/>
    <col min="5377" max="5377" width="3.59765625" style="217" customWidth="1"/>
    <col min="5378" max="5378" width="10.5" style="217" customWidth="1"/>
    <col min="5379" max="5379" width="11" style="217" customWidth="1"/>
    <col min="5380" max="5380" width="8.8984375" style="217" customWidth="1"/>
    <col min="5381" max="5384" width="4.8984375" style="217" customWidth="1"/>
    <col min="5385" max="5385" width="5.69921875" style="217" customWidth="1"/>
    <col min="5386" max="5389" width="4.8984375" style="217" customWidth="1"/>
    <col min="5390" max="5390" width="3.59765625" style="217" customWidth="1"/>
    <col min="5391" max="5391" width="13.5" style="217" customWidth="1"/>
    <col min="5392" max="5392" width="13.59765625" style="217" customWidth="1"/>
    <col min="5393" max="5393" width="26.69921875" style="217" customWidth="1"/>
    <col min="5394" max="5397" width="13.59765625" style="217" customWidth="1"/>
    <col min="5398" max="5398" width="4.8984375" style="217" customWidth="1"/>
    <col min="5399" max="5399" width="9.19921875" style="217" customWidth="1"/>
    <col min="5400" max="5400" width="12.09765625" style="217" bestFit="1" customWidth="1"/>
    <col min="5401" max="5632" width="7.69921875" style="217"/>
    <col min="5633" max="5633" width="3.59765625" style="217" customWidth="1"/>
    <col min="5634" max="5634" width="10.5" style="217" customWidth="1"/>
    <col min="5635" max="5635" width="11" style="217" customWidth="1"/>
    <col min="5636" max="5636" width="8.8984375" style="217" customWidth="1"/>
    <col min="5637" max="5640" width="4.8984375" style="217" customWidth="1"/>
    <col min="5641" max="5641" width="5.69921875" style="217" customWidth="1"/>
    <col min="5642" max="5645" width="4.8984375" style="217" customWidth="1"/>
    <col min="5646" max="5646" width="3.59765625" style="217" customWidth="1"/>
    <col min="5647" max="5647" width="13.5" style="217" customWidth="1"/>
    <col min="5648" max="5648" width="13.59765625" style="217" customWidth="1"/>
    <col min="5649" max="5649" width="26.69921875" style="217" customWidth="1"/>
    <col min="5650" max="5653" width="13.59765625" style="217" customWidth="1"/>
    <col min="5654" max="5654" width="4.8984375" style="217" customWidth="1"/>
    <col min="5655" max="5655" width="9.19921875" style="217" customWidth="1"/>
    <col min="5656" max="5656" width="12.09765625" style="217" bestFit="1" customWidth="1"/>
    <col min="5657" max="5888" width="7.69921875" style="217"/>
    <col min="5889" max="5889" width="3.59765625" style="217" customWidth="1"/>
    <col min="5890" max="5890" width="10.5" style="217" customWidth="1"/>
    <col min="5891" max="5891" width="11" style="217" customWidth="1"/>
    <col min="5892" max="5892" width="8.8984375" style="217" customWidth="1"/>
    <col min="5893" max="5896" width="4.8984375" style="217" customWidth="1"/>
    <col min="5897" max="5897" width="5.69921875" style="217" customWidth="1"/>
    <col min="5898" max="5901" width="4.8984375" style="217" customWidth="1"/>
    <col min="5902" max="5902" width="3.59765625" style="217" customWidth="1"/>
    <col min="5903" max="5903" width="13.5" style="217" customWidth="1"/>
    <col min="5904" max="5904" width="13.59765625" style="217" customWidth="1"/>
    <col min="5905" max="5905" width="26.69921875" style="217" customWidth="1"/>
    <col min="5906" max="5909" width="13.59765625" style="217" customWidth="1"/>
    <col min="5910" max="5910" width="4.8984375" style="217" customWidth="1"/>
    <col min="5911" max="5911" width="9.19921875" style="217" customWidth="1"/>
    <col min="5912" max="5912" width="12.09765625" style="217" bestFit="1" customWidth="1"/>
    <col min="5913" max="6144" width="7.69921875" style="217"/>
    <col min="6145" max="6145" width="3.59765625" style="217" customWidth="1"/>
    <col min="6146" max="6146" width="10.5" style="217" customWidth="1"/>
    <col min="6147" max="6147" width="11" style="217" customWidth="1"/>
    <col min="6148" max="6148" width="8.8984375" style="217" customWidth="1"/>
    <col min="6149" max="6152" width="4.8984375" style="217" customWidth="1"/>
    <col min="6153" max="6153" width="5.69921875" style="217" customWidth="1"/>
    <col min="6154" max="6157" width="4.8984375" style="217" customWidth="1"/>
    <col min="6158" max="6158" width="3.59765625" style="217" customWidth="1"/>
    <col min="6159" max="6159" width="13.5" style="217" customWidth="1"/>
    <col min="6160" max="6160" width="13.59765625" style="217" customWidth="1"/>
    <col min="6161" max="6161" width="26.69921875" style="217" customWidth="1"/>
    <col min="6162" max="6165" width="13.59765625" style="217" customWidth="1"/>
    <col min="6166" max="6166" width="4.8984375" style="217" customWidth="1"/>
    <col min="6167" max="6167" width="9.19921875" style="217" customWidth="1"/>
    <col min="6168" max="6168" width="12.09765625" style="217" bestFit="1" customWidth="1"/>
    <col min="6169" max="6400" width="7.69921875" style="217"/>
    <col min="6401" max="6401" width="3.59765625" style="217" customWidth="1"/>
    <col min="6402" max="6402" width="10.5" style="217" customWidth="1"/>
    <col min="6403" max="6403" width="11" style="217" customWidth="1"/>
    <col min="6404" max="6404" width="8.8984375" style="217" customWidth="1"/>
    <col min="6405" max="6408" width="4.8984375" style="217" customWidth="1"/>
    <col min="6409" max="6409" width="5.69921875" style="217" customWidth="1"/>
    <col min="6410" max="6413" width="4.8984375" style="217" customWidth="1"/>
    <col min="6414" max="6414" width="3.59765625" style="217" customWidth="1"/>
    <col min="6415" max="6415" width="13.5" style="217" customWidth="1"/>
    <col min="6416" max="6416" width="13.59765625" style="217" customWidth="1"/>
    <col min="6417" max="6417" width="26.69921875" style="217" customWidth="1"/>
    <col min="6418" max="6421" width="13.59765625" style="217" customWidth="1"/>
    <col min="6422" max="6422" width="4.8984375" style="217" customWidth="1"/>
    <col min="6423" max="6423" width="9.19921875" style="217" customWidth="1"/>
    <col min="6424" max="6424" width="12.09765625" style="217" bestFit="1" customWidth="1"/>
    <col min="6425" max="6656" width="7.69921875" style="217"/>
    <col min="6657" max="6657" width="3.59765625" style="217" customWidth="1"/>
    <col min="6658" max="6658" width="10.5" style="217" customWidth="1"/>
    <col min="6659" max="6659" width="11" style="217" customWidth="1"/>
    <col min="6660" max="6660" width="8.8984375" style="217" customWidth="1"/>
    <col min="6661" max="6664" width="4.8984375" style="217" customWidth="1"/>
    <col min="6665" max="6665" width="5.69921875" style="217" customWidth="1"/>
    <col min="6666" max="6669" width="4.8984375" style="217" customWidth="1"/>
    <col min="6670" max="6670" width="3.59765625" style="217" customWidth="1"/>
    <col min="6671" max="6671" width="13.5" style="217" customWidth="1"/>
    <col min="6672" max="6672" width="13.59765625" style="217" customWidth="1"/>
    <col min="6673" max="6673" width="26.69921875" style="217" customWidth="1"/>
    <col min="6674" max="6677" width="13.59765625" style="217" customWidth="1"/>
    <col min="6678" max="6678" width="4.8984375" style="217" customWidth="1"/>
    <col min="6679" max="6679" width="9.19921875" style="217" customWidth="1"/>
    <col min="6680" max="6680" width="12.09765625" style="217" bestFit="1" customWidth="1"/>
    <col min="6681" max="6912" width="7.69921875" style="217"/>
    <col min="6913" max="6913" width="3.59765625" style="217" customWidth="1"/>
    <col min="6914" max="6914" width="10.5" style="217" customWidth="1"/>
    <col min="6915" max="6915" width="11" style="217" customWidth="1"/>
    <col min="6916" max="6916" width="8.8984375" style="217" customWidth="1"/>
    <col min="6917" max="6920" width="4.8984375" style="217" customWidth="1"/>
    <col min="6921" max="6921" width="5.69921875" style="217" customWidth="1"/>
    <col min="6922" max="6925" width="4.8984375" style="217" customWidth="1"/>
    <col min="6926" max="6926" width="3.59765625" style="217" customWidth="1"/>
    <col min="6927" max="6927" width="13.5" style="217" customWidth="1"/>
    <col min="6928" max="6928" width="13.59765625" style="217" customWidth="1"/>
    <col min="6929" max="6929" width="26.69921875" style="217" customWidth="1"/>
    <col min="6930" max="6933" width="13.59765625" style="217" customWidth="1"/>
    <col min="6934" max="6934" width="4.8984375" style="217" customWidth="1"/>
    <col min="6935" max="6935" width="9.19921875" style="217" customWidth="1"/>
    <col min="6936" max="6936" width="12.09765625" style="217" bestFit="1" customWidth="1"/>
    <col min="6937" max="7168" width="7.69921875" style="217"/>
    <col min="7169" max="7169" width="3.59765625" style="217" customWidth="1"/>
    <col min="7170" max="7170" width="10.5" style="217" customWidth="1"/>
    <col min="7171" max="7171" width="11" style="217" customWidth="1"/>
    <col min="7172" max="7172" width="8.8984375" style="217" customWidth="1"/>
    <col min="7173" max="7176" width="4.8984375" style="217" customWidth="1"/>
    <col min="7177" max="7177" width="5.69921875" style="217" customWidth="1"/>
    <col min="7178" max="7181" width="4.8984375" style="217" customWidth="1"/>
    <col min="7182" max="7182" width="3.59765625" style="217" customWidth="1"/>
    <col min="7183" max="7183" width="13.5" style="217" customWidth="1"/>
    <col min="7184" max="7184" width="13.59765625" style="217" customWidth="1"/>
    <col min="7185" max="7185" width="26.69921875" style="217" customWidth="1"/>
    <col min="7186" max="7189" width="13.59765625" style="217" customWidth="1"/>
    <col min="7190" max="7190" width="4.8984375" style="217" customWidth="1"/>
    <col min="7191" max="7191" width="9.19921875" style="217" customWidth="1"/>
    <col min="7192" max="7192" width="12.09765625" style="217" bestFit="1" customWidth="1"/>
    <col min="7193" max="7424" width="7.69921875" style="217"/>
    <col min="7425" max="7425" width="3.59765625" style="217" customWidth="1"/>
    <col min="7426" max="7426" width="10.5" style="217" customWidth="1"/>
    <col min="7427" max="7427" width="11" style="217" customWidth="1"/>
    <col min="7428" max="7428" width="8.8984375" style="217" customWidth="1"/>
    <col min="7429" max="7432" width="4.8984375" style="217" customWidth="1"/>
    <col min="7433" max="7433" width="5.69921875" style="217" customWidth="1"/>
    <col min="7434" max="7437" width="4.8984375" style="217" customWidth="1"/>
    <col min="7438" max="7438" width="3.59765625" style="217" customWidth="1"/>
    <col min="7439" max="7439" width="13.5" style="217" customWidth="1"/>
    <col min="7440" max="7440" width="13.59765625" style="217" customWidth="1"/>
    <col min="7441" max="7441" width="26.69921875" style="217" customWidth="1"/>
    <col min="7442" max="7445" width="13.59765625" style="217" customWidth="1"/>
    <col min="7446" max="7446" width="4.8984375" style="217" customWidth="1"/>
    <col min="7447" max="7447" width="9.19921875" style="217" customWidth="1"/>
    <col min="7448" max="7448" width="12.09765625" style="217" bestFit="1" customWidth="1"/>
    <col min="7449" max="7680" width="7.69921875" style="217"/>
    <col min="7681" max="7681" width="3.59765625" style="217" customWidth="1"/>
    <col min="7682" max="7682" width="10.5" style="217" customWidth="1"/>
    <col min="7683" max="7683" width="11" style="217" customWidth="1"/>
    <col min="7684" max="7684" width="8.8984375" style="217" customWidth="1"/>
    <col min="7685" max="7688" width="4.8984375" style="217" customWidth="1"/>
    <col min="7689" max="7689" width="5.69921875" style="217" customWidth="1"/>
    <col min="7690" max="7693" width="4.8984375" style="217" customWidth="1"/>
    <col min="7694" max="7694" width="3.59765625" style="217" customWidth="1"/>
    <col min="7695" max="7695" width="13.5" style="217" customWidth="1"/>
    <col min="7696" max="7696" width="13.59765625" style="217" customWidth="1"/>
    <col min="7697" max="7697" width="26.69921875" style="217" customWidth="1"/>
    <col min="7698" max="7701" width="13.59765625" style="217" customWidth="1"/>
    <col min="7702" max="7702" width="4.8984375" style="217" customWidth="1"/>
    <col min="7703" max="7703" width="9.19921875" style="217" customWidth="1"/>
    <col min="7704" max="7704" width="12.09765625" style="217" bestFit="1" customWidth="1"/>
    <col min="7705" max="7936" width="7.69921875" style="217"/>
    <col min="7937" max="7937" width="3.59765625" style="217" customWidth="1"/>
    <col min="7938" max="7938" width="10.5" style="217" customWidth="1"/>
    <col min="7939" max="7939" width="11" style="217" customWidth="1"/>
    <col min="7940" max="7940" width="8.8984375" style="217" customWidth="1"/>
    <col min="7941" max="7944" width="4.8984375" style="217" customWidth="1"/>
    <col min="7945" max="7945" width="5.69921875" style="217" customWidth="1"/>
    <col min="7946" max="7949" width="4.8984375" style="217" customWidth="1"/>
    <col min="7950" max="7950" width="3.59765625" style="217" customWidth="1"/>
    <col min="7951" max="7951" width="13.5" style="217" customWidth="1"/>
    <col min="7952" max="7952" width="13.59765625" style="217" customWidth="1"/>
    <col min="7953" max="7953" width="26.69921875" style="217" customWidth="1"/>
    <col min="7954" max="7957" width="13.59765625" style="217" customWidth="1"/>
    <col min="7958" max="7958" width="4.8984375" style="217" customWidth="1"/>
    <col min="7959" max="7959" width="9.19921875" style="217" customWidth="1"/>
    <col min="7960" max="7960" width="12.09765625" style="217" bestFit="1" customWidth="1"/>
    <col min="7961" max="8192" width="7.69921875" style="217"/>
    <col min="8193" max="8193" width="3.59765625" style="217" customWidth="1"/>
    <col min="8194" max="8194" width="10.5" style="217" customWidth="1"/>
    <col min="8195" max="8195" width="11" style="217" customWidth="1"/>
    <col min="8196" max="8196" width="8.8984375" style="217" customWidth="1"/>
    <col min="8197" max="8200" width="4.8984375" style="217" customWidth="1"/>
    <col min="8201" max="8201" width="5.69921875" style="217" customWidth="1"/>
    <col min="8202" max="8205" width="4.8984375" style="217" customWidth="1"/>
    <col min="8206" max="8206" width="3.59765625" style="217" customWidth="1"/>
    <col min="8207" max="8207" width="13.5" style="217" customWidth="1"/>
    <col min="8208" max="8208" width="13.59765625" style="217" customWidth="1"/>
    <col min="8209" max="8209" width="26.69921875" style="217" customWidth="1"/>
    <col min="8210" max="8213" width="13.59765625" style="217" customWidth="1"/>
    <col min="8214" max="8214" width="4.8984375" style="217" customWidth="1"/>
    <col min="8215" max="8215" width="9.19921875" style="217" customWidth="1"/>
    <col min="8216" max="8216" width="12.09765625" style="217" bestFit="1" customWidth="1"/>
    <col min="8217" max="8448" width="7.69921875" style="217"/>
    <col min="8449" max="8449" width="3.59765625" style="217" customWidth="1"/>
    <col min="8450" max="8450" width="10.5" style="217" customWidth="1"/>
    <col min="8451" max="8451" width="11" style="217" customWidth="1"/>
    <col min="8452" max="8452" width="8.8984375" style="217" customWidth="1"/>
    <col min="8453" max="8456" width="4.8984375" style="217" customWidth="1"/>
    <col min="8457" max="8457" width="5.69921875" style="217" customWidth="1"/>
    <col min="8458" max="8461" width="4.8984375" style="217" customWidth="1"/>
    <col min="8462" max="8462" width="3.59765625" style="217" customWidth="1"/>
    <col min="8463" max="8463" width="13.5" style="217" customWidth="1"/>
    <col min="8464" max="8464" width="13.59765625" style="217" customWidth="1"/>
    <col min="8465" max="8465" width="26.69921875" style="217" customWidth="1"/>
    <col min="8466" max="8469" width="13.59765625" style="217" customWidth="1"/>
    <col min="8470" max="8470" width="4.8984375" style="217" customWidth="1"/>
    <col min="8471" max="8471" width="9.19921875" style="217" customWidth="1"/>
    <col min="8472" max="8472" width="12.09765625" style="217" bestFit="1" customWidth="1"/>
    <col min="8473" max="8704" width="7.69921875" style="217"/>
    <col min="8705" max="8705" width="3.59765625" style="217" customWidth="1"/>
    <col min="8706" max="8706" width="10.5" style="217" customWidth="1"/>
    <col min="8707" max="8707" width="11" style="217" customWidth="1"/>
    <col min="8708" max="8708" width="8.8984375" style="217" customWidth="1"/>
    <col min="8709" max="8712" width="4.8984375" style="217" customWidth="1"/>
    <col min="8713" max="8713" width="5.69921875" style="217" customWidth="1"/>
    <col min="8714" max="8717" width="4.8984375" style="217" customWidth="1"/>
    <col min="8718" max="8718" width="3.59765625" style="217" customWidth="1"/>
    <col min="8719" max="8719" width="13.5" style="217" customWidth="1"/>
    <col min="8720" max="8720" width="13.59765625" style="217" customWidth="1"/>
    <col min="8721" max="8721" width="26.69921875" style="217" customWidth="1"/>
    <col min="8722" max="8725" width="13.59765625" style="217" customWidth="1"/>
    <col min="8726" max="8726" width="4.8984375" style="217" customWidth="1"/>
    <col min="8727" max="8727" width="9.19921875" style="217" customWidth="1"/>
    <col min="8728" max="8728" width="12.09765625" style="217" bestFit="1" customWidth="1"/>
    <col min="8729" max="8960" width="7.69921875" style="217"/>
    <col min="8961" max="8961" width="3.59765625" style="217" customWidth="1"/>
    <col min="8962" max="8962" width="10.5" style="217" customWidth="1"/>
    <col min="8963" max="8963" width="11" style="217" customWidth="1"/>
    <col min="8964" max="8964" width="8.8984375" style="217" customWidth="1"/>
    <col min="8965" max="8968" width="4.8984375" style="217" customWidth="1"/>
    <col min="8969" max="8969" width="5.69921875" style="217" customWidth="1"/>
    <col min="8970" max="8973" width="4.8984375" style="217" customWidth="1"/>
    <col min="8974" max="8974" width="3.59765625" style="217" customWidth="1"/>
    <col min="8975" max="8975" width="13.5" style="217" customWidth="1"/>
    <col min="8976" max="8976" width="13.59765625" style="217" customWidth="1"/>
    <col min="8977" max="8977" width="26.69921875" style="217" customWidth="1"/>
    <col min="8978" max="8981" width="13.59765625" style="217" customWidth="1"/>
    <col min="8982" max="8982" width="4.8984375" style="217" customWidth="1"/>
    <col min="8983" max="8983" width="9.19921875" style="217" customWidth="1"/>
    <col min="8984" max="8984" width="12.09765625" style="217" bestFit="1" customWidth="1"/>
    <col min="8985" max="9216" width="7.69921875" style="217"/>
    <col min="9217" max="9217" width="3.59765625" style="217" customWidth="1"/>
    <col min="9218" max="9218" width="10.5" style="217" customWidth="1"/>
    <col min="9219" max="9219" width="11" style="217" customWidth="1"/>
    <col min="9220" max="9220" width="8.8984375" style="217" customWidth="1"/>
    <col min="9221" max="9224" width="4.8984375" style="217" customWidth="1"/>
    <col min="9225" max="9225" width="5.69921875" style="217" customWidth="1"/>
    <col min="9226" max="9229" width="4.8984375" style="217" customWidth="1"/>
    <col min="9230" max="9230" width="3.59765625" style="217" customWidth="1"/>
    <col min="9231" max="9231" width="13.5" style="217" customWidth="1"/>
    <col min="9232" max="9232" width="13.59765625" style="217" customWidth="1"/>
    <col min="9233" max="9233" width="26.69921875" style="217" customWidth="1"/>
    <col min="9234" max="9237" width="13.59765625" style="217" customWidth="1"/>
    <col min="9238" max="9238" width="4.8984375" style="217" customWidth="1"/>
    <col min="9239" max="9239" width="9.19921875" style="217" customWidth="1"/>
    <col min="9240" max="9240" width="12.09765625" style="217" bestFit="1" customWidth="1"/>
    <col min="9241" max="9472" width="7.69921875" style="217"/>
    <col min="9473" max="9473" width="3.59765625" style="217" customWidth="1"/>
    <col min="9474" max="9474" width="10.5" style="217" customWidth="1"/>
    <col min="9475" max="9475" width="11" style="217" customWidth="1"/>
    <col min="9476" max="9476" width="8.8984375" style="217" customWidth="1"/>
    <col min="9477" max="9480" width="4.8984375" style="217" customWidth="1"/>
    <col min="9481" max="9481" width="5.69921875" style="217" customWidth="1"/>
    <col min="9482" max="9485" width="4.8984375" style="217" customWidth="1"/>
    <col min="9486" max="9486" width="3.59765625" style="217" customWidth="1"/>
    <col min="9487" max="9487" width="13.5" style="217" customWidth="1"/>
    <col min="9488" max="9488" width="13.59765625" style="217" customWidth="1"/>
    <col min="9489" max="9489" width="26.69921875" style="217" customWidth="1"/>
    <col min="9490" max="9493" width="13.59765625" style="217" customWidth="1"/>
    <col min="9494" max="9494" width="4.8984375" style="217" customWidth="1"/>
    <col min="9495" max="9495" width="9.19921875" style="217" customWidth="1"/>
    <col min="9496" max="9496" width="12.09765625" style="217" bestFit="1" customWidth="1"/>
    <col min="9497" max="9728" width="7.69921875" style="217"/>
    <col min="9729" max="9729" width="3.59765625" style="217" customWidth="1"/>
    <col min="9730" max="9730" width="10.5" style="217" customWidth="1"/>
    <col min="9731" max="9731" width="11" style="217" customWidth="1"/>
    <col min="9732" max="9732" width="8.8984375" style="217" customWidth="1"/>
    <col min="9733" max="9736" width="4.8984375" style="217" customWidth="1"/>
    <col min="9737" max="9737" width="5.69921875" style="217" customWidth="1"/>
    <col min="9738" max="9741" width="4.8984375" style="217" customWidth="1"/>
    <col min="9742" max="9742" width="3.59765625" style="217" customWidth="1"/>
    <col min="9743" max="9743" width="13.5" style="217" customWidth="1"/>
    <col min="9744" max="9744" width="13.59765625" style="217" customWidth="1"/>
    <col min="9745" max="9745" width="26.69921875" style="217" customWidth="1"/>
    <col min="9746" max="9749" width="13.59765625" style="217" customWidth="1"/>
    <col min="9750" max="9750" width="4.8984375" style="217" customWidth="1"/>
    <col min="9751" max="9751" width="9.19921875" style="217" customWidth="1"/>
    <col min="9752" max="9752" width="12.09765625" style="217" bestFit="1" customWidth="1"/>
    <col min="9753" max="9984" width="7.69921875" style="217"/>
    <col min="9985" max="9985" width="3.59765625" style="217" customWidth="1"/>
    <col min="9986" max="9986" width="10.5" style="217" customWidth="1"/>
    <col min="9987" max="9987" width="11" style="217" customWidth="1"/>
    <col min="9988" max="9988" width="8.8984375" style="217" customWidth="1"/>
    <col min="9989" max="9992" width="4.8984375" style="217" customWidth="1"/>
    <col min="9993" max="9993" width="5.69921875" style="217" customWidth="1"/>
    <col min="9994" max="9997" width="4.8984375" style="217" customWidth="1"/>
    <col min="9998" max="9998" width="3.59765625" style="217" customWidth="1"/>
    <col min="9999" max="9999" width="13.5" style="217" customWidth="1"/>
    <col min="10000" max="10000" width="13.59765625" style="217" customWidth="1"/>
    <col min="10001" max="10001" width="26.69921875" style="217" customWidth="1"/>
    <col min="10002" max="10005" width="13.59765625" style="217" customWidth="1"/>
    <col min="10006" max="10006" width="4.8984375" style="217" customWidth="1"/>
    <col min="10007" max="10007" width="9.19921875" style="217" customWidth="1"/>
    <col min="10008" max="10008" width="12.09765625" style="217" bestFit="1" customWidth="1"/>
    <col min="10009" max="10240" width="7.69921875" style="217"/>
    <col min="10241" max="10241" width="3.59765625" style="217" customWidth="1"/>
    <col min="10242" max="10242" width="10.5" style="217" customWidth="1"/>
    <col min="10243" max="10243" width="11" style="217" customWidth="1"/>
    <col min="10244" max="10244" width="8.8984375" style="217" customWidth="1"/>
    <col min="10245" max="10248" width="4.8984375" style="217" customWidth="1"/>
    <col min="10249" max="10249" width="5.69921875" style="217" customWidth="1"/>
    <col min="10250" max="10253" width="4.8984375" style="217" customWidth="1"/>
    <col min="10254" max="10254" width="3.59765625" style="217" customWidth="1"/>
    <col min="10255" max="10255" width="13.5" style="217" customWidth="1"/>
    <col min="10256" max="10256" width="13.59765625" style="217" customWidth="1"/>
    <col min="10257" max="10257" width="26.69921875" style="217" customWidth="1"/>
    <col min="10258" max="10261" width="13.59765625" style="217" customWidth="1"/>
    <col min="10262" max="10262" width="4.8984375" style="217" customWidth="1"/>
    <col min="10263" max="10263" width="9.19921875" style="217" customWidth="1"/>
    <col min="10264" max="10264" width="12.09765625" style="217" bestFit="1" customWidth="1"/>
    <col min="10265" max="10496" width="7.69921875" style="217"/>
    <col min="10497" max="10497" width="3.59765625" style="217" customWidth="1"/>
    <col min="10498" max="10498" width="10.5" style="217" customWidth="1"/>
    <col min="10499" max="10499" width="11" style="217" customWidth="1"/>
    <col min="10500" max="10500" width="8.8984375" style="217" customWidth="1"/>
    <col min="10501" max="10504" width="4.8984375" style="217" customWidth="1"/>
    <col min="10505" max="10505" width="5.69921875" style="217" customWidth="1"/>
    <col min="10506" max="10509" width="4.8984375" style="217" customWidth="1"/>
    <col min="10510" max="10510" width="3.59765625" style="217" customWidth="1"/>
    <col min="10511" max="10511" width="13.5" style="217" customWidth="1"/>
    <col min="10512" max="10512" width="13.59765625" style="217" customWidth="1"/>
    <col min="10513" max="10513" width="26.69921875" style="217" customWidth="1"/>
    <col min="10514" max="10517" width="13.59765625" style="217" customWidth="1"/>
    <col min="10518" max="10518" width="4.8984375" style="217" customWidth="1"/>
    <col min="10519" max="10519" width="9.19921875" style="217" customWidth="1"/>
    <col min="10520" max="10520" width="12.09765625" style="217" bestFit="1" customWidth="1"/>
    <col min="10521" max="10752" width="7.69921875" style="217"/>
    <col min="10753" max="10753" width="3.59765625" style="217" customWidth="1"/>
    <col min="10754" max="10754" width="10.5" style="217" customWidth="1"/>
    <col min="10755" max="10755" width="11" style="217" customWidth="1"/>
    <col min="10756" max="10756" width="8.8984375" style="217" customWidth="1"/>
    <col min="10757" max="10760" width="4.8984375" style="217" customWidth="1"/>
    <col min="10761" max="10761" width="5.69921875" style="217" customWidth="1"/>
    <col min="10762" max="10765" width="4.8984375" style="217" customWidth="1"/>
    <col min="10766" max="10766" width="3.59765625" style="217" customWidth="1"/>
    <col min="10767" max="10767" width="13.5" style="217" customWidth="1"/>
    <col min="10768" max="10768" width="13.59765625" style="217" customWidth="1"/>
    <col min="10769" max="10769" width="26.69921875" style="217" customWidth="1"/>
    <col min="10770" max="10773" width="13.59765625" style="217" customWidth="1"/>
    <col min="10774" max="10774" width="4.8984375" style="217" customWidth="1"/>
    <col min="10775" max="10775" width="9.19921875" style="217" customWidth="1"/>
    <col min="10776" max="10776" width="12.09765625" style="217" bestFit="1" customWidth="1"/>
    <col min="10777" max="11008" width="7.69921875" style="217"/>
    <col min="11009" max="11009" width="3.59765625" style="217" customWidth="1"/>
    <col min="11010" max="11010" width="10.5" style="217" customWidth="1"/>
    <col min="11011" max="11011" width="11" style="217" customWidth="1"/>
    <col min="11012" max="11012" width="8.8984375" style="217" customWidth="1"/>
    <col min="11013" max="11016" width="4.8984375" style="217" customWidth="1"/>
    <col min="11017" max="11017" width="5.69921875" style="217" customWidth="1"/>
    <col min="11018" max="11021" width="4.8984375" style="217" customWidth="1"/>
    <col min="11022" max="11022" width="3.59765625" style="217" customWidth="1"/>
    <col min="11023" max="11023" width="13.5" style="217" customWidth="1"/>
    <col min="11024" max="11024" width="13.59765625" style="217" customWidth="1"/>
    <col min="11025" max="11025" width="26.69921875" style="217" customWidth="1"/>
    <col min="11026" max="11029" width="13.59765625" style="217" customWidth="1"/>
    <col min="11030" max="11030" width="4.8984375" style="217" customWidth="1"/>
    <col min="11031" max="11031" width="9.19921875" style="217" customWidth="1"/>
    <col min="11032" max="11032" width="12.09765625" style="217" bestFit="1" customWidth="1"/>
    <col min="11033" max="11264" width="7.69921875" style="217"/>
    <col min="11265" max="11265" width="3.59765625" style="217" customWidth="1"/>
    <col min="11266" max="11266" width="10.5" style="217" customWidth="1"/>
    <col min="11267" max="11267" width="11" style="217" customWidth="1"/>
    <col min="11268" max="11268" width="8.8984375" style="217" customWidth="1"/>
    <col min="11269" max="11272" width="4.8984375" style="217" customWidth="1"/>
    <col min="11273" max="11273" width="5.69921875" style="217" customWidth="1"/>
    <col min="11274" max="11277" width="4.8984375" style="217" customWidth="1"/>
    <col min="11278" max="11278" width="3.59765625" style="217" customWidth="1"/>
    <col min="11279" max="11279" width="13.5" style="217" customWidth="1"/>
    <col min="11280" max="11280" width="13.59765625" style="217" customWidth="1"/>
    <col min="11281" max="11281" width="26.69921875" style="217" customWidth="1"/>
    <col min="11282" max="11285" width="13.59765625" style="217" customWidth="1"/>
    <col min="11286" max="11286" width="4.8984375" style="217" customWidth="1"/>
    <col min="11287" max="11287" width="9.19921875" style="217" customWidth="1"/>
    <col min="11288" max="11288" width="12.09765625" style="217" bestFit="1" customWidth="1"/>
    <col min="11289" max="11520" width="7.69921875" style="217"/>
    <col min="11521" max="11521" width="3.59765625" style="217" customWidth="1"/>
    <col min="11522" max="11522" width="10.5" style="217" customWidth="1"/>
    <col min="11523" max="11523" width="11" style="217" customWidth="1"/>
    <col min="11524" max="11524" width="8.8984375" style="217" customWidth="1"/>
    <col min="11525" max="11528" width="4.8984375" style="217" customWidth="1"/>
    <col min="11529" max="11529" width="5.69921875" style="217" customWidth="1"/>
    <col min="11530" max="11533" width="4.8984375" style="217" customWidth="1"/>
    <col min="11534" max="11534" width="3.59765625" style="217" customWidth="1"/>
    <col min="11535" max="11535" width="13.5" style="217" customWidth="1"/>
    <col min="11536" max="11536" width="13.59765625" style="217" customWidth="1"/>
    <col min="11537" max="11537" width="26.69921875" style="217" customWidth="1"/>
    <col min="11538" max="11541" width="13.59765625" style="217" customWidth="1"/>
    <col min="11542" max="11542" width="4.8984375" style="217" customWidth="1"/>
    <col min="11543" max="11543" width="9.19921875" style="217" customWidth="1"/>
    <col min="11544" max="11544" width="12.09765625" style="217" bestFit="1" customWidth="1"/>
    <col min="11545" max="11776" width="7.69921875" style="217"/>
    <col min="11777" max="11777" width="3.59765625" style="217" customWidth="1"/>
    <col min="11778" max="11778" width="10.5" style="217" customWidth="1"/>
    <col min="11779" max="11779" width="11" style="217" customWidth="1"/>
    <col min="11780" max="11780" width="8.8984375" style="217" customWidth="1"/>
    <col min="11781" max="11784" width="4.8984375" style="217" customWidth="1"/>
    <col min="11785" max="11785" width="5.69921875" style="217" customWidth="1"/>
    <col min="11786" max="11789" width="4.8984375" style="217" customWidth="1"/>
    <col min="11790" max="11790" width="3.59765625" style="217" customWidth="1"/>
    <col min="11791" max="11791" width="13.5" style="217" customWidth="1"/>
    <col min="11792" max="11792" width="13.59765625" style="217" customWidth="1"/>
    <col min="11793" max="11793" width="26.69921875" style="217" customWidth="1"/>
    <col min="11794" max="11797" width="13.59765625" style="217" customWidth="1"/>
    <col min="11798" max="11798" width="4.8984375" style="217" customWidth="1"/>
    <col min="11799" max="11799" width="9.19921875" style="217" customWidth="1"/>
    <col min="11800" max="11800" width="12.09765625" style="217" bestFit="1" customWidth="1"/>
    <col min="11801" max="12032" width="7.69921875" style="217"/>
    <col min="12033" max="12033" width="3.59765625" style="217" customWidth="1"/>
    <col min="12034" max="12034" width="10.5" style="217" customWidth="1"/>
    <col min="12035" max="12035" width="11" style="217" customWidth="1"/>
    <col min="12036" max="12036" width="8.8984375" style="217" customWidth="1"/>
    <col min="12037" max="12040" width="4.8984375" style="217" customWidth="1"/>
    <col min="12041" max="12041" width="5.69921875" style="217" customWidth="1"/>
    <col min="12042" max="12045" width="4.8984375" style="217" customWidth="1"/>
    <col min="12046" max="12046" width="3.59765625" style="217" customWidth="1"/>
    <col min="12047" max="12047" width="13.5" style="217" customWidth="1"/>
    <col min="12048" max="12048" width="13.59765625" style="217" customWidth="1"/>
    <col min="12049" max="12049" width="26.69921875" style="217" customWidth="1"/>
    <col min="12050" max="12053" width="13.59765625" style="217" customWidth="1"/>
    <col min="12054" max="12054" width="4.8984375" style="217" customWidth="1"/>
    <col min="12055" max="12055" width="9.19921875" style="217" customWidth="1"/>
    <col min="12056" max="12056" width="12.09765625" style="217" bestFit="1" customWidth="1"/>
    <col min="12057" max="12288" width="7.69921875" style="217"/>
    <col min="12289" max="12289" width="3.59765625" style="217" customWidth="1"/>
    <col min="12290" max="12290" width="10.5" style="217" customWidth="1"/>
    <col min="12291" max="12291" width="11" style="217" customWidth="1"/>
    <col min="12292" max="12292" width="8.8984375" style="217" customWidth="1"/>
    <col min="12293" max="12296" width="4.8984375" style="217" customWidth="1"/>
    <col min="12297" max="12297" width="5.69921875" style="217" customWidth="1"/>
    <col min="12298" max="12301" width="4.8984375" style="217" customWidth="1"/>
    <col min="12302" max="12302" width="3.59765625" style="217" customWidth="1"/>
    <col min="12303" max="12303" width="13.5" style="217" customWidth="1"/>
    <col min="12304" max="12304" width="13.59765625" style="217" customWidth="1"/>
    <col min="12305" max="12305" width="26.69921875" style="217" customWidth="1"/>
    <col min="12306" max="12309" width="13.59765625" style="217" customWidth="1"/>
    <col min="12310" max="12310" width="4.8984375" style="217" customWidth="1"/>
    <col min="12311" max="12311" width="9.19921875" style="217" customWidth="1"/>
    <col min="12312" max="12312" width="12.09765625" style="217" bestFit="1" customWidth="1"/>
    <col min="12313" max="12544" width="7.69921875" style="217"/>
    <col min="12545" max="12545" width="3.59765625" style="217" customWidth="1"/>
    <col min="12546" max="12546" width="10.5" style="217" customWidth="1"/>
    <col min="12547" max="12547" width="11" style="217" customWidth="1"/>
    <col min="12548" max="12548" width="8.8984375" style="217" customWidth="1"/>
    <col min="12549" max="12552" width="4.8984375" style="217" customWidth="1"/>
    <col min="12553" max="12553" width="5.69921875" style="217" customWidth="1"/>
    <col min="12554" max="12557" width="4.8984375" style="217" customWidth="1"/>
    <col min="12558" max="12558" width="3.59765625" style="217" customWidth="1"/>
    <col min="12559" max="12559" width="13.5" style="217" customWidth="1"/>
    <col min="12560" max="12560" width="13.59765625" style="217" customWidth="1"/>
    <col min="12561" max="12561" width="26.69921875" style="217" customWidth="1"/>
    <col min="12562" max="12565" width="13.59765625" style="217" customWidth="1"/>
    <col min="12566" max="12566" width="4.8984375" style="217" customWidth="1"/>
    <col min="12567" max="12567" width="9.19921875" style="217" customWidth="1"/>
    <col min="12568" max="12568" width="12.09765625" style="217" bestFit="1" customWidth="1"/>
    <col min="12569" max="12800" width="7.69921875" style="217"/>
    <col min="12801" max="12801" width="3.59765625" style="217" customWidth="1"/>
    <col min="12802" max="12802" width="10.5" style="217" customWidth="1"/>
    <col min="12803" max="12803" width="11" style="217" customWidth="1"/>
    <col min="12804" max="12804" width="8.8984375" style="217" customWidth="1"/>
    <col min="12805" max="12808" width="4.8984375" style="217" customWidth="1"/>
    <col min="12809" max="12809" width="5.69921875" style="217" customWidth="1"/>
    <col min="12810" max="12813" width="4.8984375" style="217" customWidth="1"/>
    <col min="12814" max="12814" width="3.59765625" style="217" customWidth="1"/>
    <col min="12815" max="12815" width="13.5" style="217" customWidth="1"/>
    <col min="12816" max="12816" width="13.59765625" style="217" customWidth="1"/>
    <col min="12817" max="12817" width="26.69921875" style="217" customWidth="1"/>
    <col min="12818" max="12821" width="13.59765625" style="217" customWidth="1"/>
    <col min="12822" max="12822" width="4.8984375" style="217" customWidth="1"/>
    <col min="12823" max="12823" width="9.19921875" style="217" customWidth="1"/>
    <col min="12824" max="12824" width="12.09765625" style="217" bestFit="1" customWidth="1"/>
    <col min="12825" max="13056" width="7.69921875" style="217"/>
    <col min="13057" max="13057" width="3.59765625" style="217" customWidth="1"/>
    <col min="13058" max="13058" width="10.5" style="217" customWidth="1"/>
    <col min="13059" max="13059" width="11" style="217" customWidth="1"/>
    <col min="13060" max="13060" width="8.8984375" style="217" customWidth="1"/>
    <col min="13061" max="13064" width="4.8984375" style="217" customWidth="1"/>
    <col min="13065" max="13065" width="5.69921875" style="217" customWidth="1"/>
    <col min="13066" max="13069" width="4.8984375" style="217" customWidth="1"/>
    <col min="13070" max="13070" width="3.59765625" style="217" customWidth="1"/>
    <col min="13071" max="13071" width="13.5" style="217" customWidth="1"/>
    <col min="13072" max="13072" width="13.59765625" style="217" customWidth="1"/>
    <col min="13073" max="13073" width="26.69921875" style="217" customWidth="1"/>
    <col min="13074" max="13077" width="13.59765625" style="217" customWidth="1"/>
    <col min="13078" max="13078" width="4.8984375" style="217" customWidth="1"/>
    <col min="13079" max="13079" width="9.19921875" style="217" customWidth="1"/>
    <col min="13080" max="13080" width="12.09765625" style="217" bestFit="1" customWidth="1"/>
    <col min="13081" max="13312" width="7.69921875" style="217"/>
    <col min="13313" max="13313" width="3.59765625" style="217" customWidth="1"/>
    <col min="13314" max="13314" width="10.5" style="217" customWidth="1"/>
    <col min="13315" max="13315" width="11" style="217" customWidth="1"/>
    <col min="13316" max="13316" width="8.8984375" style="217" customWidth="1"/>
    <col min="13317" max="13320" width="4.8984375" style="217" customWidth="1"/>
    <col min="13321" max="13321" width="5.69921875" style="217" customWidth="1"/>
    <col min="13322" max="13325" width="4.8984375" style="217" customWidth="1"/>
    <col min="13326" max="13326" width="3.59765625" style="217" customWidth="1"/>
    <col min="13327" max="13327" width="13.5" style="217" customWidth="1"/>
    <col min="13328" max="13328" width="13.59765625" style="217" customWidth="1"/>
    <col min="13329" max="13329" width="26.69921875" style="217" customWidth="1"/>
    <col min="13330" max="13333" width="13.59765625" style="217" customWidth="1"/>
    <col min="13334" max="13334" width="4.8984375" style="217" customWidth="1"/>
    <col min="13335" max="13335" width="9.19921875" style="217" customWidth="1"/>
    <col min="13336" max="13336" width="12.09765625" style="217" bestFit="1" customWidth="1"/>
    <col min="13337" max="13568" width="7.69921875" style="217"/>
    <col min="13569" max="13569" width="3.59765625" style="217" customWidth="1"/>
    <col min="13570" max="13570" width="10.5" style="217" customWidth="1"/>
    <col min="13571" max="13571" width="11" style="217" customWidth="1"/>
    <col min="13572" max="13572" width="8.8984375" style="217" customWidth="1"/>
    <col min="13573" max="13576" width="4.8984375" style="217" customWidth="1"/>
    <col min="13577" max="13577" width="5.69921875" style="217" customWidth="1"/>
    <col min="13578" max="13581" width="4.8984375" style="217" customWidth="1"/>
    <col min="13582" max="13582" width="3.59765625" style="217" customWidth="1"/>
    <col min="13583" max="13583" width="13.5" style="217" customWidth="1"/>
    <col min="13584" max="13584" width="13.59765625" style="217" customWidth="1"/>
    <col min="13585" max="13585" width="26.69921875" style="217" customWidth="1"/>
    <col min="13586" max="13589" width="13.59765625" style="217" customWidth="1"/>
    <col min="13590" max="13590" width="4.8984375" style="217" customWidth="1"/>
    <col min="13591" max="13591" width="9.19921875" style="217" customWidth="1"/>
    <col min="13592" max="13592" width="12.09765625" style="217" bestFit="1" customWidth="1"/>
    <col min="13593" max="13824" width="7.69921875" style="217"/>
    <col min="13825" max="13825" width="3.59765625" style="217" customWidth="1"/>
    <col min="13826" max="13826" width="10.5" style="217" customWidth="1"/>
    <col min="13827" max="13827" width="11" style="217" customWidth="1"/>
    <col min="13828" max="13828" width="8.8984375" style="217" customWidth="1"/>
    <col min="13829" max="13832" width="4.8984375" style="217" customWidth="1"/>
    <col min="13833" max="13833" width="5.69921875" style="217" customWidth="1"/>
    <col min="13834" max="13837" width="4.8984375" style="217" customWidth="1"/>
    <col min="13838" max="13838" width="3.59765625" style="217" customWidth="1"/>
    <col min="13839" max="13839" width="13.5" style="217" customWidth="1"/>
    <col min="13840" max="13840" width="13.59765625" style="217" customWidth="1"/>
    <col min="13841" max="13841" width="26.69921875" style="217" customWidth="1"/>
    <col min="13842" max="13845" width="13.59765625" style="217" customWidth="1"/>
    <col min="13846" max="13846" width="4.8984375" style="217" customWidth="1"/>
    <col min="13847" max="13847" width="9.19921875" style="217" customWidth="1"/>
    <col min="13848" max="13848" width="12.09765625" style="217" bestFit="1" customWidth="1"/>
    <col min="13849" max="14080" width="7.69921875" style="217"/>
    <col min="14081" max="14081" width="3.59765625" style="217" customWidth="1"/>
    <col min="14082" max="14082" width="10.5" style="217" customWidth="1"/>
    <col min="14083" max="14083" width="11" style="217" customWidth="1"/>
    <col min="14084" max="14084" width="8.8984375" style="217" customWidth="1"/>
    <col min="14085" max="14088" width="4.8984375" style="217" customWidth="1"/>
    <col min="14089" max="14089" width="5.69921875" style="217" customWidth="1"/>
    <col min="14090" max="14093" width="4.8984375" style="217" customWidth="1"/>
    <col min="14094" max="14094" width="3.59765625" style="217" customWidth="1"/>
    <col min="14095" max="14095" width="13.5" style="217" customWidth="1"/>
    <col min="14096" max="14096" width="13.59765625" style="217" customWidth="1"/>
    <col min="14097" max="14097" width="26.69921875" style="217" customWidth="1"/>
    <col min="14098" max="14101" width="13.59765625" style="217" customWidth="1"/>
    <col min="14102" max="14102" width="4.8984375" style="217" customWidth="1"/>
    <col min="14103" max="14103" width="9.19921875" style="217" customWidth="1"/>
    <col min="14104" max="14104" width="12.09765625" style="217" bestFit="1" customWidth="1"/>
    <col min="14105" max="14336" width="7.69921875" style="217"/>
    <col min="14337" max="14337" width="3.59765625" style="217" customWidth="1"/>
    <col min="14338" max="14338" width="10.5" style="217" customWidth="1"/>
    <col min="14339" max="14339" width="11" style="217" customWidth="1"/>
    <col min="14340" max="14340" width="8.8984375" style="217" customWidth="1"/>
    <col min="14341" max="14344" width="4.8984375" style="217" customWidth="1"/>
    <col min="14345" max="14345" width="5.69921875" style="217" customWidth="1"/>
    <col min="14346" max="14349" width="4.8984375" style="217" customWidth="1"/>
    <col min="14350" max="14350" width="3.59765625" style="217" customWidth="1"/>
    <col min="14351" max="14351" width="13.5" style="217" customWidth="1"/>
    <col min="14352" max="14352" width="13.59765625" style="217" customWidth="1"/>
    <col min="14353" max="14353" width="26.69921875" style="217" customWidth="1"/>
    <col min="14354" max="14357" width="13.59765625" style="217" customWidth="1"/>
    <col min="14358" max="14358" width="4.8984375" style="217" customWidth="1"/>
    <col min="14359" max="14359" width="9.19921875" style="217" customWidth="1"/>
    <col min="14360" max="14360" width="12.09765625" style="217" bestFit="1" customWidth="1"/>
    <col min="14361" max="14592" width="7.69921875" style="217"/>
    <col min="14593" max="14593" width="3.59765625" style="217" customWidth="1"/>
    <col min="14594" max="14594" width="10.5" style="217" customWidth="1"/>
    <col min="14595" max="14595" width="11" style="217" customWidth="1"/>
    <col min="14596" max="14596" width="8.8984375" style="217" customWidth="1"/>
    <col min="14597" max="14600" width="4.8984375" style="217" customWidth="1"/>
    <col min="14601" max="14601" width="5.69921875" style="217" customWidth="1"/>
    <col min="14602" max="14605" width="4.8984375" style="217" customWidth="1"/>
    <col min="14606" max="14606" width="3.59765625" style="217" customWidth="1"/>
    <col min="14607" max="14607" width="13.5" style="217" customWidth="1"/>
    <col min="14608" max="14608" width="13.59765625" style="217" customWidth="1"/>
    <col min="14609" max="14609" width="26.69921875" style="217" customWidth="1"/>
    <col min="14610" max="14613" width="13.59765625" style="217" customWidth="1"/>
    <col min="14614" max="14614" width="4.8984375" style="217" customWidth="1"/>
    <col min="14615" max="14615" width="9.19921875" style="217" customWidth="1"/>
    <col min="14616" max="14616" width="12.09765625" style="217" bestFit="1" customWidth="1"/>
    <col min="14617" max="14848" width="7.69921875" style="217"/>
    <col min="14849" max="14849" width="3.59765625" style="217" customWidth="1"/>
    <col min="14850" max="14850" width="10.5" style="217" customWidth="1"/>
    <col min="14851" max="14851" width="11" style="217" customWidth="1"/>
    <col min="14852" max="14852" width="8.8984375" style="217" customWidth="1"/>
    <col min="14853" max="14856" width="4.8984375" style="217" customWidth="1"/>
    <col min="14857" max="14857" width="5.69921875" style="217" customWidth="1"/>
    <col min="14858" max="14861" width="4.8984375" style="217" customWidth="1"/>
    <col min="14862" max="14862" width="3.59765625" style="217" customWidth="1"/>
    <col min="14863" max="14863" width="13.5" style="217" customWidth="1"/>
    <col min="14864" max="14864" width="13.59765625" style="217" customWidth="1"/>
    <col min="14865" max="14865" width="26.69921875" style="217" customWidth="1"/>
    <col min="14866" max="14869" width="13.59765625" style="217" customWidth="1"/>
    <col min="14870" max="14870" width="4.8984375" style="217" customWidth="1"/>
    <col min="14871" max="14871" width="9.19921875" style="217" customWidth="1"/>
    <col min="14872" max="14872" width="12.09765625" style="217" bestFit="1" customWidth="1"/>
    <col min="14873" max="15104" width="7.69921875" style="217"/>
    <col min="15105" max="15105" width="3.59765625" style="217" customWidth="1"/>
    <col min="15106" max="15106" width="10.5" style="217" customWidth="1"/>
    <col min="15107" max="15107" width="11" style="217" customWidth="1"/>
    <col min="15108" max="15108" width="8.8984375" style="217" customWidth="1"/>
    <col min="15109" max="15112" width="4.8984375" style="217" customWidth="1"/>
    <col min="15113" max="15113" width="5.69921875" style="217" customWidth="1"/>
    <col min="15114" max="15117" width="4.8984375" style="217" customWidth="1"/>
    <col min="15118" max="15118" width="3.59765625" style="217" customWidth="1"/>
    <col min="15119" max="15119" width="13.5" style="217" customWidth="1"/>
    <col min="15120" max="15120" width="13.59765625" style="217" customWidth="1"/>
    <col min="15121" max="15121" width="26.69921875" style="217" customWidth="1"/>
    <col min="15122" max="15125" width="13.59765625" style="217" customWidth="1"/>
    <col min="15126" max="15126" width="4.8984375" style="217" customWidth="1"/>
    <col min="15127" max="15127" width="9.19921875" style="217" customWidth="1"/>
    <col min="15128" max="15128" width="12.09765625" style="217" bestFit="1" customWidth="1"/>
    <col min="15129" max="15360" width="7.69921875" style="217"/>
    <col min="15361" max="15361" width="3.59765625" style="217" customWidth="1"/>
    <col min="15362" max="15362" width="10.5" style="217" customWidth="1"/>
    <col min="15363" max="15363" width="11" style="217" customWidth="1"/>
    <col min="15364" max="15364" width="8.8984375" style="217" customWidth="1"/>
    <col min="15365" max="15368" width="4.8984375" style="217" customWidth="1"/>
    <col min="15369" max="15369" width="5.69921875" style="217" customWidth="1"/>
    <col min="15370" max="15373" width="4.8984375" style="217" customWidth="1"/>
    <col min="15374" max="15374" width="3.59765625" style="217" customWidth="1"/>
    <col min="15375" max="15375" width="13.5" style="217" customWidth="1"/>
    <col min="15376" max="15376" width="13.59765625" style="217" customWidth="1"/>
    <col min="15377" max="15377" width="26.69921875" style="217" customWidth="1"/>
    <col min="15378" max="15381" width="13.59765625" style="217" customWidth="1"/>
    <col min="15382" max="15382" width="4.8984375" style="217" customWidth="1"/>
    <col min="15383" max="15383" width="9.19921875" style="217" customWidth="1"/>
    <col min="15384" max="15384" width="12.09765625" style="217" bestFit="1" customWidth="1"/>
    <col min="15385" max="15616" width="7.69921875" style="217"/>
    <col min="15617" max="15617" width="3.59765625" style="217" customWidth="1"/>
    <col min="15618" max="15618" width="10.5" style="217" customWidth="1"/>
    <col min="15619" max="15619" width="11" style="217" customWidth="1"/>
    <col min="15620" max="15620" width="8.8984375" style="217" customWidth="1"/>
    <col min="15621" max="15624" width="4.8984375" style="217" customWidth="1"/>
    <col min="15625" max="15625" width="5.69921875" style="217" customWidth="1"/>
    <col min="15626" max="15629" width="4.8984375" style="217" customWidth="1"/>
    <col min="15630" max="15630" width="3.59765625" style="217" customWidth="1"/>
    <col min="15631" max="15631" width="13.5" style="217" customWidth="1"/>
    <col min="15632" max="15632" width="13.59765625" style="217" customWidth="1"/>
    <col min="15633" max="15633" width="26.69921875" style="217" customWidth="1"/>
    <col min="15634" max="15637" width="13.59765625" style="217" customWidth="1"/>
    <col min="15638" max="15638" width="4.8984375" style="217" customWidth="1"/>
    <col min="15639" max="15639" width="9.19921875" style="217" customWidth="1"/>
    <col min="15640" max="15640" width="12.09765625" style="217" bestFit="1" customWidth="1"/>
    <col min="15641" max="15872" width="7.69921875" style="217"/>
    <col min="15873" max="15873" width="3.59765625" style="217" customWidth="1"/>
    <col min="15874" max="15874" width="10.5" style="217" customWidth="1"/>
    <col min="15875" max="15875" width="11" style="217" customWidth="1"/>
    <col min="15876" max="15876" width="8.8984375" style="217" customWidth="1"/>
    <col min="15877" max="15880" width="4.8984375" style="217" customWidth="1"/>
    <col min="15881" max="15881" width="5.69921875" style="217" customWidth="1"/>
    <col min="15882" max="15885" width="4.8984375" style="217" customWidth="1"/>
    <col min="15886" max="15886" width="3.59765625" style="217" customWidth="1"/>
    <col min="15887" max="15887" width="13.5" style="217" customWidth="1"/>
    <col min="15888" max="15888" width="13.59765625" style="217" customWidth="1"/>
    <col min="15889" max="15889" width="26.69921875" style="217" customWidth="1"/>
    <col min="15890" max="15893" width="13.59765625" style="217" customWidth="1"/>
    <col min="15894" max="15894" width="4.8984375" style="217" customWidth="1"/>
    <col min="15895" max="15895" width="9.19921875" style="217" customWidth="1"/>
    <col min="15896" max="15896" width="12.09765625" style="217" bestFit="1" customWidth="1"/>
    <col min="15897" max="16128" width="7.69921875" style="217"/>
    <col min="16129" max="16129" width="3.59765625" style="217" customWidth="1"/>
    <col min="16130" max="16130" width="10.5" style="217" customWidth="1"/>
    <col min="16131" max="16131" width="11" style="217" customWidth="1"/>
    <col min="16132" max="16132" width="8.8984375" style="217" customWidth="1"/>
    <col min="16133" max="16136" width="4.8984375" style="217" customWidth="1"/>
    <col min="16137" max="16137" width="5.69921875" style="217" customWidth="1"/>
    <col min="16138" max="16141" width="4.8984375" style="217" customWidth="1"/>
    <col min="16142" max="16142" width="3.59765625" style="217" customWidth="1"/>
    <col min="16143" max="16143" width="13.5" style="217" customWidth="1"/>
    <col min="16144" max="16144" width="13.59765625" style="217" customWidth="1"/>
    <col min="16145" max="16145" width="26.69921875" style="217" customWidth="1"/>
    <col min="16146" max="16149" width="13.59765625" style="217" customWidth="1"/>
    <col min="16150" max="16150" width="4.8984375" style="217" customWidth="1"/>
    <col min="16151" max="16151" width="9.19921875" style="217" customWidth="1"/>
    <col min="16152" max="16152" width="12.09765625" style="217" bestFit="1" customWidth="1"/>
    <col min="16153" max="16384" width="7.69921875" style="217"/>
  </cols>
  <sheetData>
    <row r="1" spans="1:26" s="212" customFormat="1" ht="15" customHeight="1">
      <c r="Q1" s="213" t="s">
        <v>368</v>
      </c>
    </row>
    <row r="2" spans="1:26" ht="15" customHeight="1">
      <c r="A2" s="214" t="s">
        <v>728</v>
      </c>
      <c r="B2" s="213"/>
      <c r="C2" s="213"/>
      <c r="D2" s="213"/>
      <c r="E2" s="213"/>
      <c r="F2" s="213"/>
      <c r="G2" s="213"/>
      <c r="H2" s="213"/>
      <c r="I2" s="213"/>
      <c r="J2" s="213"/>
      <c r="K2" s="213"/>
      <c r="L2" s="215" t="s">
        <v>901</v>
      </c>
      <c r="M2" s="213"/>
      <c r="N2" s="213"/>
      <c r="O2" s="213"/>
      <c r="P2" s="213"/>
      <c r="Q2" s="216" t="s">
        <v>369</v>
      </c>
      <c r="R2" s="213"/>
      <c r="S2" s="213"/>
      <c r="T2" s="213"/>
      <c r="U2" s="213"/>
      <c r="V2" s="213"/>
      <c r="W2" s="213"/>
      <c r="X2" s="213"/>
      <c r="Y2" s="213"/>
      <c r="Z2" s="213"/>
    </row>
    <row r="3" spans="1:26" s="212" customFormat="1" ht="15" customHeight="1">
      <c r="A3" s="218" t="s">
        <v>370</v>
      </c>
      <c r="B3" s="213"/>
      <c r="C3" s="213"/>
      <c r="D3" s="213"/>
      <c r="E3" s="213"/>
      <c r="F3" s="213"/>
      <c r="G3" s="213"/>
      <c r="H3" s="213"/>
      <c r="I3" s="213"/>
      <c r="J3" s="213"/>
      <c r="K3" s="213"/>
      <c r="L3" s="213"/>
      <c r="M3" s="213"/>
      <c r="N3" s="213"/>
      <c r="O3" s="213"/>
      <c r="P3" s="213"/>
      <c r="Q3" s="213"/>
      <c r="R3" s="213"/>
      <c r="S3" s="213"/>
      <c r="T3" s="213"/>
      <c r="U3" s="213"/>
      <c r="V3" s="213"/>
      <c r="W3" s="213"/>
      <c r="X3" s="213"/>
      <c r="Y3" s="213"/>
      <c r="Z3" s="213"/>
    </row>
    <row r="4" spans="1:26" s="212" customFormat="1" ht="15" customHeight="1">
      <c r="A4" s="218"/>
      <c r="B4" s="481" t="s">
        <v>729</v>
      </c>
      <c r="C4" s="482"/>
      <c r="D4" s="482"/>
      <c r="E4" s="482"/>
      <c r="F4" s="482"/>
      <c r="G4" s="482"/>
      <c r="H4" s="482"/>
      <c r="I4" s="482"/>
      <c r="J4" s="482"/>
      <c r="K4" s="482"/>
      <c r="L4" s="482"/>
      <c r="M4" s="482"/>
      <c r="N4" s="482"/>
      <c r="O4" s="483"/>
      <c r="P4" s="213"/>
      <c r="Q4" s="213"/>
      <c r="R4" s="213"/>
      <c r="S4" s="213"/>
      <c r="T4" s="213"/>
      <c r="U4" s="213"/>
      <c r="V4" s="213"/>
      <c r="W4" s="213"/>
      <c r="X4" s="213"/>
      <c r="Y4" s="213"/>
      <c r="Z4" s="213"/>
    </row>
    <row r="5" spans="1:26" s="212" customFormat="1" ht="15" customHeight="1">
      <c r="A5" s="218"/>
      <c r="B5" s="484"/>
      <c r="C5" s="485"/>
      <c r="D5" s="485"/>
      <c r="E5" s="485"/>
      <c r="F5" s="485"/>
      <c r="G5" s="485"/>
      <c r="H5" s="485"/>
      <c r="I5" s="485"/>
      <c r="J5" s="485"/>
      <c r="K5" s="485"/>
      <c r="L5" s="485"/>
      <c r="M5" s="485"/>
      <c r="N5" s="485"/>
      <c r="O5" s="486"/>
      <c r="P5" s="213"/>
      <c r="Q5" s="213"/>
      <c r="R5" s="213"/>
      <c r="S5" s="213"/>
      <c r="T5" s="213"/>
      <c r="U5" s="213"/>
      <c r="V5" s="213"/>
      <c r="W5" s="213"/>
      <c r="X5" s="213"/>
      <c r="Y5" s="213"/>
      <c r="Z5" s="213"/>
    </row>
    <row r="6" spans="1:26" s="212" customFormat="1" ht="11.25" customHeight="1" thickBot="1">
      <c r="A6" s="219"/>
      <c r="B6" s="213"/>
      <c r="C6" s="213"/>
      <c r="D6" s="213"/>
      <c r="E6" s="213"/>
      <c r="F6" s="213"/>
      <c r="G6" s="213"/>
      <c r="H6" s="213"/>
      <c r="I6" s="213"/>
      <c r="J6" s="213"/>
      <c r="K6" s="213"/>
      <c r="L6" s="213"/>
      <c r="M6" s="213"/>
      <c r="N6" s="213"/>
      <c r="O6" s="213"/>
      <c r="P6" s="213"/>
      <c r="Q6" s="213"/>
      <c r="R6" s="213"/>
      <c r="S6" s="213"/>
      <c r="T6" s="213"/>
      <c r="U6" s="213"/>
      <c r="V6" s="213"/>
      <c r="W6" s="213"/>
      <c r="X6" s="213"/>
      <c r="Y6" s="213"/>
      <c r="Z6" s="213"/>
    </row>
    <row r="7" spans="1:26" s="212" customFormat="1" ht="19.5" customHeight="1" thickBot="1">
      <c r="A7" s="220">
        <v>1</v>
      </c>
      <c r="B7" s="221" t="s">
        <v>371</v>
      </c>
      <c r="C7" s="479"/>
      <c r="D7" s="479"/>
      <c r="E7" s="479"/>
      <c r="F7" s="479"/>
      <c r="G7" s="479"/>
      <c r="H7" s="479"/>
      <c r="I7" s="479"/>
      <c r="J7" s="479"/>
      <c r="K7" s="479"/>
      <c r="L7" s="479"/>
      <c r="M7" s="479"/>
      <c r="N7" s="479"/>
      <c r="O7" s="221"/>
      <c r="P7" s="213"/>
      <c r="Q7" s="487" t="s">
        <v>372</v>
      </c>
      <c r="R7" s="487"/>
      <c r="S7" s="487"/>
      <c r="T7" s="487"/>
      <c r="U7" s="487"/>
      <c r="V7" s="213"/>
      <c r="W7" s="213"/>
      <c r="X7" s="213"/>
      <c r="Y7" s="213"/>
      <c r="Z7" s="213"/>
    </row>
    <row r="8" spans="1:26" s="212" customFormat="1" ht="19.5" customHeight="1" thickBot="1">
      <c r="A8" s="222"/>
      <c r="B8" s="221" t="s">
        <v>373</v>
      </c>
      <c r="C8" s="479"/>
      <c r="D8" s="479"/>
      <c r="E8" s="479"/>
      <c r="F8" s="479"/>
      <c r="G8" s="479"/>
      <c r="H8" s="479"/>
      <c r="I8" s="479"/>
      <c r="J8" s="479"/>
      <c r="K8" s="479"/>
      <c r="L8" s="479"/>
      <c r="M8" s="479"/>
      <c r="N8" s="479"/>
      <c r="O8" s="221"/>
      <c r="P8" s="213"/>
      <c r="Q8" s="487"/>
      <c r="R8" s="487"/>
      <c r="S8" s="487"/>
      <c r="T8" s="487"/>
      <c r="U8" s="487"/>
      <c r="V8" s="213"/>
      <c r="W8" s="213"/>
      <c r="X8" s="213"/>
      <c r="Y8" s="213"/>
      <c r="Z8" s="213"/>
    </row>
    <row r="9" spans="1:26" s="212" customFormat="1" ht="19.5" customHeight="1" thickBot="1">
      <c r="A9" s="220">
        <v>2</v>
      </c>
      <c r="B9" s="488" t="s">
        <v>642</v>
      </c>
      <c r="C9" s="488"/>
      <c r="D9" s="223"/>
      <c r="E9" s="223"/>
      <c r="F9" s="223"/>
      <c r="G9" s="223"/>
      <c r="H9" s="223"/>
      <c r="I9" s="223"/>
      <c r="J9" s="223"/>
      <c r="K9" s="223"/>
      <c r="L9" s="221"/>
      <c r="M9" s="221"/>
      <c r="N9" s="221"/>
      <c r="O9" s="221"/>
      <c r="P9" s="213"/>
      <c r="Q9" s="213"/>
      <c r="R9" s="213"/>
      <c r="S9" s="213"/>
      <c r="T9" s="213"/>
      <c r="U9" s="213"/>
      <c r="V9" s="213"/>
      <c r="W9" s="213"/>
      <c r="X9" s="213"/>
      <c r="Y9" s="213"/>
      <c r="Z9" s="213"/>
    </row>
    <row r="10" spans="1:26" s="212" customFormat="1" ht="19.5" customHeight="1" thickBot="1">
      <c r="A10" s="222"/>
      <c r="B10" s="221" t="s">
        <v>374</v>
      </c>
      <c r="C10" s="221"/>
      <c r="D10" s="221"/>
      <c r="E10" s="479"/>
      <c r="F10" s="479"/>
      <c r="G10" s="479"/>
      <c r="H10" s="479"/>
      <c r="I10" s="479"/>
      <c r="J10" s="479"/>
      <c r="K10" s="479"/>
      <c r="L10" s="479"/>
      <c r="M10" s="479"/>
      <c r="N10" s="479"/>
      <c r="O10" s="221"/>
      <c r="P10" s="213"/>
      <c r="Q10" s="213"/>
      <c r="R10" s="213"/>
      <c r="S10" s="213"/>
      <c r="T10" s="213"/>
      <c r="U10" s="213"/>
      <c r="V10" s="213"/>
      <c r="W10" s="213"/>
      <c r="X10" s="213"/>
      <c r="Y10" s="213"/>
      <c r="Z10" s="213"/>
    </row>
    <row r="11" spans="1:26" s="212" customFormat="1" ht="19.5" customHeight="1" thickBot="1">
      <c r="A11" s="222"/>
      <c r="B11" s="221" t="s">
        <v>643</v>
      </c>
      <c r="C11" s="221"/>
      <c r="D11" s="221"/>
      <c r="E11" s="479"/>
      <c r="F11" s="479"/>
      <c r="G11" s="479"/>
      <c r="H11" s="479"/>
      <c r="I11" s="479"/>
      <c r="J11" s="479"/>
      <c r="K11" s="479"/>
      <c r="L11" s="479"/>
      <c r="M11" s="479"/>
      <c r="N11" s="479"/>
      <c r="O11" s="221"/>
      <c r="P11" s="213"/>
      <c r="Q11" s="213"/>
      <c r="R11" s="213"/>
      <c r="S11" s="213"/>
      <c r="T11" s="213"/>
      <c r="U11" s="213"/>
      <c r="V11" s="213"/>
      <c r="W11" s="213"/>
      <c r="X11" s="213"/>
      <c r="Y11" s="213"/>
      <c r="Z11" s="213"/>
    </row>
    <row r="12" spans="1:26" s="212" customFormat="1" ht="19.5" customHeight="1" thickBot="1">
      <c r="A12" s="222"/>
      <c r="B12" s="221" t="s">
        <v>375</v>
      </c>
      <c r="C12" s="221"/>
      <c r="D12" s="221"/>
      <c r="E12" s="479"/>
      <c r="F12" s="479"/>
      <c r="G12" s="479"/>
      <c r="H12" s="479"/>
      <c r="I12" s="479"/>
      <c r="J12" s="479"/>
      <c r="K12" s="479"/>
      <c r="L12" s="479"/>
      <c r="M12" s="479"/>
      <c r="N12" s="479"/>
      <c r="O12" s="221"/>
      <c r="P12" s="213"/>
      <c r="Q12" s="213"/>
      <c r="R12" s="213"/>
      <c r="S12" s="213"/>
      <c r="T12" s="213"/>
      <c r="U12" s="213"/>
      <c r="V12" s="213"/>
      <c r="W12" s="213"/>
      <c r="X12" s="213"/>
      <c r="Y12" s="213"/>
      <c r="Z12" s="213"/>
    </row>
    <row r="13" spans="1:26" s="212" customFormat="1" ht="19.5" customHeight="1" thickBot="1">
      <c r="A13" s="222"/>
      <c r="B13" s="221" t="s">
        <v>376</v>
      </c>
      <c r="C13" s="221"/>
      <c r="D13" s="221"/>
      <c r="E13" s="479"/>
      <c r="F13" s="479"/>
      <c r="G13" s="479"/>
      <c r="H13" s="479"/>
      <c r="I13" s="479"/>
      <c r="J13" s="479"/>
      <c r="K13" s="479"/>
      <c r="L13" s="479"/>
      <c r="M13" s="479"/>
      <c r="N13" s="479"/>
      <c r="O13" s="221"/>
      <c r="P13" s="213"/>
      <c r="Q13" s="213"/>
      <c r="R13" s="213"/>
      <c r="S13" s="213"/>
      <c r="T13" s="213"/>
      <c r="U13" s="213"/>
      <c r="V13" s="213"/>
      <c r="W13" s="213"/>
      <c r="X13" s="213"/>
      <c r="Y13" s="213"/>
      <c r="Z13" s="213"/>
    </row>
    <row r="14" spans="1:26" s="212" customFormat="1" ht="19.5" customHeight="1" thickBot="1">
      <c r="A14" s="222"/>
      <c r="B14" s="221" t="s">
        <v>377</v>
      </c>
      <c r="C14" s="221"/>
      <c r="D14" s="221"/>
      <c r="E14" s="479"/>
      <c r="F14" s="479"/>
      <c r="G14" s="479"/>
      <c r="H14" s="479"/>
      <c r="I14" s="479"/>
      <c r="J14" s="479"/>
      <c r="K14" s="479"/>
      <c r="L14" s="479"/>
      <c r="M14" s="479"/>
      <c r="N14" s="479"/>
      <c r="O14" s="221"/>
      <c r="P14" s="213"/>
      <c r="Q14" s="213"/>
      <c r="R14" s="213"/>
      <c r="S14" s="213"/>
      <c r="T14" s="213"/>
      <c r="U14" s="213"/>
      <c r="V14" s="213"/>
      <c r="W14" s="213"/>
      <c r="X14" s="213"/>
      <c r="Y14" s="213"/>
      <c r="Z14" s="213"/>
    </row>
    <row r="15" spans="1:26" s="212" customFormat="1" ht="19.5" customHeight="1" thickTop="1" thickBot="1">
      <c r="A15" s="220">
        <v>3</v>
      </c>
      <c r="B15" s="221" t="s">
        <v>174</v>
      </c>
      <c r="C15" s="223"/>
      <c r="D15" s="223"/>
      <c r="E15" s="223"/>
      <c r="F15" s="223"/>
      <c r="G15" s="223"/>
      <c r="H15" s="223"/>
      <c r="I15" s="223"/>
      <c r="J15" s="223"/>
      <c r="K15" s="223"/>
      <c r="L15" s="223"/>
      <c r="M15" s="223"/>
      <c r="N15" s="223"/>
      <c r="O15" s="221"/>
      <c r="P15" s="213"/>
      <c r="Q15" s="224"/>
      <c r="R15" s="224"/>
      <c r="S15" s="224"/>
      <c r="T15" s="224"/>
      <c r="U15" s="224"/>
      <c r="V15" s="213"/>
      <c r="W15" s="213"/>
      <c r="X15" s="213"/>
      <c r="Y15" s="213"/>
      <c r="Z15" s="213"/>
    </row>
    <row r="16" spans="1:26" s="212" customFormat="1" ht="19.5" customHeight="1" thickBot="1">
      <c r="A16" s="222"/>
      <c r="B16" s="221" t="s">
        <v>378</v>
      </c>
      <c r="C16" s="221"/>
      <c r="D16" s="221"/>
      <c r="E16" s="479"/>
      <c r="F16" s="479"/>
      <c r="G16" s="479"/>
      <c r="H16" s="479"/>
      <c r="I16" s="479"/>
      <c r="J16" s="479"/>
      <c r="K16" s="479"/>
      <c r="L16" s="479"/>
      <c r="M16" s="479"/>
      <c r="N16" s="479"/>
      <c r="O16" s="221"/>
      <c r="P16" s="213"/>
      <c r="Q16" s="213"/>
      <c r="R16" s="213"/>
      <c r="S16" s="213"/>
      <c r="T16" s="213"/>
      <c r="U16" s="213"/>
      <c r="V16" s="213"/>
      <c r="W16" s="213"/>
      <c r="X16" s="213"/>
      <c r="Y16" s="213"/>
      <c r="Z16" s="213"/>
    </row>
    <row r="17" spans="1:26" s="212" customFormat="1" ht="19.5" customHeight="1" thickTop="1" thickBot="1">
      <c r="A17" s="220">
        <v>4</v>
      </c>
      <c r="B17" s="488" t="s">
        <v>379</v>
      </c>
      <c r="C17" s="488"/>
      <c r="D17" s="223"/>
      <c r="E17" s="223"/>
      <c r="F17" s="223"/>
      <c r="G17" s="223"/>
      <c r="H17" s="223"/>
      <c r="I17" s="223"/>
      <c r="J17" s="223"/>
      <c r="K17" s="223"/>
      <c r="L17" s="223"/>
      <c r="M17" s="223"/>
      <c r="N17" s="223"/>
      <c r="O17" s="221"/>
      <c r="P17" s="213"/>
      <c r="Q17" s="224"/>
      <c r="R17" s="224"/>
      <c r="S17" s="224"/>
      <c r="T17" s="224"/>
      <c r="U17" s="224"/>
      <c r="V17" s="213"/>
      <c r="W17" s="213"/>
      <c r="X17" s="213"/>
      <c r="Y17" s="213"/>
      <c r="Z17" s="213"/>
    </row>
    <row r="18" spans="1:26" s="212" customFormat="1" ht="19.5" customHeight="1" thickBot="1">
      <c r="A18" s="222"/>
      <c r="B18" s="221" t="s">
        <v>380</v>
      </c>
      <c r="C18" s="221"/>
      <c r="D18" s="221"/>
      <c r="E18" s="479"/>
      <c r="F18" s="479"/>
      <c r="G18" s="479"/>
      <c r="H18" s="479"/>
      <c r="I18" s="479"/>
      <c r="J18" s="479"/>
      <c r="K18" s="479"/>
      <c r="L18" s="479"/>
      <c r="M18" s="479"/>
      <c r="N18" s="479"/>
      <c r="O18" s="221"/>
      <c r="P18" s="213"/>
      <c r="Q18" s="213"/>
      <c r="R18" s="213"/>
      <c r="S18" s="213"/>
      <c r="T18" s="213"/>
      <c r="U18" s="213"/>
      <c r="V18" s="213"/>
      <c r="W18" s="213"/>
      <c r="X18" s="213"/>
      <c r="Y18" s="213"/>
      <c r="Z18" s="213"/>
    </row>
    <row r="19" spans="1:26" s="212" customFormat="1" ht="19.5" customHeight="1" thickBot="1">
      <c r="A19" s="222"/>
      <c r="B19" s="221" t="s">
        <v>381</v>
      </c>
      <c r="C19" s="221"/>
      <c r="D19" s="221"/>
      <c r="E19" s="479"/>
      <c r="F19" s="479"/>
      <c r="G19" s="479"/>
      <c r="H19" s="479"/>
      <c r="I19" s="479"/>
      <c r="J19" s="479"/>
      <c r="K19" s="479"/>
      <c r="L19" s="479"/>
      <c r="M19" s="479"/>
      <c r="N19" s="479"/>
      <c r="O19" s="221"/>
      <c r="P19" s="225"/>
      <c r="Q19" s="225"/>
      <c r="R19" s="225"/>
      <c r="S19" s="213"/>
      <c r="T19" s="213"/>
      <c r="U19" s="213"/>
      <c r="V19" s="213"/>
      <c r="W19" s="213"/>
      <c r="X19" s="213"/>
      <c r="Y19" s="213"/>
      <c r="Z19" s="213"/>
    </row>
    <row r="20" spans="1:26" s="212" customFormat="1" ht="19.5" customHeight="1" thickTop="1" thickBot="1">
      <c r="A20" s="220">
        <v>5</v>
      </c>
      <c r="B20" s="221" t="s">
        <v>382</v>
      </c>
      <c r="C20" s="223"/>
      <c r="D20" s="223"/>
      <c r="E20" s="223"/>
      <c r="F20" s="223"/>
      <c r="G20" s="223"/>
      <c r="H20" s="223"/>
      <c r="I20" s="226"/>
      <c r="J20" s="223"/>
      <c r="K20" s="223"/>
      <c r="L20" s="223"/>
      <c r="M20" s="223"/>
      <c r="N20" s="223"/>
      <c r="O20" s="223"/>
      <c r="P20" s="225"/>
      <c r="Q20" s="227"/>
      <c r="R20" s="227"/>
      <c r="S20" s="224"/>
      <c r="T20" s="224"/>
      <c r="U20" s="224"/>
      <c r="V20" s="213"/>
      <c r="W20" s="213"/>
      <c r="X20" s="213"/>
      <c r="Y20" s="213"/>
      <c r="Z20" s="213"/>
    </row>
    <row r="21" spans="1:26" s="212" customFormat="1" ht="19.5" customHeight="1" thickBot="1">
      <c r="A21" s="222"/>
      <c r="B21" s="221" t="s">
        <v>383</v>
      </c>
      <c r="C21" s="221"/>
      <c r="D21" s="221"/>
      <c r="E21" s="221"/>
      <c r="F21" s="221"/>
      <c r="G21" s="221"/>
      <c r="H21" s="228" t="s">
        <v>384</v>
      </c>
      <c r="I21" s="480"/>
      <c r="J21" s="480"/>
      <c r="K21" s="480"/>
      <c r="L21" s="480"/>
      <c r="M21" s="480"/>
      <c r="N21" s="480"/>
      <c r="O21" s="221"/>
      <c r="P21" s="213"/>
      <c r="Q21" s="494" t="s">
        <v>385</v>
      </c>
      <c r="R21" s="495"/>
      <c r="S21" s="495"/>
      <c r="T21" s="495"/>
      <c r="U21" s="496"/>
      <c r="V21" s="213"/>
      <c r="W21" s="213"/>
      <c r="X21" s="213"/>
      <c r="Y21" s="213"/>
      <c r="Z21" s="213"/>
    </row>
    <row r="22" spans="1:26" s="212" customFormat="1" ht="19.5" customHeight="1" thickBot="1">
      <c r="A22" s="222"/>
      <c r="B22" s="221" t="s">
        <v>386</v>
      </c>
      <c r="C22" s="221"/>
      <c r="D22" s="221"/>
      <c r="E22" s="221"/>
      <c r="F22" s="221"/>
      <c r="G22" s="221"/>
      <c r="H22" s="229"/>
      <c r="I22" s="497"/>
      <c r="J22" s="497"/>
      <c r="K22" s="497"/>
      <c r="L22" s="497"/>
      <c r="M22" s="497"/>
      <c r="N22" s="497"/>
      <c r="O22" s="221"/>
      <c r="P22" s="213"/>
      <c r="Q22" s="213"/>
      <c r="R22" s="213"/>
      <c r="S22" s="213"/>
      <c r="T22" s="213"/>
      <c r="U22" s="213"/>
      <c r="V22" s="213"/>
      <c r="W22" s="213"/>
      <c r="X22" s="213"/>
      <c r="Y22" s="213"/>
      <c r="Z22" s="213"/>
    </row>
    <row r="23" spans="1:26" s="212" customFormat="1" ht="19.5" customHeight="1" thickBot="1">
      <c r="A23" s="222"/>
      <c r="B23" s="221" t="s">
        <v>645</v>
      </c>
      <c r="C23" s="221"/>
      <c r="D23" s="221"/>
      <c r="E23" s="221"/>
      <c r="F23" s="221"/>
      <c r="G23" s="221"/>
      <c r="H23" s="229"/>
      <c r="I23" s="497"/>
      <c r="J23" s="497"/>
      <c r="K23" s="497"/>
      <c r="L23" s="497"/>
      <c r="M23" s="497"/>
      <c r="N23" s="497"/>
      <c r="O23" s="221"/>
      <c r="P23" s="213"/>
      <c r="Q23" s="213"/>
      <c r="R23" s="213"/>
      <c r="S23" s="213"/>
      <c r="T23" s="213"/>
      <c r="U23" s="213"/>
      <c r="V23" s="213"/>
      <c r="W23" s="213"/>
      <c r="X23" s="213"/>
      <c r="Y23" s="213"/>
      <c r="Z23" s="213"/>
    </row>
    <row r="24" spans="1:26" s="212" customFormat="1" ht="19.5" customHeight="1" thickBot="1">
      <c r="A24" s="222"/>
      <c r="B24" s="221" t="s">
        <v>133</v>
      </c>
      <c r="C24" s="221"/>
      <c r="D24" s="221"/>
      <c r="E24" s="221"/>
      <c r="F24" s="221"/>
      <c r="G24" s="221"/>
      <c r="H24" s="229"/>
      <c r="I24" s="498" t="s">
        <v>895</v>
      </c>
      <c r="J24" s="499"/>
      <c r="K24" s="499"/>
      <c r="L24" s="499"/>
      <c r="M24" s="499"/>
      <c r="N24" s="500"/>
      <c r="O24" s="221"/>
      <c r="P24" s="213"/>
      <c r="Q24" s="213"/>
      <c r="R24" s="213"/>
      <c r="S24" s="213"/>
      <c r="T24" s="213"/>
      <c r="U24" s="213"/>
      <c r="V24" s="213"/>
      <c r="W24" s="213"/>
      <c r="X24" s="213"/>
      <c r="Y24" s="213"/>
      <c r="Z24" s="213"/>
    </row>
    <row r="25" spans="1:26" s="212" customFormat="1" ht="19.5" customHeight="1" thickTop="1" thickBot="1">
      <c r="A25" s="220">
        <v>6</v>
      </c>
      <c r="B25" s="488" t="s">
        <v>387</v>
      </c>
      <c r="C25" s="488"/>
      <c r="D25" s="223"/>
      <c r="E25" s="223"/>
      <c r="F25" s="223"/>
      <c r="G25" s="223"/>
      <c r="H25" s="230"/>
      <c r="I25" s="226"/>
      <c r="J25" s="223"/>
      <c r="K25" s="223"/>
      <c r="L25" s="223"/>
      <c r="M25" s="223"/>
      <c r="N25" s="223"/>
      <c r="O25" s="223"/>
      <c r="P25" s="213"/>
      <c r="Q25" s="224"/>
      <c r="R25" s="224"/>
      <c r="S25" s="224"/>
      <c r="T25" s="224"/>
      <c r="U25" s="224"/>
      <c r="V25" s="213"/>
      <c r="W25" s="213"/>
      <c r="X25" s="213"/>
      <c r="Y25" s="213"/>
      <c r="Z25" s="213"/>
    </row>
    <row r="26" spans="1:26" s="212" customFormat="1" ht="19.5" customHeight="1" thickBot="1">
      <c r="A26" s="220"/>
      <c r="B26" s="221" t="s">
        <v>388</v>
      </c>
      <c r="C26" s="221"/>
      <c r="D26" s="221"/>
      <c r="E26" s="221"/>
      <c r="F26" s="221"/>
      <c r="G26" s="221"/>
      <c r="H26" s="229"/>
      <c r="I26" s="501"/>
      <c r="J26" s="497"/>
      <c r="K26" s="497"/>
      <c r="L26" s="497"/>
      <c r="M26" s="497"/>
      <c r="N26" s="497"/>
      <c r="O26" s="223"/>
      <c r="P26" s="213"/>
      <c r="Q26" s="213"/>
      <c r="R26" s="213"/>
      <c r="S26" s="213"/>
      <c r="T26" s="213"/>
      <c r="U26" s="213"/>
      <c r="V26" s="213"/>
      <c r="W26" s="213"/>
      <c r="X26" s="213"/>
      <c r="Y26" s="213"/>
      <c r="Z26" s="213"/>
    </row>
    <row r="27" spans="1:26" s="212" customFormat="1" ht="19.5" customHeight="1" thickBot="1">
      <c r="A27" s="220"/>
      <c r="B27" s="221" t="s">
        <v>389</v>
      </c>
      <c r="C27" s="221"/>
      <c r="D27" s="221"/>
      <c r="E27" s="221"/>
      <c r="F27" s="221"/>
      <c r="G27" s="221"/>
      <c r="H27" s="228" t="s">
        <v>384</v>
      </c>
      <c r="I27" s="480"/>
      <c r="J27" s="480"/>
      <c r="K27" s="480"/>
      <c r="L27" s="480"/>
      <c r="M27" s="480"/>
      <c r="N27" s="480"/>
      <c r="O27" s="223"/>
      <c r="P27" s="213"/>
      <c r="Q27" s="494" t="s">
        <v>390</v>
      </c>
      <c r="R27" s="495"/>
      <c r="S27" s="495"/>
      <c r="T27" s="495"/>
      <c r="U27" s="496"/>
      <c r="V27" s="213"/>
      <c r="W27" s="213"/>
      <c r="X27" s="213"/>
      <c r="Y27" s="213"/>
      <c r="Z27" s="213"/>
    </row>
    <row r="28" spans="1:26" s="212" customFormat="1" ht="19.5" customHeight="1" thickBot="1">
      <c r="A28" s="220"/>
      <c r="B28" s="221" t="s">
        <v>644</v>
      </c>
      <c r="C28" s="221"/>
      <c r="D28" s="221"/>
      <c r="E28" s="221"/>
      <c r="F28" s="221"/>
      <c r="G28" s="221"/>
      <c r="H28" s="221"/>
      <c r="I28" s="502"/>
      <c r="J28" s="502"/>
      <c r="K28" s="502"/>
      <c r="L28" s="502"/>
      <c r="M28" s="502"/>
      <c r="N28" s="502"/>
      <c r="O28" s="223"/>
      <c r="P28" s="213"/>
      <c r="Q28" s="213"/>
      <c r="R28" s="213"/>
      <c r="S28" s="213"/>
      <c r="T28" s="213"/>
      <c r="U28" s="213"/>
      <c r="V28" s="213"/>
      <c r="W28" s="213"/>
      <c r="X28" s="213"/>
      <c r="Y28" s="213"/>
      <c r="Z28" s="213"/>
    </row>
    <row r="29" spans="1:26" s="212" customFormat="1" ht="24.9" customHeight="1" thickBot="1">
      <c r="A29" s="220"/>
      <c r="B29" s="221" t="s">
        <v>646</v>
      </c>
      <c r="C29" s="221"/>
      <c r="D29" s="221"/>
      <c r="E29" s="489"/>
      <c r="F29" s="489"/>
      <c r="G29" s="221"/>
      <c r="H29" s="221"/>
      <c r="I29" s="490"/>
      <c r="J29" s="490"/>
      <c r="K29" s="490"/>
      <c r="L29" s="490"/>
      <c r="M29" s="490"/>
      <c r="N29" s="490"/>
      <c r="O29" s="223"/>
      <c r="P29" s="213"/>
      <c r="Q29" s="491" t="s">
        <v>730</v>
      </c>
      <c r="R29" s="492"/>
      <c r="S29" s="492"/>
      <c r="T29" s="492"/>
      <c r="U29" s="493"/>
      <c r="V29" s="213"/>
      <c r="W29" s="213"/>
      <c r="X29" s="213"/>
      <c r="Y29" s="213"/>
      <c r="Z29" s="213"/>
    </row>
    <row r="30" spans="1:26" s="212" customFormat="1" ht="19.5" customHeight="1" thickBot="1">
      <c r="A30" s="220"/>
      <c r="B30" s="232" t="s">
        <v>731</v>
      </c>
      <c r="C30" s="221"/>
      <c r="D30" s="221"/>
      <c r="E30" s="502"/>
      <c r="F30" s="502"/>
      <c r="G30" s="221" t="s">
        <v>732</v>
      </c>
      <c r="H30" s="221"/>
      <c r="I30" s="503"/>
      <c r="J30" s="503"/>
      <c r="K30" s="221"/>
      <c r="L30" s="221"/>
      <c r="M30" s="221"/>
      <c r="N30" s="221"/>
      <c r="O30" s="221"/>
      <c r="P30" s="213"/>
      <c r="Q30" s="213"/>
      <c r="R30" s="213"/>
      <c r="S30" s="213"/>
      <c r="T30" s="213"/>
      <c r="U30" s="213"/>
      <c r="V30" s="213"/>
      <c r="W30" s="213"/>
      <c r="X30" s="213"/>
    </row>
    <row r="31" spans="1:26" s="212" customFormat="1" ht="19.5" customHeight="1" thickBot="1">
      <c r="A31" s="220"/>
      <c r="B31" s="232" t="s">
        <v>443</v>
      </c>
      <c r="C31" s="221"/>
      <c r="D31" s="221"/>
      <c r="E31" s="504"/>
      <c r="F31" s="504"/>
      <c r="G31" s="221" t="s">
        <v>213</v>
      </c>
      <c r="H31" s="222"/>
      <c r="I31" s="221"/>
      <c r="J31" s="221"/>
      <c r="K31" s="221"/>
      <c r="L31" s="221"/>
      <c r="M31" s="221"/>
      <c r="N31" s="221"/>
      <c r="O31" s="221"/>
      <c r="P31" s="213"/>
      <c r="Q31" s="213"/>
      <c r="R31" s="213"/>
      <c r="S31" s="213"/>
      <c r="T31" s="213"/>
      <c r="U31" s="213"/>
      <c r="V31" s="213"/>
      <c r="W31" s="233"/>
      <c r="X31" s="233" t="s">
        <v>733</v>
      </c>
    </row>
    <row r="32" spans="1:26" s="236" customFormat="1" ht="3.75" customHeight="1" thickBot="1">
      <c r="A32" s="220"/>
      <c r="B32" s="221"/>
      <c r="C32" s="221"/>
      <c r="D32" s="221"/>
      <c r="E32" s="221"/>
      <c r="F32" s="221"/>
      <c r="G32" s="221"/>
      <c r="H32" s="221"/>
      <c r="I32" s="221"/>
      <c r="J32" s="221"/>
      <c r="K32" s="221"/>
      <c r="L32" s="221"/>
      <c r="M32" s="221"/>
      <c r="N32" s="221"/>
      <c r="O32" s="221"/>
      <c r="P32" s="234"/>
      <c r="Q32" s="234"/>
      <c r="R32" s="234"/>
      <c r="S32" s="234"/>
      <c r="T32" s="234"/>
      <c r="U32" s="234"/>
      <c r="V32" s="234"/>
      <c r="W32" s="235"/>
      <c r="X32" s="235"/>
    </row>
    <row r="33" spans="1:26" s="239" customFormat="1" ht="3.75" customHeight="1" thickBot="1">
      <c r="A33" s="220"/>
      <c r="B33" s="221"/>
      <c r="C33" s="221"/>
      <c r="D33" s="221"/>
      <c r="E33" s="221"/>
      <c r="F33" s="221"/>
      <c r="G33" s="221"/>
      <c r="H33" s="221"/>
      <c r="I33" s="221"/>
      <c r="J33" s="221"/>
      <c r="K33" s="221"/>
      <c r="L33" s="221"/>
      <c r="M33" s="221"/>
      <c r="N33" s="221"/>
      <c r="O33" s="221"/>
      <c r="P33" s="237"/>
      <c r="Q33" s="237"/>
      <c r="R33" s="237"/>
      <c r="S33" s="237"/>
      <c r="T33" s="237"/>
      <c r="U33" s="237"/>
      <c r="V33" s="237"/>
      <c r="W33" s="238"/>
      <c r="X33" s="238"/>
    </row>
    <row r="34" spans="1:26" s="212" customFormat="1" ht="19.5" customHeight="1" thickBot="1">
      <c r="A34" s="220">
        <v>7</v>
      </c>
      <c r="B34" s="488" t="s">
        <v>391</v>
      </c>
      <c r="C34" s="488"/>
      <c r="D34" s="223"/>
      <c r="E34" s="223"/>
      <c r="F34" s="223"/>
      <c r="G34" s="221"/>
      <c r="H34" s="223"/>
      <c r="I34" s="223"/>
      <c r="J34" s="223"/>
      <c r="K34" s="223"/>
      <c r="L34" s="229" t="s">
        <v>264</v>
      </c>
      <c r="M34" s="505">
        <f>'SP5-2'!Q33</f>
        <v>0</v>
      </c>
      <c r="N34" s="505"/>
      <c r="O34" s="226" t="s">
        <v>392</v>
      </c>
      <c r="P34" s="213"/>
      <c r="Q34" s="494" t="s">
        <v>393</v>
      </c>
      <c r="R34" s="495"/>
      <c r="S34" s="495"/>
      <c r="T34" s="495"/>
      <c r="U34" s="496"/>
      <c r="V34" s="213"/>
      <c r="W34" s="233" t="s">
        <v>734</v>
      </c>
      <c r="X34" s="240">
        <f>'SP5-2'!Q33</f>
        <v>0</v>
      </c>
    </row>
    <row r="35" spans="1:26" s="212" customFormat="1" ht="19.5" customHeight="1" thickBot="1">
      <c r="A35" s="220">
        <v>8</v>
      </c>
      <c r="B35" s="488" t="s">
        <v>394</v>
      </c>
      <c r="C35" s="488"/>
      <c r="D35" s="488"/>
      <c r="E35" s="223"/>
      <c r="F35" s="223"/>
      <c r="G35" s="223"/>
      <c r="H35" s="223"/>
      <c r="I35" s="223"/>
      <c r="J35" s="223"/>
      <c r="K35" s="223"/>
      <c r="L35" s="229" t="s">
        <v>264</v>
      </c>
      <c r="M35" s="502">
        <f>'SP5-3 (1)'!Q27</f>
        <v>0</v>
      </c>
      <c r="N35" s="502"/>
      <c r="O35" s="226" t="s">
        <v>395</v>
      </c>
      <c r="P35" s="213"/>
      <c r="Q35" s="494" t="s">
        <v>396</v>
      </c>
      <c r="R35" s="495"/>
      <c r="S35" s="495"/>
      <c r="T35" s="495"/>
      <c r="U35" s="496"/>
      <c r="V35" s="213"/>
      <c r="W35" s="233" t="s">
        <v>735</v>
      </c>
      <c r="X35" s="240">
        <f>'SP5-3 (1)'!Q27</f>
        <v>0</v>
      </c>
    </row>
    <row r="36" spans="1:26" s="212" customFormat="1" ht="19.5" customHeight="1" thickBot="1">
      <c r="A36" s="220">
        <v>9</v>
      </c>
      <c r="B36" s="488" t="s">
        <v>397</v>
      </c>
      <c r="C36" s="488"/>
      <c r="D36" s="488"/>
      <c r="E36" s="488"/>
      <c r="F36" s="223"/>
      <c r="G36" s="223"/>
      <c r="H36" s="223"/>
      <c r="I36" s="223"/>
      <c r="J36" s="223"/>
      <c r="K36" s="223"/>
      <c r="L36" s="223"/>
      <c r="M36" s="223"/>
      <c r="N36" s="223"/>
      <c r="O36" s="226"/>
      <c r="P36" s="225"/>
      <c r="Q36" s="225"/>
      <c r="R36" s="241"/>
      <c r="T36" s="213"/>
      <c r="U36" s="213"/>
      <c r="V36" s="213"/>
      <c r="W36" s="233" t="s">
        <v>736</v>
      </c>
      <c r="X36" s="240" t="e">
        <f>#REF!</f>
        <v>#REF!</v>
      </c>
    </row>
    <row r="37" spans="1:26" s="212" customFormat="1" ht="19.5" customHeight="1" thickBot="1">
      <c r="A37" s="222"/>
      <c r="B37" s="221" t="s">
        <v>398</v>
      </c>
      <c r="C37" s="221"/>
      <c r="D37" s="229" t="s">
        <v>264</v>
      </c>
      <c r="E37" s="506">
        <f>'SP5-4'!M23</f>
        <v>0</v>
      </c>
      <c r="F37" s="506"/>
      <c r="G37" s="226" t="s">
        <v>399</v>
      </c>
      <c r="H37" s="221"/>
      <c r="I37" s="221"/>
      <c r="J37" s="507"/>
      <c r="K37" s="507"/>
      <c r="L37" s="228" t="s">
        <v>400</v>
      </c>
      <c r="M37" s="505">
        <f>E37*J37</f>
        <v>0</v>
      </c>
      <c r="N37" s="505"/>
      <c r="O37" s="226" t="s">
        <v>647</v>
      </c>
      <c r="P37" s="213"/>
      <c r="Q37" s="508" t="s">
        <v>401</v>
      </c>
      <c r="R37" s="508"/>
      <c r="S37" s="508"/>
      <c r="T37" s="508"/>
      <c r="U37" s="508"/>
      <c r="V37" s="213"/>
      <c r="W37" s="233" t="s">
        <v>737</v>
      </c>
      <c r="X37" s="240" t="e">
        <f>#REF!</f>
        <v>#REF!</v>
      </c>
    </row>
    <row r="38" spans="1:26" s="212" customFormat="1" ht="19.5" customHeight="1" thickBot="1">
      <c r="A38" s="222"/>
      <c r="B38" s="221" t="s">
        <v>648</v>
      </c>
      <c r="C38" s="221"/>
      <c r="D38" s="229" t="s">
        <v>264</v>
      </c>
      <c r="E38" s="506">
        <f>'SP5-5'!M20</f>
        <v>0</v>
      </c>
      <c r="F38" s="506"/>
      <c r="G38" s="226" t="s">
        <v>649</v>
      </c>
      <c r="H38" s="221"/>
      <c r="I38" s="221"/>
      <c r="J38" s="507"/>
      <c r="K38" s="507"/>
      <c r="L38" s="228" t="s">
        <v>400</v>
      </c>
      <c r="M38" s="505">
        <f>E38*J38</f>
        <v>0</v>
      </c>
      <c r="N38" s="505"/>
      <c r="O38" s="226" t="s">
        <v>402</v>
      </c>
      <c r="Q38" s="508"/>
      <c r="R38" s="508"/>
      <c r="S38" s="508"/>
      <c r="T38" s="508"/>
      <c r="U38" s="508"/>
      <c r="V38" s="213"/>
      <c r="W38" s="233" t="s">
        <v>738</v>
      </c>
      <c r="X38" s="240" t="e">
        <f>#REF!</f>
        <v>#REF!</v>
      </c>
      <c r="Y38" s="213"/>
      <c r="Z38" s="213"/>
    </row>
    <row r="39" spans="1:26" s="212" customFormat="1" ht="19.5" customHeight="1" thickBot="1">
      <c r="A39" s="222"/>
      <c r="B39" s="221" t="s">
        <v>650</v>
      </c>
      <c r="C39" s="221"/>
      <c r="D39" s="229" t="s">
        <v>264</v>
      </c>
      <c r="E39" s="506">
        <f>'SP5-6'!J41</f>
        <v>0</v>
      </c>
      <c r="F39" s="506"/>
      <c r="G39" s="226" t="s">
        <v>651</v>
      </c>
      <c r="H39" s="221"/>
      <c r="I39" s="221"/>
      <c r="J39" s="507"/>
      <c r="K39" s="507"/>
      <c r="L39" s="228" t="s">
        <v>400</v>
      </c>
      <c r="M39" s="516">
        <f>E39*J39</f>
        <v>0</v>
      </c>
      <c r="N39" s="516"/>
      <c r="O39" s="242" t="s">
        <v>403</v>
      </c>
      <c r="Q39" s="508"/>
      <c r="R39" s="508"/>
      <c r="S39" s="508"/>
      <c r="T39" s="508"/>
      <c r="U39" s="508"/>
      <c r="V39" s="213"/>
      <c r="Y39" s="213"/>
      <c r="Z39" s="213"/>
    </row>
    <row r="40" spans="1:26" s="212" customFormat="1" ht="19.5" customHeight="1" thickBot="1">
      <c r="A40" s="509">
        <v>10</v>
      </c>
      <c r="B40" s="489" t="s">
        <v>404</v>
      </c>
      <c r="C40" s="510" t="s">
        <v>405</v>
      </c>
      <c r="D40" s="510"/>
      <c r="E40" s="509" t="s">
        <v>406</v>
      </c>
      <c r="F40" s="511" t="s">
        <v>739</v>
      </c>
      <c r="G40" s="511"/>
      <c r="H40" s="511"/>
      <c r="I40" s="509" t="s">
        <v>406</v>
      </c>
      <c r="J40" s="517">
        <f>M37+M38+M39</f>
        <v>0</v>
      </c>
      <c r="K40" s="517"/>
      <c r="L40" s="524" t="s">
        <v>406</v>
      </c>
      <c r="M40" s="525">
        <f>IF(J41=0,,J40/J41)</f>
        <v>0</v>
      </c>
      <c r="N40" s="526"/>
      <c r="O40" s="243"/>
      <c r="P40" s="213"/>
      <c r="Q40" s="213"/>
      <c r="R40" s="213"/>
      <c r="S40" s="213"/>
      <c r="T40" s="213"/>
      <c r="U40" s="213"/>
      <c r="V40" s="213"/>
      <c r="W40" s="213"/>
      <c r="X40" s="213"/>
      <c r="Y40" s="213"/>
      <c r="Z40" s="213"/>
    </row>
    <row r="41" spans="1:26" s="212" customFormat="1" ht="19.5" customHeight="1" thickBot="1">
      <c r="A41" s="509"/>
      <c r="B41" s="489"/>
      <c r="C41" s="512" t="s">
        <v>652</v>
      </c>
      <c r="D41" s="512"/>
      <c r="E41" s="509"/>
      <c r="F41" s="513" t="s">
        <v>407</v>
      </c>
      <c r="G41" s="513"/>
      <c r="H41" s="513"/>
      <c r="I41" s="509"/>
      <c r="J41" s="514">
        <f>M35-M34</f>
        <v>0</v>
      </c>
      <c r="K41" s="515"/>
      <c r="L41" s="524"/>
      <c r="M41" s="527"/>
      <c r="N41" s="528"/>
      <c r="O41" s="243"/>
      <c r="P41" s="213"/>
      <c r="Q41" s="213"/>
      <c r="R41" s="213"/>
      <c r="S41" s="213"/>
      <c r="T41" s="213"/>
      <c r="U41" s="213"/>
      <c r="V41" s="520"/>
      <c r="W41" s="213"/>
      <c r="X41" s="213"/>
      <c r="Y41" s="213"/>
      <c r="Z41" s="213"/>
    </row>
    <row r="42" spans="1:26" s="212" customFormat="1" ht="19.5" customHeight="1" thickBot="1">
      <c r="A42" s="509">
        <v>11</v>
      </c>
      <c r="B42" s="489" t="s">
        <v>408</v>
      </c>
      <c r="C42" s="510" t="s">
        <v>740</v>
      </c>
      <c r="D42" s="510"/>
      <c r="E42" s="509" t="s">
        <v>406</v>
      </c>
      <c r="F42" s="510" t="s">
        <v>899</v>
      </c>
      <c r="G42" s="510"/>
      <c r="H42" s="510"/>
      <c r="I42" s="510"/>
      <c r="J42" s="510"/>
      <c r="K42" s="510"/>
      <c r="L42" s="509" t="s">
        <v>406</v>
      </c>
      <c r="M42" s="521">
        <f>IF(M35-M34=0,0,((((M37+M38)/H56+M39/Tables!T6)*0.98)/(M35-M34)))</f>
        <v>0</v>
      </c>
      <c r="N42" s="521"/>
      <c r="O42" s="523" t="s">
        <v>204</v>
      </c>
      <c r="P42" s="213"/>
      <c r="Q42" s="213"/>
      <c r="R42" s="213"/>
      <c r="S42" s="213"/>
      <c r="T42" s="213"/>
      <c r="U42" s="213"/>
      <c r="V42" s="520"/>
      <c r="W42" s="213"/>
      <c r="X42" s="213"/>
      <c r="Y42" s="213"/>
      <c r="Z42" s="213"/>
    </row>
    <row r="43" spans="1:26" s="212" customFormat="1" ht="19.5" customHeight="1" thickBot="1">
      <c r="A43" s="509"/>
      <c r="B43" s="489"/>
      <c r="C43" s="512" t="s">
        <v>652</v>
      </c>
      <c r="D43" s="512"/>
      <c r="E43" s="509"/>
      <c r="F43" s="513" t="s">
        <v>653</v>
      </c>
      <c r="G43" s="513"/>
      <c r="H43" s="513"/>
      <c r="I43" s="513"/>
      <c r="J43" s="513"/>
      <c r="K43" s="513"/>
      <c r="L43" s="509"/>
      <c r="M43" s="522"/>
      <c r="N43" s="522"/>
      <c r="O43" s="523"/>
      <c r="P43" s="529"/>
      <c r="Q43" s="529"/>
      <c r="R43" s="213"/>
      <c r="S43" s="213"/>
      <c r="T43" s="213"/>
      <c r="U43" s="213"/>
      <c r="V43" s="213"/>
      <c r="W43" s="213"/>
      <c r="X43" s="213"/>
      <c r="Y43" s="213"/>
      <c r="Z43" s="213"/>
    </row>
    <row r="44" spans="1:26" s="212" customFormat="1" ht="13.5" customHeight="1">
      <c r="A44" s="219"/>
      <c r="B44" s="213"/>
      <c r="C44" s="213"/>
      <c r="D44" s="213"/>
      <c r="E44" s="213"/>
      <c r="F44" s="213"/>
      <c r="G44" s="213"/>
      <c r="H44" s="213"/>
      <c r="I44" s="213"/>
      <c r="J44" s="213"/>
      <c r="K44" s="213"/>
      <c r="L44" s="213"/>
      <c r="M44" s="213"/>
      <c r="N44" s="213"/>
      <c r="O44" s="213"/>
      <c r="P44" s="529"/>
      <c r="Q44" s="529"/>
      <c r="R44" s="213"/>
      <c r="S44" s="213"/>
      <c r="T44" s="213"/>
      <c r="U44" s="213"/>
      <c r="V44" s="213"/>
      <c r="W44" s="213"/>
      <c r="X44" s="213"/>
      <c r="Y44" s="213"/>
      <c r="Z44" s="213"/>
    </row>
    <row r="45" spans="1:26" s="212" customFormat="1" ht="11.4">
      <c r="A45" s="219"/>
      <c r="B45" s="213"/>
      <c r="C45" s="213"/>
      <c r="D45" s="213"/>
      <c r="E45" s="213"/>
      <c r="F45" s="213"/>
      <c r="G45" s="213"/>
      <c r="H45" s="213"/>
      <c r="I45" s="213"/>
      <c r="J45" s="213"/>
      <c r="K45" s="213"/>
      <c r="L45" s="213"/>
      <c r="M45" s="213"/>
      <c r="N45" s="213"/>
      <c r="O45" s="213"/>
      <c r="P45" s="213"/>
      <c r="Q45" s="213"/>
      <c r="R45" s="213"/>
      <c r="S45" s="213"/>
      <c r="T45" s="213"/>
      <c r="U45" s="213"/>
      <c r="V45" s="213"/>
      <c r="W45" s="213"/>
      <c r="X45" s="213"/>
      <c r="Y45" s="213"/>
      <c r="Z45" s="213"/>
    </row>
    <row r="46" spans="1:26">
      <c r="A46" s="219"/>
      <c r="B46" s="213"/>
      <c r="C46" s="213"/>
      <c r="D46" s="213"/>
      <c r="E46" s="213"/>
      <c r="F46" s="213"/>
      <c r="G46" s="213"/>
      <c r="H46" s="213"/>
      <c r="I46" s="213"/>
      <c r="J46" s="213"/>
      <c r="K46" s="213"/>
      <c r="L46" s="213"/>
      <c r="M46" s="213"/>
      <c r="N46" s="213"/>
      <c r="O46" s="213"/>
      <c r="P46" s="213"/>
      <c r="Q46" s="213"/>
      <c r="R46" s="213"/>
      <c r="S46" s="213"/>
      <c r="T46" s="213"/>
      <c r="U46" s="213"/>
      <c r="V46" s="213"/>
      <c r="W46" s="213"/>
      <c r="X46" s="213"/>
      <c r="Y46" s="213"/>
      <c r="Z46" s="213"/>
    </row>
    <row r="47" spans="1:26">
      <c r="A47" s="219"/>
      <c r="B47" s="213"/>
      <c r="C47" s="213"/>
      <c r="D47" s="213"/>
      <c r="E47" s="213"/>
      <c r="F47" s="213"/>
      <c r="G47" s="213"/>
      <c r="H47" s="213"/>
      <c r="I47" s="213"/>
      <c r="J47" s="213"/>
      <c r="K47" s="213"/>
      <c r="L47" s="213"/>
      <c r="M47" s="213"/>
      <c r="N47" s="213"/>
      <c r="O47" s="213"/>
      <c r="P47" s="213"/>
      <c r="Q47" s="213"/>
      <c r="R47" s="213"/>
      <c r="S47" s="213"/>
      <c r="T47" s="213"/>
      <c r="U47" s="213"/>
      <c r="V47" s="213"/>
      <c r="W47" s="213"/>
      <c r="X47" s="213"/>
      <c r="Y47" s="213"/>
      <c r="Z47" s="213"/>
    </row>
    <row r="48" spans="1:26" hidden="1">
      <c r="A48" s="219"/>
      <c r="B48" s="213"/>
      <c r="C48" s="213"/>
      <c r="D48" s="213" t="s">
        <v>654</v>
      </c>
      <c r="E48" s="244"/>
      <c r="F48" s="213"/>
      <c r="G48" s="213"/>
      <c r="H48" s="213" t="s">
        <v>741</v>
      </c>
      <c r="I48" s="213"/>
      <c r="J48" s="213"/>
      <c r="K48" s="213"/>
      <c r="L48" s="213"/>
      <c r="M48" s="213"/>
      <c r="N48" s="213"/>
      <c r="O48" s="213"/>
      <c r="P48" s="213"/>
      <c r="Q48" s="213"/>
      <c r="R48" s="213"/>
      <c r="S48" s="213"/>
      <c r="T48" s="213"/>
      <c r="U48" s="213"/>
      <c r="V48" s="213"/>
      <c r="W48" s="213"/>
      <c r="X48" s="213"/>
      <c r="Y48" s="213"/>
      <c r="Z48" s="213"/>
    </row>
    <row r="49" spans="1:26" hidden="1">
      <c r="A49" s="219"/>
      <c r="B49" s="213"/>
      <c r="C49" s="213"/>
      <c r="D49" s="213">
        <f>'SP5-4'!G28*J37</f>
        <v>0</v>
      </c>
      <c r="E49" s="244" t="s">
        <v>655</v>
      </c>
      <c r="F49" s="213"/>
      <c r="G49" s="213"/>
      <c r="H49" s="245" t="e">
        <f>'SP5-4'!G29</f>
        <v>#DIV/0!</v>
      </c>
      <c r="I49" s="244" t="s">
        <v>742</v>
      </c>
      <c r="J49" s="213"/>
      <c r="K49" s="213"/>
      <c r="L49" s="213"/>
      <c r="M49" s="213"/>
      <c r="N49" s="213"/>
      <c r="O49" s="213"/>
      <c r="P49" s="213"/>
      <c r="Q49" s="213"/>
      <c r="R49" s="213"/>
      <c r="S49" s="213"/>
      <c r="T49" s="213"/>
      <c r="U49" s="213"/>
      <c r="V49" s="213"/>
      <c r="W49" s="213"/>
      <c r="X49" s="213"/>
      <c r="Y49" s="213"/>
      <c r="Z49" s="213"/>
    </row>
    <row r="50" spans="1:26" hidden="1">
      <c r="A50" s="219"/>
      <c r="B50" s="213"/>
      <c r="C50" s="213"/>
      <c r="D50" s="213">
        <f>'SP5-5'!G25*J38</f>
        <v>0</v>
      </c>
      <c r="E50" s="244" t="s">
        <v>656</v>
      </c>
      <c r="F50" s="213"/>
      <c r="G50" s="213"/>
      <c r="H50" s="213"/>
      <c r="I50" s="244" t="s">
        <v>656</v>
      </c>
      <c r="J50" s="213"/>
      <c r="K50" s="213"/>
      <c r="L50" s="213"/>
      <c r="M50" s="213"/>
      <c r="N50" s="213"/>
      <c r="O50" s="213"/>
      <c r="P50" s="213"/>
      <c r="Q50" s="213"/>
      <c r="R50" s="213"/>
      <c r="S50" s="213"/>
      <c r="T50" s="213"/>
      <c r="U50" s="213"/>
      <c r="V50" s="213"/>
      <c r="W50" s="213"/>
      <c r="X50" s="213"/>
      <c r="Y50" s="213"/>
      <c r="Z50" s="213"/>
    </row>
    <row r="51" spans="1:26" hidden="1">
      <c r="A51" s="219"/>
      <c r="B51" s="213"/>
      <c r="C51" s="213"/>
      <c r="D51" s="213">
        <f>'SP5-6'!D45*J39</f>
        <v>0</v>
      </c>
      <c r="E51" s="244" t="s">
        <v>657</v>
      </c>
      <c r="F51" s="213"/>
      <c r="G51" s="213"/>
      <c r="H51" s="244" t="e">
        <f>'SP5-6'!D65</f>
        <v>#VALUE!</v>
      </c>
      <c r="I51" s="244" t="s">
        <v>743</v>
      </c>
      <c r="J51" s="213"/>
      <c r="K51" s="213"/>
      <c r="L51" s="213"/>
      <c r="M51" s="213"/>
      <c r="N51" s="213"/>
      <c r="O51" s="213"/>
      <c r="P51" s="213"/>
      <c r="Q51" s="213"/>
      <c r="R51" s="213"/>
      <c r="S51" s="213"/>
      <c r="T51" s="213"/>
      <c r="U51" s="213"/>
      <c r="V51" s="213"/>
      <c r="W51" s="213"/>
      <c r="X51" s="213"/>
      <c r="Y51" s="213"/>
      <c r="Z51" s="213"/>
    </row>
    <row r="52" spans="1:26" hidden="1">
      <c r="A52" s="219"/>
      <c r="B52" s="213"/>
      <c r="C52" s="213"/>
      <c r="D52" s="213"/>
      <c r="E52" s="213"/>
      <c r="F52" s="213"/>
      <c r="G52" s="213"/>
      <c r="H52" s="213"/>
      <c r="I52" s="213"/>
      <c r="J52" s="213"/>
      <c r="K52" s="213"/>
      <c r="L52" s="213"/>
      <c r="M52" s="213"/>
      <c r="N52" s="213"/>
      <c r="O52" s="213"/>
      <c r="P52" s="213"/>
      <c r="Q52" s="213"/>
      <c r="R52" s="213"/>
      <c r="S52" s="213"/>
      <c r="T52" s="213"/>
      <c r="U52" s="213"/>
      <c r="V52" s="213"/>
      <c r="W52" s="213"/>
      <c r="X52" s="213"/>
      <c r="Y52" s="213"/>
      <c r="Z52" s="213"/>
    </row>
    <row r="53" spans="1:26" hidden="1">
      <c r="A53" s="219"/>
      <c r="B53" s="213"/>
      <c r="C53" s="213"/>
      <c r="E53" s="213"/>
      <c r="F53" s="213"/>
      <c r="G53" s="213"/>
      <c r="H53" s="213"/>
      <c r="I53" s="213"/>
      <c r="J53" s="213"/>
      <c r="K53" s="213"/>
      <c r="L53" s="213"/>
      <c r="M53" s="213"/>
      <c r="N53" s="213"/>
      <c r="O53" s="213"/>
      <c r="P53" s="213"/>
      <c r="Q53" s="213"/>
      <c r="R53" s="213"/>
      <c r="S53" s="213"/>
      <c r="T53" s="213"/>
      <c r="U53" s="213"/>
      <c r="V53" s="213"/>
      <c r="W53" s="213"/>
      <c r="X53" s="213"/>
      <c r="Y53" s="213"/>
      <c r="Z53" s="213"/>
    </row>
    <row r="54" spans="1:26" hidden="1">
      <c r="A54" s="219"/>
      <c r="B54" s="213"/>
      <c r="C54" s="213"/>
      <c r="D54" s="213"/>
      <c r="E54" s="213"/>
      <c r="F54" s="213"/>
      <c r="G54" s="213"/>
      <c r="H54" s="213"/>
      <c r="I54" s="213"/>
      <c r="J54" s="213"/>
      <c r="K54" s="213"/>
      <c r="L54" s="213"/>
      <c r="M54" s="213"/>
      <c r="N54" s="213"/>
      <c r="O54" s="213"/>
      <c r="P54" s="213"/>
      <c r="Q54" s="213"/>
      <c r="R54" s="213"/>
      <c r="S54" s="213"/>
      <c r="T54" s="213"/>
      <c r="U54" s="213"/>
      <c r="V54" s="213"/>
      <c r="W54" s="213"/>
      <c r="X54" s="213"/>
      <c r="Y54" s="213"/>
      <c r="Z54" s="213"/>
    </row>
    <row r="55" spans="1:26" ht="14.4" hidden="1" customHeight="1">
      <c r="A55" s="213"/>
      <c r="B55" s="213"/>
      <c r="C55" s="213"/>
      <c r="D55" s="213"/>
      <c r="E55" s="213"/>
      <c r="F55" s="213"/>
      <c r="G55" s="213"/>
      <c r="H55" s="213"/>
      <c r="I55" s="213"/>
      <c r="J55" s="213"/>
      <c r="K55" s="213"/>
      <c r="L55" s="213"/>
      <c r="M55" s="213"/>
      <c r="N55" s="213"/>
      <c r="O55" s="213"/>
      <c r="P55" s="213"/>
      <c r="Q55" s="213"/>
      <c r="R55" s="213"/>
      <c r="S55" s="213"/>
      <c r="T55" s="213"/>
      <c r="U55" s="213"/>
      <c r="V55" s="213"/>
      <c r="W55" s="213"/>
      <c r="X55" s="213"/>
      <c r="Y55" s="213"/>
      <c r="Z55" s="213"/>
    </row>
    <row r="56" spans="1:26" hidden="1">
      <c r="A56" s="213"/>
      <c r="B56" s="219"/>
      <c r="C56" s="213">
        <f>Tables!$O$11</f>
        <v>0.99016372140870601</v>
      </c>
      <c r="D56" s="213">
        <f>Tables!$O$12</f>
        <v>0</v>
      </c>
      <c r="E56" s="213">
        <f>Tables!$O$13</f>
        <v>0.49344788445523591</v>
      </c>
      <c r="F56" s="213">
        <f>Tables!$O$14</f>
        <v>0</v>
      </c>
      <c r="G56" s="213"/>
      <c r="H56" s="518">
        <f>D56-C56+K56*(F56-E56)</f>
        <v>-0.99016372140870601</v>
      </c>
      <c r="I56" s="518"/>
      <c r="J56" s="518"/>
      <c r="K56" s="519">
        <f>I29</f>
        <v>0</v>
      </c>
      <c r="L56" s="518"/>
      <c r="M56" s="518"/>
      <c r="N56" s="518"/>
      <c r="O56" s="518"/>
      <c r="P56" s="213"/>
      <c r="Q56" s="213"/>
      <c r="R56" s="213"/>
      <c r="S56" s="213"/>
      <c r="T56" s="213"/>
      <c r="U56" s="213"/>
      <c r="V56" s="213"/>
      <c r="W56" s="213"/>
      <c r="X56" s="213"/>
      <c r="Y56" s="213"/>
      <c r="Z56" s="213"/>
    </row>
    <row r="57" spans="1:26" hidden="1">
      <c r="A57" s="213"/>
      <c r="B57" s="219"/>
      <c r="C57" s="213"/>
      <c r="D57" s="213"/>
      <c r="E57" s="213"/>
      <c r="F57" s="213"/>
      <c r="G57" s="213"/>
      <c r="H57" s="213"/>
      <c r="I57" s="213"/>
      <c r="J57" s="213"/>
      <c r="K57" s="213"/>
      <c r="L57" s="213"/>
      <c r="M57" s="213"/>
      <c r="N57" s="213"/>
      <c r="O57" s="213"/>
      <c r="P57" s="213"/>
      <c r="Q57" s="213"/>
      <c r="R57" s="213"/>
      <c r="S57" s="213"/>
      <c r="T57" s="213"/>
      <c r="U57" s="213"/>
      <c r="V57" s="213"/>
      <c r="W57" s="213"/>
      <c r="X57" s="213"/>
      <c r="Y57" s="213"/>
      <c r="Z57" s="213"/>
    </row>
    <row r="58" spans="1:26" hidden="1">
      <c r="A58" s="213"/>
      <c r="B58" s="219">
        <v>2024</v>
      </c>
      <c r="C58" s="213"/>
      <c r="D58" s="213"/>
      <c r="E58" s="213"/>
      <c r="F58" s="213"/>
      <c r="G58" s="213"/>
      <c r="H58" s="213" t="str">
        <f>'SP5-6'!H49</f>
        <v>Motorway</v>
      </c>
      <c r="I58" s="213"/>
      <c r="J58" s="213"/>
      <c r="K58" s="213"/>
      <c r="L58" s="213"/>
      <c r="M58" s="213"/>
      <c r="N58" s="213"/>
      <c r="O58" s="213"/>
      <c r="P58" s="213"/>
      <c r="Q58" s="213"/>
      <c r="R58" s="213"/>
      <c r="S58" s="213"/>
      <c r="T58" s="213"/>
      <c r="U58" s="213"/>
      <c r="V58" s="213"/>
      <c r="W58" s="213"/>
      <c r="X58" s="213"/>
      <c r="Y58" s="213"/>
      <c r="Z58" s="213"/>
    </row>
    <row r="59" spans="1:26" hidden="1">
      <c r="A59" s="213" t="s">
        <v>586</v>
      </c>
      <c r="B59" s="213">
        <v>2025</v>
      </c>
      <c r="C59" s="213"/>
      <c r="D59" s="213"/>
      <c r="E59" s="213"/>
      <c r="F59" s="213"/>
      <c r="G59" s="213"/>
      <c r="H59" s="213"/>
      <c r="I59" s="213"/>
      <c r="J59" s="213"/>
      <c r="K59" s="213"/>
      <c r="L59" s="213"/>
      <c r="M59" s="213"/>
      <c r="N59" s="213"/>
      <c r="O59" s="213"/>
      <c r="P59" s="213"/>
      <c r="Q59" s="213"/>
      <c r="R59" s="213"/>
      <c r="S59" s="213"/>
      <c r="T59" s="213"/>
      <c r="U59" s="213"/>
      <c r="V59" s="213"/>
      <c r="W59" s="213"/>
      <c r="X59" s="213"/>
      <c r="Y59" s="213"/>
      <c r="Z59" s="213"/>
    </row>
    <row r="60" spans="1:26" hidden="1">
      <c r="A60" s="213" t="s">
        <v>587</v>
      </c>
      <c r="B60" s="213">
        <v>2026</v>
      </c>
      <c r="C60" s="213"/>
      <c r="D60" s="213"/>
      <c r="E60" s="213"/>
      <c r="F60" s="213"/>
      <c r="G60" s="213"/>
      <c r="H60" s="213"/>
      <c r="I60" s="213"/>
      <c r="J60" s="213"/>
      <c r="K60" s="213"/>
      <c r="L60" s="213"/>
      <c r="M60" s="213"/>
      <c r="N60" s="213"/>
      <c r="O60" s="213"/>
      <c r="P60" s="213"/>
      <c r="Q60" s="213"/>
      <c r="R60" s="213"/>
      <c r="S60" s="213"/>
      <c r="T60" s="213"/>
      <c r="U60" s="213"/>
      <c r="V60" s="213"/>
      <c r="W60" s="213"/>
      <c r="X60" s="213"/>
      <c r="Y60" s="213"/>
      <c r="Z60" s="213"/>
    </row>
    <row r="61" spans="1:26" hidden="1">
      <c r="A61" s="213" t="s">
        <v>588</v>
      </c>
      <c r="B61" s="213">
        <v>2027</v>
      </c>
      <c r="C61" s="213"/>
      <c r="D61" s="213"/>
      <c r="E61" s="213"/>
      <c r="F61" s="213"/>
      <c r="G61" s="213"/>
      <c r="H61" s="213"/>
      <c r="I61" s="213"/>
      <c r="J61" s="213"/>
      <c r="K61" s="213"/>
      <c r="L61" s="213"/>
      <c r="M61" s="213"/>
      <c r="N61" s="213"/>
      <c r="O61" s="213"/>
      <c r="P61" s="213"/>
      <c r="Q61" s="213"/>
      <c r="R61" s="213"/>
      <c r="S61" s="213"/>
      <c r="T61" s="213"/>
      <c r="U61" s="213"/>
      <c r="V61" s="213"/>
      <c r="W61" s="213"/>
      <c r="X61" s="213"/>
      <c r="Y61" s="213"/>
      <c r="Z61" s="213"/>
    </row>
    <row r="62" spans="1:26" hidden="1">
      <c r="A62" s="213" t="s">
        <v>590</v>
      </c>
      <c r="B62" s="213">
        <v>2028</v>
      </c>
      <c r="C62" s="213"/>
      <c r="D62" s="213"/>
      <c r="E62" s="213"/>
      <c r="F62" s="213"/>
      <c r="G62" s="213"/>
      <c r="H62" s="213"/>
      <c r="I62" s="213"/>
      <c r="J62" s="213"/>
      <c r="K62" s="213"/>
      <c r="L62" s="213"/>
      <c r="M62" s="213"/>
      <c r="N62" s="213"/>
      <c r="O62" s="213"/>
      <c r="P62" s="213"/>
      <c r="Q62" s="213"/>
      <c r="R62" s="213"/>
      <c r="S62" s="213"/>
      <c r="T62" s="213"/>
      <c r="U62" s="213"/>
      <c r="V62" s="213"/>
      <c r="W62" s="213"/>
      <c r="X62" s="213"/>
      <c r="Y62" s="213"/>
      <c r="Z62" s="213"/>
    </row>
    <row r="63" spans="1:26" hidden="1">
      <c r="A63" s="213" t="s">
        <v>591</v>
      </c>
      <c r="B63" s="213">
        <v>2029</v>
      </c>
      <c r="C63" s="213"/>
      <c r="D63" s="213"/>
      <c r="E63" s="213"/>
      <c r="F63" s="213"/>
      <c r="G63" s="213"/>
      <c r="H63" s="213"/>
      <c r="I63" s="213"/>
      <c r="J63" s="213"/>
      <c r="K63" s="213"/>
      <c r="L63" s="213"/>
      <c r="M63" s="213"/>
      <c r="N63" s="213"/>
      <c r="O63" s="213"/>
      <c r="P63" s="213"/>
      <c r="Q63" s="213"/>
      <c r="R63" s="213"/>
      <c r="S63" s="213"/>
      <c r="T63" s="213"/>
      <c r="U63" s="213"/>
      <c r="V63" s="213"/>
      <c r="W63" s="213"/>
      <c r="X63" s="213"/>
      <c r="Y63" s="213"/>
      <c r="Z63" s="213"/>
    </row>
    <row r="64" spans="1:26" hidden="1">
      <c r="A64" s="213" t="s">
        <v>592</v>
      </c>
      <c r="B64" s="213">
        <v>2030</v>
      </c>
      <c r="C64" s="213"/>
      <c r="D64" s="213"/>
      <c r="E64" s="213"/>
      <c r="F64" s="213"/>
      <c r="G64" s="213"/>
      <c r="H64" s="213"/>
      <c r="I64" s="213"/>
      <c r="J64" s="213"/>
      <c r="K64" s="213"/>
      <c r="L64" s="213"/>
      <c r="M64" s="213"/>
      <c r="N64" s="213"/>
      <c r="O64" s="213"/>
      <c r="P64" s="213"/>
      <c r="Q64" s="213"/>
      <c r="R64" s="213"/>
      <c r="S64" s="213"/>
      <c r="T64" s="213"/>
      <c r="U64" s="213"/>
      <c r="V64" s="213"/>
      <c r="W64" s="213"/>
      <c r="X64" s="213"/>
      <c r="Y64" s="213"/>
      <c r="Z64" s="213"/>
    </row>
    <row r="65" spans="1:26" hidden="1">
      <c r="A65" s="213" t="s">
        <v>593</v>
      </c>
      <c r="B65" s="213">
        <v>2031</v>
      </c>
      <c r="C65" s="213"/>
      <c r="D65" s="213"/>
      <c r="E65" s="213"/>
      <c r="F65" s="213"/>
      <c r="G65" s="213"/>
      <c r="H65" s="213"/>
      <c r="I65" s="213"/>
      <c r="J65" s="213"/>
      <c r="K65" s="213"/>
      <c r="L65" s="213"/>
      <c r="M65" s="213"/>
      <c r="N65" s="213"/>
      <c r="O65" s="213"/>
      <c r="P65" s="213"/>
      <c r="Q65" s="213"/>
      <c r="R65" s="213"/>
      <c r="S65" s="213"/>
      <c r="T65" s="213"/>
      <c r="U65" s="213"/>
      <c r="V65" s="213"/>
      <c r="W65" s="213"/>
      <c r="X65" s="213"/>
      <c r="Y65" s="213"/>
      <c r="Z65" s="213"/>
    </row>
    <row r="66" spans="1:26" hidden="1">
      <c r="A66" s="213" t="s">
        <v>594</v>
      </c>
      <c r="B66" s="213">
        <v>2032</v>
      </c>
      <c r="C66" s="213"/>
      <c r="D66" s="213"/>
      <c r="E66" s="213"/>
      <c r="F66" s="213"/>
      <c r="G66" s="213"/>
      <c r="H66" s="213"/>
      <c r="I66" s="213"/>
      <c r="J66" s="213"/>
      <c r="K66" s="213"/>
      <c r="L66" s="213"/>
      <c r="M66" s="213"/>
      <c r="N66" s="213"/>
      <c r="O66" s="213"/>
      <c r="P66" s="213"/>
      <c r="Q66" s="213"/>
      <c r="R66" s="213"/>
      <c r="S66" s="213"/>
      <c r="T66" s="213"/>
      <c r="U66" s="213"/>
      <c r="V66" s="213"/>
      <c r="W66" s="213"/>
      <c r="X66" s="213"/>
      <c r="Y66" s="213"/>
      <c r="Z66" s="213"/>
    </row>
    <row r="67" spans="1:26" hidden="1">
      <c r="A67" s="213" t="s">
        <v>595</v>
      </c>
      <c r="B67" s="213">
        <v>2033</v>
      </c>
      <c r="C67" s="213"/>
      <c r="D67" s="213"/>
      <c r="E67" s="213"/>
      <c r="F67" s="213"/>
      <c r="G67" s="213"/>
      <c r="H67" s="213"/>
      <c r="I67" s="213"/>
      <c r="J67" s="213"/>
      <c r="K67" s="213"/>
      <c r="L67" s="213"/>
      <c r="M67" s="213"/>
      <c r="N67" s="213"/>
      <c r="O67" s="213"/>
      <c r="P67" s="213"/>
      <c r="Q67" s="213"/>
      <c r="R67" s="213"/>
      <c r="S67" s="213"/>
      <c r="T67" s="213"/>
      <c r="U67" s="213"/>
      <c r="V67" s="213"/>
      <c r="W67" s="213"/>
      <c r="X67" s="213"/>
      <c r="Y67" s="213"/>
      <c r="Z67" s="213"/>
    </row>
    <row r="68" spans="1:26" hidden="1">
      <c r="A68" s="213" t="s">
        <v>596</v>
      </c>
      <c r="B68" s="213">
        <v>2034</v>
      </c>
      <c r="C68" s="213"/>
      <c r="D68" s="213"/>
      <c r="E68" s="213"/>
      <c r="F68" s="213"/>
      <c r="G68" s="213"/>
      <c r="H68" s="213"/>
      <c r="I68" s="213"/>
      <c r="J68" s="213"/>
      <c r="K68" s="213"/>
      <c r="L68" s="213"/>
      <c r="M68" s="213"/>
      <c r="N68" s="213"/>
      <c r="O68" s="213"/>
      <c r="P68" s="213"/>
      <c r="Q68" s="213"/>
      <c r="R68" s="213"/>
      <c r="S68" s="213"/>
      <c r="T68" s="213"/>
      <c r="U68" s="213"/>
      <c r="V68" s="213"/>
      <c r="W68" s="213"/>
      <c r="X68" s="213"/>
      <c r="Y68" s="213"/>
      <c r="Z68" s="213"/>
    </row>
    <row r="69" spans="1:26" hidden="1">
      <c r="A69" s="213" t="s">
        <v>597</v>
      </c>
      <c r="B69" s="213">
        <v>2035</v>
      </c>
      <c r="C69" s="213"/>
      <c r="D69" s="213"/>
      <c r="E69" s="213"/>
      <c r="F69" s="213"/>
      <c r="G69" s="213"/>
      <c r="H69" s="213"/>
      <c r="I69" s="213"/>
      <c r="J69" s="213"/>
      <c r="K69" s="213"/>
      <c r="L69" s="213"/>
      <c r="M69" s="213"/>
      <c r="N69" s="213"/>
      <c r="O69" s="213"/>
      <c r="P69" s="213"/>
      <c r="Q69" s="213"/>
      <c r="R69" s="213"/>
      <c r="S69" s="213"/>
      <c r="T69" s="213"/>
      <c r="U69" s="213"/>
      <c r="V69" s="213"/>
      <c r="W69" s="213"/>
      <c r="X69" s="213"/>
      <c r="Y69" s="213"/>
      <c r="Z69" s="213"/>
    </row>
    <row r="70" spans="1:26" hidden="1">
      <c r="A70" s="213" t="s">
        <v>598</v>
      </c>
      <c r="B70" s="213">
        <v>2036</v>
      </c>
      <c r="C70" s="213"/>
      <c r="D70" s="213"/>
      <c r="E70" s="213"/>
      <c r="F70" s="213"/>
      <c r="G70" s="213"/>
      <c r="H70" s="213"/>
      <c r="I70" s="213"/>
      <c r="J70" s="213"/>
      <c r="K70" s="213"/>
      <c r="L70" s="213"/>
      <c r="M70" s="213"/>
      <c r="N70" s="213"/>
      <c r="O70" s="213"/>
      <c r="P70" s="213"/>
      <c r="Q70" s="213"/>
      <c r="R70" s="213"/>
      <c r="S70" s="213"/>
      <c r="T70" s="213"/>
      <c r="U70" s="213"/>
      <c r="V70" s="213"/>
      <c r="W70" s="213"/>
      <c r="X70" s="213"/>
      <c r="Y70" s="213"/>
      <c r="Z70" s="213"/>
    </row>
    <row r="71" spans="1:26" hidden="1">
      <c r="A71" s="213" t="s">
        <v>599</v>
      </c>
      <c r="B71" s="213">
        <v>2037</v>
      </c>
    </row>
    <row r="72" spans="1:26" hidden="1">
      <c r="A72" s="219" t="s">
        <v>600</v>
      </c>
      <c r="B72" s="213">
        <v>2038</v>
      </c>
    </row>
    <row r="73" spans="1:26" hidden="1">
      <c r="A73" s="213" t="s">
        <v>601</v>
      </c>
      <c r="B73" s="213">
        <v>2039</v>
      </c>
    </row>
    <row r="74" spans="1:26" hidden="1">
      <c r="A74" s="213" t="s">
        <v>602</v>
      </c>
      <c r="B74" s="213">
        <v>2040</v>
      </c>
    </row>
    <row r="75" spans="1:26" hidden="1">
      <c r="A75" s="213" t="s">
        <v>603</v>
      </c>
      <c r="B75" s="213">
        <v>2041</v>
      </c>
    </row>
    <row r="76" spans="1:26" hidden="1">
      <c r="A76" s="219" t="s">
        <v>604</v>
      </c>
      <c r="B76" s="213">
        <v>2042</v>
      </c>
    </row>
    <row r="77" spans="1:26" hidden="1">
      <c r="A77" s="213" t="s">
        <v>605</v>
      </c>
      <c r="B77" s="213">
        <v>2043</v>
      </c>
    </row>
    <row r="78" spans="1:26" hidden="1">
      <c r="A78" s="219" t="s">
        <v>606</v>
      </c>
      <c r="B78" s="213">
        <v>2044</v>
      </c>
    </row>
    <row r="79" spans="1:26" hidden="1">
      <c r="A79" s="213" t="s">
        <v>607</v>
      </c>
      <c r="B79" s="213">
        <v>2045</v>
      </c>
    </row>
    <row r="80" spans="1:26" hidden="1">
      <c r="A80" s="213" t="s">
        <v>608</v>
      </c>
      <c r="B80" s="213">
        <v>2046</v>
      </c>
    </row>
    <row r="81" spans="1:2" hidden="1">
      <c r="A81" s="213" t="s">
        <v>609</v>
      </c>
      <c r="B81" s="213">
        <v>2047</v>
      </c>
    </row>
    <row r="82" spans="1:2" hidden="1">
      <c r="A82" s="213" t="s">
        <v>610</v>
      </c>
      <c r="B82" s="213">
        <v>2048</v>
      </c>
    </row>
    <row r="83" spans="1:2" hidden="1">
      <c r="A83" s="213" t="s">
        <v>611</v>
      </c>
      <c r="B83" s="213">
        <v>2049</v>
      </c>
    </row>
    <row r="84" spans="1:2" hidden="1">
      <c r="A84" s="213" t="s">
        <v>612</v>
      </c>
      <c r="B84" s="213">
        <v>2050</v>
      </c>
    </row>
    <row r="85" spans="1:2" hidden="1">
      <c r="A85" s="213" t="s">
        <v>613</v>
      </c>
      <c r="B85" s="213">
        <v>2051</v>
      </c>
    </row>
    <row r="86" spans="1:2" hidden="1">
      <c r="A86" s="213" t="s">
        <v>614</v>
      </c>
      <c r="B86" s="213">
        <v>2052</v>
      </c>
    </row>
    <row r="87" spans="1:2" hidden="1">
      <c r="A87" s="213" t="s">
        <v>615</v>
      </c>
      <c r="B87" s="213">
        <v>2053</v>
      </c>
    </row>
    <row r="88" spans="1:2" hidden="1">
      <c r="A88" s="213" t="s">
        <v>616</v>
      </c>
      <c r="B88" s="213">
        <v>2054</v>
      </c>
    </row>
    <row r="89" spans="1:2" hidden="1">
      <c r="A89" s="213" t="s">
        <v>617</v>
      </c>
      <c r="B89" s="213">
        <v>2055</v>
      </c>
    </row>
    <row r="90" spans="1:2" hidden="1">
      <c r="A90" s="217"/>
      <c r="B90" s="213">
        <v>2056</v>
      </c>
    </row>
    <row r="91" spans="1:2" hidden="1">
      <c r="B91" s="213">
        <v>2057</v>
      </c>
    </row>
    <row r="92" spans="1:2" hidden="1">
      <c r="B92" s="213">
        <v>2058</v>
      </c>
    </row>
    <row r="93" spans="1:2" hidden="1">
      <c r="B93" s="213">
        <v>2059</v>
      </c>
    </row>
    <row r="94" spans="1:2" hidden="1">
      <c r="B94" s="213">
        <v>2060</v>
      </c>
    </row>
    <row r="95" spans="1:2" hidden="1">
      <c r="B95" s="213">
        <v>2061</v>
      </c>
    </row>
    <row r="96" spans="1:2" hidden="1">
      <c r="B96" s="213">
        <v>2062</v>
      </c>
    </row>
    <row r="97" spans="2:2" hidden="1">
      <c r="B97" s="213">
        <v>2063</v>
      </c>
    </row>
    <row r="98" spans="2:2" hidden="1">
      <c r="B98" s="213">
        <v>2064</v>
      </c>
    </row>
    <row r="99" spans="2:2" hidden="1">
      <c r="B99" s="213">
        <v>2065</v>
      </c>
    </row>
    <row r="100" spans="2:2" hidden="1">
      <c r="B100" s="213">
        <v>2066</v>
      </c>
    </row>
    <row r="101" spans="2:2" hidden="1">
      <c r="B101" s="213">
        <v>2067</v>
      </c>
    </row>
    <row r="102" spans="2:2" hidden="1">
      <c r="B102" s="213">
        <v>2068</v>
      </c>
    </row>
    <row r="103" spans="2:2" hidden="1">
      <c r="B103" s="213">
        <v>2069</v>
      </c>
    </row>
    <row r="104" spans="2:2" hidden="1">
      <c r="B104" s="213">
        <v>2070</v>
      </c>
    </row>
    <row r="105" spans="2:2" hidden="1">
      <c r="B105" s="213">
        <v>2071</v>
      </c>
    </row>
    <row r="106" spans="2:2" hidden="1">
      <c r="B106" s="213">
        <v>2072</v>
      </c>
    </row>
    <row r="107" spans="2:2" hidden="1">
      <c r="B107" s="213">
        <v>2073</v>
      </c>
    </row>
    <row r="108" spans="2:2" hidden="1">
      <c r="B108" s="213">
        <v>2074</v>
      </c>
    </row>
    <row r="109" spans="2:2" hidden="1"/>
  </sheetData>
  <sheetProtection algorithmName="SHA-512" hashValue="PJh9ZdxVyS1ZDp3WG/gkMXmFUM6ZtYPIat1KcEuSPg4CWjepgOjW7hpNlyyZfEQtCrITyhTh/tAF3nhoR8AB4A==" saltValue="nmAZuLomP/H3xFNb1pt+lw==" spinCount="100000" sheet="1" objects="1" scenarios="1"/>
  <protectedRanges>
    <protectedRange sqref="E37:F39" name="Range15"/>
    <protectedRange sqref="J37:K39" name="Range14"/>
    <protectedRange sqref="M34:N35" name="Range13"/>
    <protectedRange sqref="M34:N35" name="Range12"/>
    <protectedRange sqref="C7:N8" name="Range1_1_1"/>
    <protectedRange sqref="E10:N14" name="Range2_1_1"/>
    <protectedRange sqref="E16:N16" name="Range3_1_1"/>
    <protectedRange sqref="E18:N19" name="Range5_1_1_1"/>
  </protectedRanges>
  <mergeCells count="73">
    <mergeCell ref="H56:J56"/>
    <mergeCell ref="K56:O56"/>
    <mergeCell ref="V41:V42"/>
    <mergeCell ref="A42:A43"/>
    <mergeCell ref="B42:B43"/>
    <mergeCell ref="C42:D42"/>
    <mergeCell ref="E42:E43"/>
    <mergeCell ref="F42:K42"/>
    <mergeCell ref="L42:L43"/>
    <mergeCell ref="M42:N43"/>
    <mergeCell ref="O42:O43"/>
    <mergeCell ref="L40:L41"/>
    <mergeCell ref="M40:N41"/>
    <mergeCell ref="C43:D43"/>
    <mergeCell ref="F43:K43"/>
    <mergeCell ref="P43:Q44"/>
    <mergeCell ref="J41:K41"/>
    <mergeCell ref="M38:N38"/>
    <mergeCell ref="E39:F39"/>
    <mergeCell ref="J39:K39"/>
    <mergeCell ref="M39:N39"/>
    <mergeCell ref="I40:I41"/>
    <mergeCell ref="J40:K40"/>
    <mergeCell ref="A40:A41"/>
    <mergeCell ref="B40:B41"/>
    <mergeCell ref="C40:D40"/>
    <mergeCell ref="E40:E41"/>
    <mergeCell ref="F40:H40"/>
    <mergeCell ref="C41:D41"/>
    <mergeCell ref="F41:H41"/>
    <mergeCell ref="B35:D35"/>
    <mergeCell ref="M35:N35"/>
    <mergeCell ref="Q35:U35"/>
    <mergeCell ref="B36:E36"/>
    <mergeCell ref="E37:F37"/>
    <mergeCell ref="J37:K37"/>
    <mergeCell ref="M37:N37"/>
    <mergeCell ref="Q37:U39"/>
    <mergeCell ref="E38:F38"/>
    <mergeCell ref="J38:K38"/>
    <mergeCell ref="E30:F30"/>
    <mergeCell ref="I30:J30"/>
    <mergeCell ref="E31:F31"/>
    <mergeCell ref="B34:C34"/>
    <mergeCell ref="M34:N34"/>
    <mergeCell ref="Q34:U34"/>
    <mergeCell ref="I26:N26"/>
    <mergeCell ref="I27:N27"/>
    <mergeCell ref="Q27:U27"/>
    <mergeCell ref="I28:N28"/>
    <mergeCell ref="E29:F29"/>
    <mergeCell ref="I29:N29"/>
    <mergeCell ref="Q29:U29"/>
    <mergeCell ref="E18:N18"/>
    <mergeCell ref="E19:N19"/>
    <mergeCell ref="I21:N21"/>
    <mergeCell ref="Q21:U21"/>
    <mergeCell ref="I22:N22"/>
    <mergeCell ref="I23:N23"/>
    <mergeCell ref="I24:N24"/>
    <mergeCell ref="B25:C25"/>
    <mergeCell ref="E11:N11"/>
    <mergeCell ref="E12:N12"/>
    <mergeCell ref="E13:N13"/>
    <mergeCell ref="E14:N14"/>
    <mergeCell ref="E16:N16"/>
    <mergeCell ref="B17:C17"/>
    <mergeCell ref="E10:N10"/>
    <mergeCell ref="B4:O5"/>
    <mergeCell ref="C7:N7"/>
    <mergeCell ref="Q7:U8"/>
    <mergeCell ref="C8:N8"/>
    <mergeCell ref="B9:C9"/>
  </mergeCells>
  <dataValidations count="3">
    <dataValidation type="list" allowBlank="1" showInputMessage="1" sqref="TA27:TF27 ACW27:ADB27 AMS27:AMX27 AWO27:AWT27 BGK27:BGP27 BQG27:BQL27 CAC27:CAH27 CJY27:CKD27 CTU27:CTZ27 DDQ27:DDV27 DNM27:DNR27 DXI27:DXN27 EHE27:EHJ27 ERA27:ERF27 FAW27:FBB27 FKS27:FKX27 FUO27:FUT27 GEK27:GEP27 GOG27:GOL27 GYC27:GYH27 HHY27:HID27 HRU27:HRZ27 IBQ27:IBV27 ILM27:ILR27 IVI27:IVN27 JFE27:JFJ27 JPA27:JPF27 JYW27:JZB27 KIS27:KIX27 KSO27:KST27 LCK27:LCP27 LMG27:LML27 LWC27:LWH27 MFY27:MGD27 MPU27:MPZ27 MZQ27:MZV27 NJM27:NJR27 NTI27:NTN27 ODE27:ODJ27 ONA27:ONF27 OWW27:OXB27 PGS27:PGX27 PQO27:PQT27 QAK27:QAP27 QKG27:QKL27 QUC27:QUH27 RDY27:RED27 RNU27:RNZ27 RXQ27:RXV27 SHM27:SHR27 SRI27:SRN27 TBE27:TBJ27 TLA27:TLF27 TUW27:TVB27 UES27:UEX27 UOO27:UOT27 UYK27:UYP27 VIG27:VIL27 VSC27:VSH27 WBY27:WCD27 WLU27:WLZ27 WVQ27:WVV27 I65563:N65563 JE65563:JJ65563 TA65563:TF65563 ACW65563:ADB65563 AMS65563:AMX65563 AWO65563:AWT65563 BGK65563:BGP65563 BQG65563:BQL65563 CAC65563:CAH65563 CJY65563:CKD65563 CTU65563:CTZ65563 DDQ65563:DDV65563 DNM65563:DNR65563 DXI65563:DXN65563 EHE65563:EHJ65563 ERA65563:ERF65563 FAW65563:FBB65563 FKS65563:FKX65563 FUO65563:FUT65563 GEK65563:GEP65563 GOG65563:GOL65563 GYC65563:GYH65563 HHY65563:HID65563 HRU65563:HRZ65563 IBQ65563:IBV65563 ILM65563:ILR65563 IVI65563:IVN65563 JFE65563:JFJ65563 JPA65563:JPF65563 JYW65563:JZB65563 KIS65563:KIX65563 KSO65563:KST65563 LCK65563:LCP65563 LMG65563:LML65563 LWC65563:LWH65563 MFY65563:MGD65563 MPU65563:MPZ65563 MZQ65563:MZV65563 NJM65563:NJR65563 NTI65563:NTN65563 ODE65563:ODJ65563 ONA65563:ONF65563 OWW65563:OXB65563 PGS65563:PGX65563 PQO65563:PQT65563 QAK65563:QAP65563 QKG65563:QKL65563 QUC65563:QUH65563 RDY65563:RED65563 RNU65563:RNZ65563 RXQ65563:RXV65563 SHM65563:SHR65563 SRI65563:SRN65563 TBE65563:TBJ65563 TLA65563:TLF65563 TUW65563:TVB65563 UES65563:UEX65563 UOO65563:UOT65563 UYK65563:UYP65563 VIG65563:VIL65563 VSC65563:VSH65563 WBY65563:WCD65563 WLU65563:WLZ65563 WVQ65563:WVV65563 I131099:N131099 JE131099:JJ131099 TA131099:TF131099 ACW131099:ADB131099 AMS131099:AMX131099 AWO131099:AWT131099 BGK131099:BGP131099 BQG131099:BQL131099 CAC131099:CAH131099 CJY131099:CKD131099 CTU131099:CTZ131099 DDQ131099:DDV131099 DNM131099:DNR131099 DXI131099:DXN131099 EHE131099:EHJ131099 ERA131099:ERF131099 FAW131099:FBB131099 FKS131099:FKX131099 FUO131099:FUT131099 GEK131099:GEP131099 GOG131099:GOL131099 GYC131099:GYH131099 HHY131099:HID131099 HRU131099:HRZ131099 IBQ131099:IBV131099 ILM131099:ILR131099 IVI131099:IVN131099 JFE131099:JFJ131099 JPA131099:JPF131099 JYW131099:JZB131099 KIS131099:KIX131099 KSO131099:KST131099 LCK131099:LCP131099 LMG131099:LML131099 LWC131099:LWH131099 MFY131099:MGD131099 MPU131099:MPZ131099 MZQ131099:MZV131099 NJM131099:NJR131099 NTI131099:NTN131099 ODE131099:ODJ131099 ONA131099:ONF131099 OWW131099:OXB131099 PGS131099:PGX131099 PQO131099:PQT131099 QAK131099:QAP131099 QKG131099:QKL131099 QUC131099:QUH131099 RDY131099:RED131099 RNU131099:RNZ131099 RXQ131099:RXV131099 SHM131099:SHR131099 SRI131099:SRN131099 TBE131099:TBJ131099 TLA131099:TLF131099 TUW131099:TVB131099 UES131099:UEX131099 UOO131099:UOT131099 UYK131099:UYP131099 VIG131099:VIL131099 VSC131099:VSH131099 WBY131099:WCD131099 WLU131099:WLZ131099 WVQ131099:WVV131099 I196635:N196635 JE196635:JJ196635 TA196635:TF196635 ACW196635:ADB196635 AMS196635:AMX196635 AWO196635:AWT196635 BGK196635:BGP196635 BQG196635:BQL196635 CAC196635:CAH196635 CJY196635:CKD196635 CTU196635:CTZ196635 DDQ196635:DDV196635 DNM196635:DNR196635 DXI196635:DXN196635 EHE196635:EHJ196635 ERA196635:ERF196635 FAW196635:FBB196635 FKS196635:FKX196635 FUO196635:FUT196635 GEK196635:GEP196635 GOG196635:GOL196635 GYC196635:GYH196635 HHY196635:HID196635 HRU196635:HRZ196635 IBQ196635:IBV196635 ILM196635:ILR196635 IVI196635:IVN196635 JFE196635:JFJ196635 JPA196635:JPF196635 JYW196635:JZB196635 KIS196635:KIX196635 KSO196635:KST196635 LCK196635:LCP196635 LMG196635:LML196635 LWC196635:LWH196635 MFY196635:MGD196635 MPU196635:MPZ196635 MZQ196635:MZV196635 NJM196635:NJR196635 NTI196635:NTN196635 ODE196635:ODJ196635 ONA196635:ONF196635 OWW196635:OXB196635 PGS196635:PGX196635 PQO196635:PQT196635 QAK196635:QAP196635 QKG196635:QKL196635 QUC196635:QUH196635 RDY196635:RED196635 RNU196635:RNZ196635 RXQ196635:RXV196635 SHM196635:SHR196635 SRI196635:SRN196635 TBE196635:TBJ196635 TLA196635:TLF196635 TUW196635:TVB196635 UES196635:UEX196635 UOO196635:UOT196635 UYK196635:UYP196635 VIG196635:VIL196635 VSC196635:VSH196635 WBY196635:WCD196635 WLU196635:WLZ196635 WVQ196635:WVV196635 I262171:N262171 JE262171:JJ262171 TA262171:TF262171 ACW262171:ADB262171 AMS262171:AMX262171 AWO262171:AWT262171 BGK262171:BGP262171 BQG262171:BQL262171 CAC262171:CAH262171 CJY262171:CKD262171 CTU262171:CTZ262171 DDQ262171:DDV262171 DNM262171:DNR262171 DXI262171:DXN262171 EHE262171:EHJ262171 ERA262171:ERF262171 FAW262171:FBB262171 FKS262171:FKX262171 FUO262171:FUT262171 GEK262171:GEP262171 GOG262171:GOL262171 GYC262171:GYH262171 HHY262171:HID262171 HRU262171:HRZ262171 IBQ262171:IBV262171 ILM262171:ILR262171 IVI262171:IVN262171 JFE262171:JFJ262171 JPA262171:JPF262171 JYW262171:JZB262171 KIS262171:KIX262171 KSO262171:KST262171 LCK262171:LCP262171 LMG262171:LML262171 LWC262171:LWH262171 MFY262171:MGD262171 MPU262171:MPZ262171 MZQ262171:MZV262171 NJM262171:NJR262171 NTI262171:NTN262171 ODE262171:ODJ262171 ONA262171:ONF262171 OWW262171:OXB262171 PGS262171:PGX262171 PQO262171:PQT262171 QAK262171:QAP262171 QKG262171:QKL262171 QUC262171:QUH262171 RDY262171:RED262171 RNU262171:RNZ262171 RXQ262171:RXV262171 SHM262171:SHR262171 SRI262171:SRN262171 TBE262171:TBJ262171 TLA262171:TLF262171 TUW262171:TVB262171 UES262171:UEX262171 UOO262171:UOT262171 UYK262171:UYP262171 VIG262171:VIL262171 VSC262171:VSH262171 WBY262171:WCD262171 WLU262171:WLZ262171 WVQ262171:WVV262171 I327707:N327707 JE327707:JJ327707 TA327707:TF327707 ACW327707:ADB327707 AMS327707:AMX327707 AWO327707:AWT327707 BGK327707:BGP327707 BQG327707:BQL327707 CAC327707:CAH327707 CJY327707:CKD327707 CTU327707:CTZ327707 DDQ327707:DDV327707 DNM327707:DNR327707 DXI327707:DXN327707 EHE327707:EHJ327707 ERA327707:ERF327707 FAW327707:FBB327707 FKS327707:FKX327707 FUO327707:FUT327707 GEK327707:GEP327707 GOG327707:GOL327707 GYC327707:GYH327707 HHY327707:HID327707 HRU327707:HRZ327707 IBQ327707:IBV327707 ILM327707:ILR327707 IVI327707:IVN327707 JFE327707:JFJ327707 JPA327707:JPF327707 JYW327707:JZB327707 KIS327707:KIX327707 KSO327707:KST327707 LCK327707:LCP327707 LMG327707:LML327707 LWC327707:LWH327707 MFY327707:MGD327707 MPU327707:MPZ327707 MZQ327707:MZV327707 NJM327707:NJR327707 NTI327707:NTN327707 ODE327707:ODJ327707 ONA327707:ONF327707 OWW327707:OXB327707 PGS327707:PGX327707 PQO327707:PQT327707 QAK327707:QAP327707 QKG327707:QKL327707 QUC327707:QUH327707 RDY327707:RED327707 RNU327707:RNZ327707 RXQ327707:RXV327707 SHM327707:SHR327707 SRI327707:SRN327707 TBE327707:TBJ327707 TLA327707:TLF327707 TUW327707:TVB327707 UES327707:UEX327707 UOO327707:UOT327707 UYK327707:UYP327707 VIG327707:VIL327707 VSC327707:VSH327707 WBY327707:WCD327707 WLU327707:WLZ327707 WVQ327707:WVV327707 I393243:N393243 JE393243:JJ393243 TA393243:TF393243 ACW393243:ADB393243 AMS393243:AMX393243 AWO393243:AWT393243 BGK393243:BGP393243 BQG393243:BQL393243 CAC393243:CAH393243 CJY393243:CKD393243 CTU393243:CTZ393243 DDQ393243:DDV393243 DNM393243:DNR393243 DXI393243:DXN393243 EHE393243:EHJ393243 ERA393243:ERF393243 FAW393243:FBB393243 FKS393243:FKX393243 FUO393243:FUT393243 GEK393243:GEP393243 GOG393243:GOL393243 GYC393243:GYH393243 HHY393243:HID393243 HRU393243:HRZ393243 IBQ393243:IBV393243 ILM393243:ILR393243 IVI393243:IVN393243 JFE393243:JFJ393243 JPA393243:JPF393243 JYW393243:JZB393243 KIS393243:KIX393243 KSO393243:KST393243 LCK393243:LCP393243 LMG393243:LML393243 LWC393243:LWH393243 MFY393243:MGD393243 MPU393243:MPZ393243 MZQ393243:MZV393243 NJM393243:NJR393243 NTI393243:NTN393243 ODE393243:ODJ393243 ONA393243:ONF393243 OWW393243:OXB393243 PGS393243:PGX393243 PQO393243:PQT393243 QAK393243:QAP393243 QKG393243:QKL393243 QUC393243:QUH393243 RDY393243:RED393243 RNU393243:RNZ393243 RXQ393243:RXV393243 SHM393243:SHR393243 SRI393243:SRN393243 TBE393243:TBJ393243 TLA393243:TLF393243 TUW393243:TVB393243 UES393243:UEX393243 UOO393243:UOT393243 UYK393243:UYP393243 VIG393243:VIL393243 VSC393243:VSH393243 WBY393243:WCD393243 WLU393243:WLZ393243 WVQ393243:WVV393243 I458779:N458779 JE458779:JJ458779 TA458779:TF458779 ACW458779:ADB458779 AMS458779:AMX458779 AWO458779:AWT458779 BGK458779:BGP458779 BQG458779:BQL458779 CAC458779:CAH458779 CJY458779:CKD458779 CTU458779:CTZ458779 DDQ458779:DDV458779 DNM458779:DNR458779 DXI458779:DXN458779 EHE458779:EHJ458779 ERA458779:ERF458779 FAW458779:FBB458779 FKS458779:FKX458779 FUO458779:FUT458779 GEK458779:GEP458779 GOG458779:GOL458779 GYC458779:GYH458779 HHY458779:HID458779 HRU458779:HRZ458779 IBQ458779:IBV458779 ILM458779:ILR458779 IVI458779:IVN458779 JFE458779:JFJ458779 JPA458779:JPF458779 JYW458779:JZB458779 KIS458779:KIX458779 KSO458779:KST458779 LCK458779:LCP458779 LMG458779:LML458779 LWC458779:LWH458779 MFY458779:MGD458779 MPU458779:MPZ458779 MZQ458779:MZV458779 NJM458779:NJR458779 NTI458779:NTN458779 ODE458779:ODJ458779 ONA458779:ONF458779 OWW458779:OXB458779 PGS458779:PGX458779 PQO458779:PQT458779 QAK458779:QAP458779 QKG458779:QKL458779 QUC458779:QUH458779 RDY458779:RED458779 RNU458779:RNZ458779 RXQ458779:RXV458779 SHM458779:SHR458779 SRI458779:SRN458779 TBE458779:TBJ458779 TLA458779:TLF458779 TUW458779:TVB458779 UES458779:UEX458779 UOO458779:UOT458779 UYK458779:UYP458779 VIG458779:VIL458779 VSC458779:VSH458779 WBY458779:WCD458779 WLU458779:WLZ458779 WVQ458779:WVV458779 I524315:N524315 JE524315:JJ524315 TA524315:TF524315 ACW524315:ADB524315 AMS524315:AMX524315 AWO524315:AWT524315 BGK524315:BGP524315 BQG524315:BQL524315 CAC524315:CAH524315 CJY524315:CKD524315 CTU524315:CTZ524315 DDQ524315:DDV524315 DNM524315:DNR524315 DXI524315:DXN524315 EHE524315:EHJ524315 ERA524315:ERF524315 FAW524315:FBB524315 FKS524315:FKX524315 FUO524315:FUT524315 GEK524315:GEP524315 GOG524315:GOL524315 GYC524315:GYH524315 HHY524315:HID524315 HRU524315:HRZ524315 IBQ524315:IBV524315 ILM524315:ILR524315 IVI524315:IVN524315 JFE524315:JFJ524315 JPA524315:JPF524315 JYW524315:JZB524315 KIS524315:KIX524315 KSO524315:KST524315 LCK524315:LCP524315 LMG524315:LML524315 LWC524315:LWH524315 MFY524315:MGD524315 MPU524315:MPZ524315 MZQ524315:MZV524315 NJM524315:NJR524315 NTI524315:NTN524315 ODE524315:ODJ524315 ONA524315:ONF524315 OWW524315:OXB524315 PGS524315:PGX524315 PQO524315:PQT524315 QAK524315:QAP524315 QKG524315:QKL524315 QUC524315:QUH524315 RDY524315:RED524315 RNU524315:RNZ524315 RXQ524315:RXV524315 SHM524315:SHR524315 SRI524315:SRN524315 TBE524315:TBJ524315 TLA524315:TLF524315 TUW524315:TVB524315 UES524315:UEX524315 UOO524315:UOT524315 UYK524315:UYP524315 VIG524315:VIL524315 VSC524315:VSH524315 WBY524315:WCD524315 WLU524315:WLZ524315 WVQ524315:WVV524315 I589851:N589851 JE589851:JJ589851 TA589851:TF589851 ACW589851:ADB589851 AMS589851:AMX589851 AWO589851:AWT589851 BGK589851:BGP589851 BQG589851:BQL589851 CAC589851:CAH589851 CJY589851:CKD589851 CTU589851:CTZ589851 DDQ589851:DDV589851 DNM589851:DNR589851 DXI589851:DXN589851 EHE589851:EHJ589851 ERA589851:ERF589851 FAW589851:FBB589851 FKS589851:FKX589851 FUO589851:FUT589851 GEK589851:GEP589851 GOG589851:GOL589851 GYC589851:GYH589851 HHY589851:HID589851 HRU589851:HRZ589851 IBQ589851:IBV589851 ILM589851:ILR589851 IVI589851:IVN589851 JFE589851:JFJ589851 JPA589851:JPF589851 JYW589851:JZB589851 KIS589851:KIX589851 KSO589851:KST589851 LCK589851:LCP589851 LMG589851:LML589851 LWC589851:LWH589851 MFY589851:MGD589851 MPU589851:MPZ589851 MZQ589851:MZV589851 NJM589851:NJR589851 NTI589851:NTN589851 ODE589851:ODJ589851 ONA589851:ONF589851 OWW589851:OXB589851 PGS589851:PGX589851 PQO589851:PQT589851 QAK589851:QAP589851 QKG589851:QKL589851 QUC589851:QUH589851 RDY589851:RED589851 RNU589851:RNZ589851 RXQ589851:RXV589851 SHM589851:SHR589851 SRI589851:SRN589851 TBE589851:TBJ589851 TLA589851:TLF589851 TUW589851:TVB589851 UES589851:UEX589851 UOO589851:UOT589851 UYK589851:UYP589851 VIG589851:VIL589851 VSC589851:VSH589851 WBY589851:WCD589851 WLU589851:WLZ589851 WVQ589851:WVV589851 I655387:N655387 JE655387:JJ655387 TA655387:TF655387 ACW655387:ADB655387 AMS655387:AMX655387 AWO655387:AWT655387 BGK655387:BGP655387 BQG655387:BQL655387 CAC655387:CAH655387 CJY655387:CKD655387 CTU655387:CTZ655387 DDQ655387:DDV655387 DNM655387:DNR655387 DXI655387:DXN655387 EHE655387:EHJ655387 ERA655387:ERF655387 FAW655387:FBB655387 FKS655387:FKX655387 FUO655387:FUT655387 GEK655387:GEP655387 GOG655387:GOL655387 GYC655387:GYH655387 HHY655387:HID655387 HRU655387:HRZ655387 IBQ655387:IBV655387 ILM655387:ILR655387 IVI655387:IVN655387 JFE655387:JFJ655387 JPA655387:JPF655387 JYW655387:JZB655387 KIS655387:KIX655387 KSO655387:KST655387 LCK655387:LCP655387 LMG655387:LML655387 LWC655387:LWH655387 MFY655387:MGD655387 MPU655387:MPZ655387 MZQ655387:MZV655387 NJM655387:NJR655387 NTI655387:NTN655387 ODE655387:ODJ655387 ONA655387:ONF655387 OWW655387:OXB655387 PGS655387:PGX655387 PQO655387:PQT655387 QAK655387:QAP655387 QKG655387:QKL655387 QUC655387:QUH655387 RDY655387:RED655387 RNU655387:RNZ655387 RXQ655387:RXV655387 SHM655387:SHR655387 SRI655387:SRN655387 TBE655387:TBJ655387 TLA655387:TLF655387 TUW655387:TVB655387 UES655387:UEX655387 UOO655387:UOT655387 UYK655387:UYP655387 VIG655387:VIL655387 VSC655387:VSH655387 WBY655387:WCD655387 WLU655387:WLZ655387 WVQ655387:WVV655387 I720923:N720923 JE720923:JJ720923 TA720923:TF720923 ACW720923:ADB720923 AMS720923:AMX720923 AWO720923:AWT720923 BGK720923:BGP720923 BQG720923:BQL720923 CAC720923:CAH720923 CJY720923:CKD720923 CTU720923:CTZ720923 DDQ720923:DDV720923 DNM720923:DNR720923 DXI720923:DXN720923 EHE720923:EHJ720923 ERA720923:ERF720923 FAW720923:FBB720923 FKS720923:FKX720923 FUO720923:FUT720923 GEK720923:GEP720923 GOG720923:GOL720923 GYC720923:GYH720923 HHY720923:HID720923 HRU720923:HRZ720923 IBQ720923:IBV720923 ILM720923:ILR720923 IVI720923:IVN720923 JFE720923:JFJ720923 JPA720923:JPF720923 JYW720923:JZB720923 KIS720923:KIX720923 KSO720923:KST720923 LCK720923:LCP720923 LMG720923:LML720923 LWC720923:LWH720923 MFY720923:MGD720923 MPU720923:MPZ720923 MZQ720923:MZV720923 NJM720923:NJR720923 NTI720923:NTN720923 ODE720923:ODJ720923 ONA720923:ONF720923 OWW720923:OXB720923 PGS720923:PGX720923 PQO720923:PQT720923 QAK720923:QAP720923 QKG720923:QKL720923 QUC720923:QUH720923 RDY720923:RED720923 RNU720923:RNZ720923 RXQ720923:RXV720923 SHM720923:SHR720923 SRI720923:SRN720923 TBE720923:TBJ720923 TLA720923:TLF720923 TUW720923:TVB720923 UES720923:UEX720923 UOO720923:UOT720923 UYK720923:UYP720923 VIG720923:VIL720923 VSC720923:VSH720923 WBY720923:WCD720923 WLU720923:WLZ720923 WVQ720923:WVV720923 I786459:N786459 JE786459:JJ786459 TA786459:TF786459 ACW786459:ADB786459 AMS786459:AMX786459 AWO786459:AWT786459 BGK786459:BGP786459 BQG786459:BQL786459 CAC786459:CAH786459 CJY786459:CKD786459 CTU786459:CTZ786459 DDQ786459:DDV786459 DNM786459:DNR786459 DXI786459:DXN786459 EHE786459:EHJ786459 ERA786459:ERF786459 FAW786459:FBB786459 FKS786459:FKX786459 FUO786459:FUT786459 GEK786459:GEP786459 GOG786459:GOL786459 GYC786459:GYH786459 HHY786459:HID786459 HRU786459:HRZ786459 IBQ786459:IBV786459 ILM786459:ILR786459 IVI786459:IVN786459 JFE786459:JFJ786459 JPA786459:JPF786459 JYW786459:JZB786459 KIS786459:KIX786459 KSO786459:KST786459 LCK786459:LCP786459 LMG786459:LML786459 LWC786459:LWH786459 MFY786459:MGD786459 MPU786459:MPZ786459 MZQ786459:MZV786459 NJM786459:NJR786459 NTI786459:NTN786459 ODE786459:ODJ786459 ONA786459:ONF786459 OWW786459:OXB786459 PGS786459:PGX786459 PQO786459:PQT786459 QAK786459:QAP786459 QKG786459:QKL786459 QUC786459:QUH786459 RDY786459:RED786459 RNU786459:RNZ786459 RXQ786459:RXV786459 SHM786459:SHR786459 SRI786459:SRN786459 TBE786459:TBJ786459 TLA786459:TLF786459 TUW786459:TVB786459 UES786459:UEX786459 UOO786459:UOT786459 UYK786459:UYP786459 VIG786459:VIL786459 VSC786459:VSH786459 WBY786459:WCD786459 WLU786459:WLZ786459 WVQ786459:WVV786459 I851995:N851995 JE851995:JJ851995 TA851995:TF851995 ACW851995:ADB851995 AMS851995:AMX851995 AWO851995:AWT851995 BGK851995:BGP851995 BQG851995:BQL851995 CAC851995:CAH851995 CJY851995:CKD851995 CTU851995:CTZ851995 DDQ851995:DDV851995 DNM851995:DNR851995 DXI851995:DXN851995 EHE851995:EHJ851995 ERA851995:ERF851995 FAW851995:FBB851995 FKS851995:FKX851995 FUO851995:FUT851995 GEK851995:GEP851995 GOG851995:GOL851995 GYC851995:GYH851995 HHY851995:HID851995 HRU851995:HRZ851995 IBQ851995:IBV851995 ILM851995:ILR851995 IVI851995:IVN851995 JFE851995:JFJ851995 JPA851995:JPF851995 JYW851995:JZB851995 KIS851995:KIX851995 KSO851995:KST851995 LCK851995:LCP851995 LMG851995:LML851995 LWC851995:LWH851995 MFY851995:MGD851995 MPU851995:MPZ851995 MZQ851995:MZV851995 NJM851995:NJR851995 NTI851995:NTN851995 ODE851995:ODJ851995 ONA851995:ONF851995 OWW851995:OXB851995 PGS851995:PGX851995 PQO851995:PQT851995 QAK851995:QAP851995 QKG851995:QKL851995 QUC851995:QUH851995 RDY851995:RED851995 RNU851995:RNZ851995 RXQ851995:RXV851995 SHM851995:SHR851995 SRI851995:SRN851995 TBE851995:TBJ851995 TLA851995:TLF851995 TUW851995:TVB851995 UES851995:UEX851995 UOO851995:UOT851995 UYK851995:UYP851995 VIG851995:VIL851995 VSC851995:VSH851995 WBY851995:WCD851995 WLU851995:WLZ851995 WVQ851995:WVV851995 I917531:N917531 JE917531:JJ917531 TA917531:TF917531 ACW917531:ADB917531 AMS917531:AMX917531 AWO917531:AWT917531 BGK917531:BGP917531 BQG917531:BQL917531 CAC917531:CAH917531 CJY917531:CKD917531 CTU917531:CTZ917531 DDQ917531:DDV917531 DNM917531:DNR917531 DXI917531:DXN917531 EHE917531:EHJ917531 ERA917531:ERF917531 FAW917531:FBB917531 FKS917531:FKX917531 FUO917531:FUT917531 GEK917531:GEP917531 GOG917531:GOL917531 GYC917531:GYH917531 HHY917531:HID917531 HRU917531:HRZ917531 IBQ917531:IBV917531 ILM917531:ILR917531 IVI917531:IVN917531 JFE917531:JFJ917531 JPA917531:JPF917531 JYW917531:JZB917531 KIS917531:KIX917531 KSO917531:KST917531 LCK917531:LCP917531 LMG917531:LML917531 LWC917531:LWH917531 MFY917531:MGD917531 MPU917531:MPZ917531 MZQ917531:MZV917531 NJM917531:NJR917531 NTI917531:NTN917531 ODE917531:ODJ917531 ONA917531:ONF917531 OWW917531:OXB917531 PGS917531:PGX917531 PQO917531:PQT917531 QAK917531:QAP917531 QKG917531:QKL917531 QUC917531:QUH917531 RDY917531:RED917531 RNU917531:RNZ917531 RXQ917531:RXV917531 SHM917531:SHR917531 SRI917531:SRN917531 TBE917531:TBJ917531 TLA917531:TLF917531 TUW917531:TVB917531 UES917531:UEX917531 UOO917531:UOT917531 UYK917531:UYP917531 VIG917531:VIL917531 VSC917531:VSH917531 WBY917531:WCD917531 WLU917531:WLZ917531 WVQ917531:WVV917531 I983067:N983067 JE983067:JJ983067 TA983067:TF983067 ACW983067:ADB983067 AMS983067:AMX983067 AWO983067:AWT983067 BGK983067:BGP983067 BQG983067:BQL983067 CAC983067:CAH983067 CJY983067:CKD983067 CTU983067:CTZ983067 DDQ983067:DDV983067 DNM983067:DNR983067 DXI983067:DXN983067 EHE983067:EHJ983067 ERA983067:ERF983067 FAW983067:FBB983067 FKS983067:FKX983067 FUO983067:FUT983067 GEK983067:GEP983067 GOG983067:GOL983067 GYC983067:GYH983067 HHY983067:HID983067 HRU983067:HRZ983067 IBQ983067:IBV983067 ILM983067:ILR983067 IVI983067:IVN983067 JFE983067:JFJ983067 JPA983067:JPF983067 JYW983067:JZB983067 KIS983067:KIX983067 KSO983067:KST983067 LCK983067:LCP983067 LMG983067:LML983067 LWC983067:LWH983067 MFY983067:MGD983067 MPU983067:MPZ983067 MZQ983067:MZV983067 NJM983067:NJR983067 NTI983067:NTN983067 ODE983067:ODJ983067 ONA983067:ONF983067 OWW983067:OXB983067 PGS983067:PGX983067 PQO983067:PQT983067 QAK983067:QAP983067 QKG983067:QKL983067 QUC983067:QUH983067 RDY983067:RED983067 RNU983067:RNZ983067 RXQ983067:RXV983067 SHM983067:SHR983067 SRI983067:SRN983067 TBE983067:TBJ983067 TLA983067:TLF983067 TUW983067:TVB983067 UES983067:UEX983067 UOO983067:UOT983067 UYK983067:UYP983067 VIG983067:VIL983067 VSC983067:VSH983067 WBY983067:WCD983067 WLU983067:WLZ983067 WVQ983067:WVV983067 JE27:JJ27 JE21:JJ21 TA21:TF21 ACW21:ADB21 AMS21:AMX21 AWO21:AWT21 BGK21:BGP21 BQG21:BQL21 CAC21:CAH21 CJY21:CKD21 CTU21:CTZ21 DDQ21:DDV21 DNM21:DNR21 DXI21:DXN21 EHE21:EHJ21 ERA21:ERF21 FAW21:FBB21 FKS21:FKX21 FUO21:FUT21 GEK21:GEP21 GOG21:GOL21 GYC21:GYH21 HHY21:HID21 HRU21:HRZ21 IBQ21:IBV21 ILM21:ILR21 IVI21:IVN21 JFE21:JFJ21 JPA21:JPF21 JYW21:JZB21 KIS21:KIX21 KSO21:KST21 LCK21:LCP21 LMG21:LML21 LWC21:LWH21 MFY21:MGD21 MPU21:MPZ21 MZQ21:MZV21 NJM21:NJR21 NTI21:NTN21 ODE21:ODJ21 ONA21:ONF21 OWW21:OXB21 PGS21:PGX21 PQO21:PQT21 QAK21:QAP21 QKG21:QKL21 QUC21:QUH21 RDY21:RED21 RNU21:RNZ21 RXQ21:RXV21 SHM21:SHR21 SRI21:SRN21 TBE21:TBJ21 TLA21:TLF21 TUW21:TVB21 UES21:UEX21 UOO21:UOT21 UYK21:UYP21 VIG21:VIL21 VSC21:VSH21 WBY21:WCD21 WLU21:WLZ21 WVQ21:WVV21 I65559:N65559 JE65559:JJ65559 TA65559:TF65559 ACW65559:ADB65559 AMS65559:AMX65559 AWO65559:AWT65559 BGK65559:BGP65559 BQG65559:BQL65559 CAC65559:CAH65559 CJY65559:CKD65559 CTU65559:CTZ65559 DDQ65559:DDV65559 DNM65559:DNR65559 DXI65559:DXN65559 EHE65559:EHJ65559 ERA65559:ERF65559 FAW65559:FBB65559 FKS65559:FKX65559 FUO65559:FUT65559 GEK65559:GEP65559 GOG65559:GOL65559 GYC65559:GYH65559 HHY65559:HID65559 HRU65559:HRZ65559 IBQ65559:IBV65559 ILM65559:ILR65559 IVI65559:IVN65559 JFE65559:JFJ65559 JPA65559:JPF65559 JYW65559:JZB65559 KIS65559:KIX65559 KSO65559:KST65559 LCK65559:LCP65559 LMG65559:LML65559 LWC65559:LWH65559 MFY65559:MGD65559 MPU65559:MPZ65559 MZQ65559:MZV65559 NJM65559:NJR65559 NTI65559:NTN65559 ODE65559:ODJ65559 ONA65559:ONF65559 OWW65559:OXB65559 PGS65559:PGX65559 PQO65559:PQT65559 QAK65559:QAP65559 QKG65559:QKL65559 QUC65559:QUH65559 RDY65559:RED65559 RNU65559:RNZ65559 RXQ65559:RXV65559 SHM65559:SHR65559 SRI65559:SRN65559 TBE65559:TBJ65559 TLA65559:TLF65559 TUW65559:TVB65559 UES65559:UEX65559 UOO65559:UOT65559 UYK65559:UYP65559 VIG65559:VIL65559 VSC65559:VSH65559 WBY65559:WCD65559 WLU65559:WLZ65559 WVQ65559:WVV65559 I131095:N131095 JE131095:JJ131095 TA131095:TF131095 ACW131095:ADB131095 AMS131095:AMX131095 AWO131095:AWT131095 BGK131095:BGP131095 BQG131095:BQL131095 CAC131095:CAH131095 CJY131095:CKD131095 CTU131095:CTZ131095 DDQ131095:DDV131095 DNM131095:DNR131095 DXI131095:DXN131095 EHE131095:EHJ131095 ERA131095:ERF131095 FAW131095:FBB131095 FKS131095:FKX131095 FUO131095:FUT131095 GEK131095:GEP131095 GOG131095:GOL131095 GYC131095:GYH131095 HHY131095:HID131095 HRU131095:HRZ131095 IBQ131095:IBV131095 ILM131095:ILR131095 IVI131095:IVN131095 JFE131095:JFJ131095 JPA131095:JPF131095 JYW131095:JZB131095 KIS131095:KIX131095 KSO131095:KST131095 LCK131095:LCP131095 LMG131095:LML131095 LWC131095:LWH131095 MFY131095:MGD131095 MPU131095:MPZ131095 MZQ131095:MZV131095 NJM131095:NJR131095 NTI131095:NTN131095 ODE131095:ODJ131095 ONA131095:ONF131095 OWW131095:OXB131095 PGS131095:PGX131095 PQO131095:PQT131095 QAK131095:QAP131095 QKG131095:QKL131095 QUC131095:QUH131095 RDY131095:RED131095 RNU131095:RNZ131095 RXQ131095:RXV131095 SHM131095:SHR131095 SRI131095:SRN131095 TBE131095:TBJ131095 TLA131095:TLF131095 TUW131095:TVB131095 UES131095:UEX131095 UOO131095:UOT131095 UYK131095:UYP131095 VIG131095:VIL131095 VSC131095:VSH131095 WBY131095:WCD131095 WLU131095:WLZ131095 WVQ131095:WVV131095 I196631:N196631 JE196631:JJ196631 TA196631:TF196631 ACW196631:ADB196631 AMS196631:AMX196631 AWO196631:AWT196631 BGK196631:BGP196631 BQG196631:BQL196631 CAC196631:CAH196631 CJY196631:CKD196631 CTU196631:CTZ196631 DDQ196631:DDV196631 DNM196631:DNR196631 DXI196631:DXN196631 EHE196631:EHJ196631 ERA196631:ERF196631 FAW196631:FBB196631 FKS196631:FKX196631 FUO196631:FUT196631 GEK196631:GEP196631 GOG196631:GOL196631 GYC196631:GYH196631 HHY196631:HID196631 HRU196631:HRZ196631 IBQ196631:IBV196631 ILM196631:ILR196631 IVI196631:IVN196631 JFE196631:JFJ196631 JPA196631:JPF196631 JYW196631:JZB196631 KIS196631:KIX196631 KSO196631:KST196631 LCK196631:LCP196631 LMG196631:LML196631 LWC196631:LWH196631 MFY196631:MGD196631 MPU196631:MPZ196631 MZQ196631:MZV196631 NJM196631:NJR196631 NTI196631:NTN196631 ODE196631:ODJ196631 ONA196631:ONF196631 OWW196631:OXB196631 PGS196631:PGX196631 PQO196631:PQT196631 QAK196631:QAP196631 QKG196631:QKL196631 QUC196631:QUH196631 RDY196631:RED196631 RNU196631:RNZ196631 RXQ196631:RXV196631 SHM196631:SHR196631 SRI196631:SRN196631 TBE196631:TBJ196631 TLA196631:TLF196631 TUW196631:TVB196631 UES196631:UEX196631 UOO196631:UOT196631 UYK196631:UYP196631 VIG196631:VIL196631 VSC196631:VSH196631 WBY196631:WCD196631 WLU196631:WLZ196631 WVQ196631:WVV196631 I262167:N262167 JE262167:JJ262167 TA262167:TF262167 ACW262167:ADB262167 AMS262167:AMX262167 AWO262167:AWT262167 BGK262167:BGP262167 BQG262167:BQL262167 CAC262167:CAH262167 CJY262167:CKD262167 CTU262167:CTZ262167 DDQ262167:DDV262167 DNM262167:DNR262167 DXI262167:DXN262167 EHE262167:EHJ262167 ERA262167:ERF262167 FAW262167:FBB262167 FKS262167:FKX262167 FUO262167:FUT262167 GEK262167:GEP262167 GOG262167:GOL262167 GYC262167:GYH262167 HHY262167:HID262167 HRU262167:HRZ262167 IBQ262167:IBV262167 ILM262167:ILR262167 IVI262167:IVN262167 JFE262167:JFJ262167 JPA262167:JPF262167 JYW262167:JZB262167 KIS262167:KIX262167 KSO262167:KST262167 LCK262167:LCP262167 LMG262167:LML262167 LWC262167:LWH262167 MFY262167:MGD262167 MPU262167:MPZ262167 MZQ262167:MZV262167 NJM262167:NJR262167 NTI262167:NTN262167 ODE262167:ODJ262167 ONA262167:ONF262167 OWW262167:OXB262167 PGS262167:PGX262167 PQO262167:PQT262167 QAK262167:QAP262167 QKG262167:QKL262167 QUC262167:QUH262167 RDY262167:RED262167 RNU262167:RNZ262167 RXQ262167:RXV262167 SHM262167:SHR262167 SRI262167:SRN262167 TBE262167:TBJ262167 TLA262167:TLF262167 TUW262167:TVB262167 UES262167:UEX262167 UOO262167:UOT262167 UYK262167:UYP262167 VIG262167:VIL262167 VSC262167:VSH262167 WBY262167:WCD262167 WLU262167:WLZ262167 WVQ262167:WVV262167 I327703:N327703 JE327703:JJ327703 TA327703:TF327703 ACW327703:ADB327703 AMS327703:AMX327703 AWO327703:AWT327703 BGK327703:BGP327703 BQG327703:BQL327703 CAC327703:CAH327703 CJY327703:CKD327703 CTU327703:CTZ327703 DDQ327703:DDV327703 DNM327703:DNR327703 DXI327703:DXN327703 EHE327703:EHJ327703 ERA327703:ERF327703 FAW327703:FBB327703 FKS327703:FKX327703 FUO327703:FUT327703 GEK327703:GEP327703 GOG327703:GOL327703 GYC327703:GYH327703 HHY327703:HID327703 HRU327703:HRZ327703 IBQ327703:IBV327703 ILM327703:ILR327703 IVI327703:IVN327703 JFE327703:JFJ327703 JPA327703:JPF327703 JYW327703:JZB327703 KIS327703:KIX327703 KSO327703:KST327703 LCK327703:LCP327703 LMG327703:LML327703 LWC327703:LWH327703 MFY327703:MGD327703 MPU327703:MPZ327703 MZQ327703:MZV327703 NJM327703:NJR327703 NTI327703:NTN327703 ODE327703:ODJ327703 ONA327703:ONF327703 OWW327703:OXB327703 PGS327703:PGX327703 PQO327703:PQT327703 QAK327703:QAP327703 QKG327703:QKL327703 QUC327703:QUH327703 RDY327703:RED327703 RNU327703:RNZ327703 RXQ327703:RXV327703 SHM327703:SHR327703 SRI327703:SRN327703 TBE327703:TBJ327703 TLA327703:TLF327703 TUW327703:TVB327703 UES327703:UEX327703 UOO327703:UOT327703 UYK327703:UYP327703 VIG327703:VIL327703 VSC327703:VSH327703 WBY327703:WCD327703 WLU327703:WLZ327703 WVQ327703:WVV327703 I393239:N393239 JE393239:JJ393239 TA393239:TF393239 ACW393239:ADB393239 AMS393239:AMX393239 AWO393239:AWT393239 BGK393239:BGP393239 BQG393239:BQL393239 CAC393239:CAH393239 CJY393239:CKD393239 CTU393239:CTZ393239 DDQ393239:DDV393239 DNM393239:DNR393239 DXI393239:DXN393239 EHE393239:EHJ393239 ERA393239:ERF393239 FAW393239:FBB393239 FKS393239:FKX393239 FUO393239:FUT393239 GEK393239:GEP393239 GOG393239:GOL393239 GYC393239:GYH393239 HHY393239:HID393239 HRU393239:HRZ393239 IBQ393239:IBV393239 ILM393239:ILR393239 IVI393239:IVN393239 JFE393239:JFJ393239 JPA393239:JPF393239 JYW393239:JZB393239 KIS393239:KIX393239 KSO393239:KST393239 LCK393239:LCP393239 LMG393239:LML393239 LWC393239:LWH393239 MFY393239:MGD393239 MPU393239:MPZ393239 MZQ393239:MZV393239 NJM393239:NJR393239 NTI393239:NTN393239 ODE393239:ODJ393239 ONA393239:ONF393239 OWW393239:OXB393239 PGS393239:PGX393239 PQO393239:PQT393239 QAK393239:QAP393239 QKG393239:QKL393239 QUC393239:QUH393239 RDY393239:RED393239 RNU393239:RNZ393239 RXQ393239:RXV393239 SHM393239:SHR393239 SRI393239:SRN393239 TBE393239:TBJ393239 TLA393239:TLF393239 TUW393239:TVB393239 UES393239:UEX393239 UOO393239:UOT393239 UYK393239:UYP393239 VIG393239:VIL393239 VSC393239:VSH393239 WBY393239:WCD393239 WLU393239:WLZ393239 WVQ393239:WVV393239 I458775:N458775 JE458775:JJ458775 TA458775:TF458775 ACW458775:ADB458775 AMS458775:AMX458775 AWO458775:AWT458775 BGK458775:BGP458775 BQG458775:BQL458775 CAC458775:CAH458775 CJY458775:CKD458775 CTU458775:CTZ458775 DDQ458775:DDV458775 DNM458775:DNR458775 DXI458775:DXN458775 EHE458775:EHJ458775 ERA458775:ERF458775 FAW458775:FBB458775 FKS458775:FKX458775 FUO458775:FUT458775 GEK458775:GEP458775 GOG458775:GOL458775 GYC458775:GYH458775 HHY458775:HID458775 HRU458775:HRZ458775 IBQ458775:IBV458775 ILM458775:ILR458775 IVI458775:IVN458775 JFE458775:JFJ458775 JPA458775:JPF458775 JYW458775:JZB458775 KIS458775:KIX458775 KSO458775:KST458775 LCK458775:LCP458775 LMG458775:LML458775 LWC458775:LWH458775 MFY458775:MGD458775 MPU458775:MPZ458775 MZQ458775:MZV458775 NJM458775:NJR458775 NTI458775:NTN458775 ODE458775:ODJ458775 ONA458775:ONF458775 OWW458775:OXB458775 PGS458775:PGX458775 PQO458775:PQT458775 QAK458775:QAP458775 QKG458775:QKL458775 QUC458775:QUH458775 RDY458775:RED458775 RNU458775:RNZ458775 RXQ458775:RXV458775 SHM458775:SHR458775 SRI458775:SRN458775 TBE458775:TBJ458775 TLA458775:TLF458775 TUW458775:TVB458775 UES458775:UEX458775 UOO458775:UOT458775 UYK458775:UYP458775 VIG458775:VIL458775 VSC458775:VSH458775 WBY458775:WCD458775 WLU458775:WLZ458775 WVQ458775:WVV458775 I524311:N524311 JE524311:JJ524311 TA524311:TF524311 ACW524311:ADB524311 AMS524311:AMX524311 AWO524311:AWT524311 BGK524311:BGP524311 BQG524311:BQL524311 CAC524311:CAH524311 CJY524311:CKD524311 CTU524311:CTZ524311 DDQ524311:DDV524311 DNM524311:DNR524311 DXI524311:DXN524311 EHE524311:EHJ524311 ERA524311:ERF524311 FAW524311:FBB524311 FKS524311:FKX524311 FUO524311:FUT524311 GEK524311:GEP524311 GOG524311:GOL524311 GYC524311:GYH524311 HHY524311:HID524311 HRU524311:HRZ524311 IBQ524311:IBV524311 ILM524311:ILR524311 IVI524311:IVN524311 JFE524311:JFJ524311 JPA524311:JPF524311 JYW524311:JZB524311 KIS524311:KIX524311 KSO524311:KST524311 LCK524311:LCP524311 LMG524311:LML524311 LWC524311:LWH524311 MFY524311:MGD524311 MPU524311:MPZ524311 MZQ524311:MZV524311 NJM524311:NJR524311 NTI524311:NTN524311 ODE524311:ODJ524311 ONA524311:ONF524311 OWW524311:OXB524311 PGS524311:PGX524311 PQO524311:PQT524311 QAK524311:QAP524311 QKG524311:QKL524311 QUC524311:QUH524311 RDY524311:RED524311 RNU524311:RNZ524311 RXQ524311:RXV524311 SHM524311:SHR524311 SRI524311:SRN524311 TBE524311:TBJ524311 TLA524311:TLF524311 TUW524311:TVB524311 UES524311:UEX524311 UOO524311:UOT524311 UYK524311:UYP524311 VIG524311:VIL524311 VSC524311:VSH524311 WBY524311:WCD524311 WLU524311:WLZ524311 WVQ524311:WVV524311 I589847:N589847 JE589847:JJ589847 TA589847:TF589847 ACW589847:ADB589847 AMS589847:AMX589847 AWO589847:AWT589847 BGK589847:BGP589847 BQG589847:BQL589847 CAC589847:CAH589847 CJY589847:CKD589847 CTU589847:CTZ589847 DDQ589847:DDV589847 DNM589847:DNR589847 DXI589847:DXN589847 EHE589847:EHJ589847 ERA589847:ERF589847 FAW589847:FBB589847 FKS589847:FKX589847 FUO589847:FUT589847 GEK589847:GEP589847 GOG589847:GOL589847 GYC589847:GYH589847 HHY589847:HID589847 HRU589847:HRZ589847 IBQ589847:IBV589847 ILM589847:ILR589847 IVI589847:IVN589847 JFE589847:JFJ589847 JPA589847:JPF589847 JYW589847:JZB589847 KIS589847:KIX589847 KSO589847:KST589847 LCK589847:LCP589847 LMG589847:LML589847 LWC589847:LWH589847 MFY589847:MGD589847 MPU589847:MPZ589847 MZQ589847:MZV589847 NJM589847:NJR589847 NTI589847:NTN589847 ODE589847:ODJ589847 ONA589847:ONF589847 OWW589847:OXB589847 PGS589847:PGX589847 PQO589847:PQT589847 QAK589847:QAP589847 QKG589847:QKL589847 QUC589847:QUH589847 RDY589847:RED589847 RNU589847:RNZ589847 RXQ589847:RXV589847 SHM589847:SHR589847 SRI589847:SRN589847 TBE589847:TBJ589847 TLA589847:TLF589847 TUW589847:TVB589847 UES589847:UEX589847 UOO589847:UOT589847 UYK589847:UYP589847 VIG589847:VIL589847 VSC589847:VSH589847 WBY589847:WCD589847 WLU589847:WLZ589847 WVQ589847:WVV589847 I655383:N655383 JE655383:JJ655383 TA655383:TF655383 ACW655383:ADB655383 AMS655383:AMX655383 AWO655383:AWT655383 BGK655383:BGP655383 BQG655383:BQL655383 CAC655383:CAH655383 CJY655383:CKD655383 CTU655383:CTZ655383 DDQ655383:DDV655383 DNM655383:DNR655383 DXI655383:DXN655383 EHE655383:EHJ655383 ERA655383:ERF655383 FAW655383:FBB655383 FKS655383:FKX655383 FUO655383:FUT655383 GEK655383:GEP655383 GOG655383:GOL655383 GYC655383:GYH655383 HHY655383:HID655383 HRU655383:HRZ655383 IBQ655383:IBV655383 ILM655383:ILR655383 IVI655383:IVN655383 JFE655383:JFJ655383 JPA655383:JPF655383 JYW655383:JZB655383 KIS655383:KIX655383 KSO655383:KST655383 LCK655383:LCP655383 LMG655383:LML655383 LWC655383:LWH655383 MFY655383:MGD655383 MPU655383:MPZ655383 MZQ655383:MZV655383 NJM655383:NJR655383 NTI655383:NTN655383 ODE655383:ODJ655383 ONA655383:ONF655383 OWW655383:OXB655383 PGS655383:PGX655383 PQO655383:PQT655383 QAK655383:QAP655383 QKG655383:QKL655383 QUC655383:QUH655383 RDY655383:RED655383 RNU655383:RNZ655383 RXQ655383:RXV655383 SHM655383:SHR655383 SRI655383:SRN655383 TBE655383:TBJ655383 TLA655383:TLF655383 TUW655383:TVB655383 UES655383:UEX655383 UOO655383:UOT655383 UYK655383:UYP655383 VIG655383:VIL655383 VSC655383:VSH655383 WBY655383:WCD655383 WLU655383:WLZ655383 WVQ655383:WVV655383 I720919:N720919 JE720919:JJ720919 TA720919:TF720919 ACW720919:ADB720919 AMS720919:AMX720919 AWO720919:AWT720919 BGK720919:BGP720919 BQG720919:BQL720919 CAC720919:CAH720919 CJY720919:CKD720919 CTU720919:CTZ720919 DDQ720919:DDV720919 DNM720919:DNR720919 DXI720919:DXN720919 EHE720919:EHJ720919 ERA720919:ERF720919 FAW720919:FBB720919 FKS720919:FKX720919 FUO720919:FUT720919 GEK720919:GEP720919 GOG720919:GOL720919 GYC720919:GYH720919 HHY720919:HID720919 HRU720919:HRZ720919 IBQ720919:IBV720919 ILM720919:ILR720919 IVI720919:IVN720919 JFE720919:JFJ720919 JPA720919:JPF720919 JYW720919:JZB720919 KIS720919:KIX720919 KSO720919:KST720919 LCK720919:LCP720919 LMG720919:LML720919 LWC720919:LWH720919 MFY720919:MGD720919 MPU720919:MPZ720919 MZQ720919:MZV720919 NJM720919:NJR720919 NTI720919:NTN720919 ODE720919:ODJ720919 ONA720919:ONF720919 OWW720919:OXB720919 PGS720919:PGX720919 PQO720919:PQT720919 QAK720919:QAP720919 QKG720919:QKL720919 QUC720919:QUH720919 RDY720919:RED720919 RNU720919:RNZ720919 RXQ720919:RXV720919 SHM720919:SHR720919 SRI720919:SRN720919 TBE720919:TBJ720919 TLA720919:TLF720919 TUW720919:TVB720919 UES720919:UEX720919 UOO720919:UOT720919 UYK720919:UYP720919 VIG720919:VIL720919 VSC720919:VSH720919 WBY720919:WCD720919 WLU720919:WLZ720919 WVQ720919:WVV720919 I786455:N786455 JE786455:JJ786455 TA786455:TF786455 ACW786455:ADB786455 AMS786455:AMX786455 AWO786455:AWT786455 BGK786455:BGP786455 BQG786455:BQL786455 CAC786455:CAH786455 CJY786455:CKD786455 CTU786455:CTZ786455 DDQ786455:DDV786455 DNM786455:DNR786455 DXI786455:DXN786455 EHE786455:EHJ786455 ERA786455:ERF786455 FAW786455:FBB786455 FKS786455:FKX786455 FUO786455:FUT786455 GEK786455:GEP786455 GOG786455:GOL786455 GYC786455:GYH786455 HHY786455:HID786455 HRU786455:HRZ786455 IBQ786455:IBV786455 ILM786455:ILR786455 IVI786455:IVN786455 JFE786455:JFJ786455 JPA786455:JPF786455 JYW786455:JZB786455 KIS786455:KIX786455 KSO786455:KST786455 LCK786455:LCP786455 LMG786455:LML786455 LWC786455:LWH786455 MFY786455:MGD786455 MPU786455:MPZ786455 MZQ786455:MZV786455 NJM786455:NJR786455 NTI786455:NTN786455 ODE786455:ODJ786455 ONA786455:ONF786455 OWW786455:OXB786455 PGS786455:PGX786455 PQO786455:PQT786455 QAK786455:QAP786455 QKG786455:QKL786455 QUC786455:QUH786455 RDY786455:RED786455 RNU786455:RNZ786455 RXQ786455:RXV786455 SHM786455:SHR786455 SRI786455:SRN786455 TBE786455:TBJ786455 TLA786455:TLF786455 TUW786455:TVB786455 UES786455:UEX786455 UOO786455:UOT786455 UYK786455:UYP786455 VIG786455:VIL786455 VSC786455:VSH786455 WBY786455:WCD786455 WLU786455:WLZ786455 WVQ786455:WVV786455 I851991:N851991 JE851991:JJ851991 TA851991:TF851991 ACW851991:ADB851991 AMS851991:AMX851991 AWO851991:AWT851991 BGK851991:BGP851991 BQG851991:BQL851991 CAC851991:CAH851991 CJY851991:CKD851991 CTU851991:CTZ851991 DDQ851991:DDV851991 DNM851991:DNR851991 DXI851991:DXN851991 EHE851991:EHJ851991 ERA851991:ERF851991 FAW851991:FBB851991 FKS851991:FKX851991 FUO851991:FUT851991 GEK851991:GEP851991 GOG851991:GOL851991 GYC851991:GYH851991 HHY851991:HID851991 HRU851991:HRZ851991 IBQ851991:IBV851991 ILM851991:ILR851991 IVI851991:IVN851991 JFE851991:JFJ851991 JPA851991:JPF851991 JYW851991:JZB851991 KIS851991:KIX851991 KSO851991:KST851991 LCK851991:LCP851991 LMG851991:LML851991 LWC851991:LWH851991 MFY851991:MGD851991 MPU851991:MPZ851991 MZQ851991:MZV851991 NJM851991:NJR851991 NTI851991:NTN851991 ODE851991:ODJ851991 ONA851991:ONF851991 OWW851991:OXB851991 PGS851991:PGX851991 PQO851991:PQT851991 QAK851991:QAP851991 QKG851991:QKL851991 QUC851991:QUH851991 RDY851991:RED851991 RNU851991:RNZ851991 RXQ851991:RXV851991 SHM851991:SHR851991 SRI851991:SRN851991 TBE851991:TBJ851991 TLA851991:TLF851991 TUW851991:TVB851991 UES851991:UEX851991 UOO851991:UOT851991 UYK851991:UYP851991 VIG851991:VIL851991 VSC851991:VSH851991 WBY851991:WCD851991 WLU851991:WLZ851991 WVQ851991:WVV851991 I917527:N917527 JE917527:JJ917527 TA917527:TF917527 ACW917527:ADB917527 AMS917527:AMX917527 AWO917527:AWT917527 BGK917527:BGP917527 BQG917527:BQL917527 CAC917527:CAH917527 CJY917527:CKD917527 CTU917527:CTZ917527 DDQ917527:DDV917527 DNM917527:DNR917527 DXI917527:DXN917527 EHE917527:EHJ917527 ERA917527:ERF917527 FAW917527:FBB917527 FKS917527:FKX917527 FUO917527:FUT917527 GEK917527:GEP917527 GOG917527:GOL917527 GYC917527:GYH917527 HHY917527:HID917527 HRU917527:HRZ917527 IBQ917527:IBV917527 ILM917527:ILR917527 IVI917527:IVN917527 JFE917527:JFJ917527 JPA917527:JPF917527 JYW917527:JZB917527 KIS917527:KIX917527 KSO917527:KST917527 LCK917527:LCP917527 LMG917527:LML917527 LWC917527:LWH917527 MFY917527:MGD917527 MPU917527:MPZ917527 MZQ917527:MZV917527 NJM917527:NJR917527 NTI917527:NTN917527 ODE917527:ODJ917527 ONA917527:ONF917527 OWW917527:OXB917527 PGS917527:PGX917527 PQO917527:PQT917527 QAK917527:QAP917527 QKG917527:QKL917527 QUC917527:QUH917527 RDY917527:RED917527 RNU917527:RNZ917527 RXQ917527:RXV917527 SHM917527:SHR917527 SRI917527:SRN917527 TBE917527:TBJ917527 TLA917527:TLF917527 TUW917527:TVB917527 UES917527:UEX917527 UOO917527:UOT917527 UYK917527:UYP917527 VIG917527:VIL917527 VSC917527:VSH917527 WBY917527:WCD917527 WLU917527:WLZ917527 WVQ917527:WVV917527 I983063:N983063 JE983063:JJ983063 TA983063:TF983063 ACW983063:ADB983063 AMS983063:AMX983063 AWO983063:AWT983063 BGK983063:BGP983063 BQG983063:BQL983063 CAC983063:CAH983063 CJY983063:CKD983063 CTU983063:CTZ983063 DDQ983063:DDV983063 DNM983063:DNR983063 DXI983063:DXN983063 EHE983063:EHJ983063 ERA983063:ERF983063 FAW983063:FBB983063 FKS983063:FKX983063 FUO983063:FUT983063 GEK983063:GEP983063 GOG983063:GOL983063 GYC983063:GYH983063 HHY983063:HID983063 HRU983063:HRZ983063 IBQ983063:IBV983063 ILM983063:ILR983063 IVI983063:IVN983063 JFE983063:JFJ983063 JPA983063:JPF983063 JYW983063:JZB983063 KIS983063:KIX983063 KSO983063:KST983063 LCK983063:LCP983063 LMG983063:LML983063 LWC983063:LWH983063 MFY983063:MGD983063 MPU983063:MPZ983063 MZQ983063:MZV983063 NJM983063:NJR983063 NTI983063:NTN983063 ODE983063:ODJ983063 ONA983063:ONF983063 OWW983063:OXB983063 PGS983063:PGX983063 PQO983063:PQT983063 QAK983063:QAP983063 QKG983063:QKL983063 QUC983063:QUH983063 RDY983063:RED983063 RNU983063:RNZ983063 RXQ983063:RXV983063 SHM983063:SHR983063 SRI983063:SRN983063 TBE983063:TBJ983063 TLA983063:TLF983063 TUW983063:TVB983063 UES983063:UEX983063 UOO983063:UOT983063 UYK983063:UYP983063 VIG983063:VIL983063 VSC983063:VSH983063 WBY983063:WCD983063 WLU983063:WLZ983063 WVQ983063:WVV983063" xr:uid="{FD865853-F318-4225-BB7E-CEB9A2645B39}">
      <formula1>$B$59:$B$89</formula1>
    </dataValidation>
    <dataValidation type="list" allowBlank="1" showErrorMessage="1" errorTitle="Incorrect input" error="Please select the year by pushing the drop-down arrow and clicking the correct year" prompt="Select the year" sqref="I30:J30 JE30:JF30 TA30:TB30 ACW30:ACX30 AMS30:AMT30 AWO30:AWP30 BGK30:BGL30 BQG30:BQH30 CAC30:CAD30 CJY30:CJZ30 CTU30:CTV30 DDQ30:DDR30 DNM30:DNN30 DXI30:DXJ30 EHE30:EHF30 ERA30:ERB30 FAW30:FAX30 FKS30:FKT30 FUO30:FUP30 GEK30:GEL30 GOG30:GOH30 GYC30:GYD30 HHY30:HHZ30 HRU30:HRV30 IBQ30:IBR30 ILM30:ILN30 IVI30:IVJ30 JFE30:JFF30 JPA30:JPB30 JYW30:JYX30 KIS30:KIT30 KSO30:KSP30 LCK30:LCL30 LMG30:LMH30 LWC30:LWD30 MFY30:MFZ30 MPU30:MPV30 MZQ30:MZR30 NJM30:NJN30 NTI30:NTJ30 ODE30:ODF30 ONA30:ONB30 OWW30:OWX30 PGS30:PGT30 PQO30:PQP30 QAK30:QAL30 QKG30:QKH30 QUC30:QUD30 RDY30:RDZ30 RNU30:RNV30 RXQ30:RXR30 SHM30:SHN30 SRI30:SRJ30 TBE30:TBF30 TLA30:TLB30 TUW30:TUX30 UES30:UET30 UOO30:UOP30 UYK30:UYL30 VIG30:VIH30 VSC30:VSD30 WBY30:WBZ30 WLU30:WLV30 WVQ30:WVR30 I65566:J65566 JE65566:JF65566 TA65566:TB65566 ACW65566:ACX65566 AMS65566:AMT65566 AWO65566:AWP65566 BGK65566:BGL65566 BQG65566:BQH65566 CAC65566:CAD65566 CJY65566:CJZ65566 CTU65566:CTV65566 DDQ65566:DDR65566 DNM65566:DNN65566 DXI65566:DXJ65566 EHE65566:EHF65566 ERA65566:ERB65566 FAW65566:FAX65566 FKS65566:FKT65566 FUO65566:FUP65566 GEK65566:GEL65566 GOG65566:GOH65566 GYC65566:GYD65566 HHY65566:HHZ65566 HRU65566:HRV65566 IBQ65566:IBR65566 ILM65566:ILN65566 IVI65566:IVJ65566 JFE65566:JFF65566 JPA65566:JPB65566 JYW65566:JYX65566 KIS65566:KIT65566 KSO65566:KSP65566 LCK65566:LCL65566 LMG65566:LMH65566 LWC65566:LWD65566 MFY65566:MFZ65566 MPU65566:MPV65566 MZQ65566:MZR65566 NJM65566:NJN65566 NTI65566:NTJ65566 ODE65566:ODF65566 ONA65566:ONB65566 OWW65566:OWX65566 PGS65566:PGT65566 PQO65566:PQP65566 QAK65566:QAL65566 QKG65566:QKH65566 QUC65566:QUD65566 RDY65566:RDZ65566 RNU65566:RNV65566 RXQ65566:RXR65566 SHM65566:SHN65566 SRI65566:SRJ65566 TBE65566:TBF65566 TLA65566:TLB65566 TUW65566:TUX65566 UES65566:UET65566 UOO65566:UOP65566 UYK65566:UYL65566 VIG65566:VIH65566 VSC65566:VSD65566 WBY65566:WBZ65566 WLU65566:WLV65566 WVQ65566:WVR65566 I131102:J131102 JE131102:JF131102 TA131102:TB131102 ACW131102:ACX131102 AMS131102:AMT131102 AWO131102:AWP131102 BGK131102:BGL131102 BQG131102:BQH131102 CAC131102:CAD131102 CJY131102:CJZ131102 CTU131102:CTV131102 DDQ131102:DDR131102 DNM131102:DNN131102 DXI131102:DXJ131102 EHE131102:EHF131102 ERA131102:ERB131102 FAW131102:FAX131102 FKS131102:FKT131102 FUO131102:FUP131102 GEK131102:GEL131102 GOG131102:GOH131102 GYC131102:GYD131102 HHY131102:HHZ131102 HRU131102:HRV131102 IBQ131102:IBR131102 ILM131102:ILN131102 IVI131102:IVJ131102 JFE131102:JFF131102 JPA131102:JPB131102 JYW131102:JYX131102 KIS131102:KIT131102 KSO131102:KSP131102 LCK131102:LCL131102 LMG131102:LMH131102 LWC131102:LWD131102 MFY131102:MFZ131102 MPU131102:MPV131102 MZQ131102:MZR131102 NJM131102:NJN131102 NTI131102:NTJ131102 ODE131102:ODF131102 ONA131102:ONB131102 OWW131102:OWX131102 PGS131102:PGT131102 PQO131102:PQP131102 QAK131102:QAL131102 QKG131102:QKH131102 QUC131102:QUD131102 RDY131102:RDZ131102 RNU131102:RNV131102 RXQ131102:RXR131102 SHM131102:SHN131102 SRI131102:SRJ131102 TBE131102:TBF131102 TLA131102:TLB131102 TUW131102:TUX131102 UES131102:UET131102 UOO131102:UOP131102 UYK131102:UYL131102 VIG131102:VIH131102 VSC131102:VSD131102 WBY131102:WBZ131102 WLU131102:WLV131102 WVQ131102:WVR131102 I196638:J196638 JE196638:JF196638 TA196638:TB196638 ACW196638:ACX196638 AMS196638:AMT196638 AWO196638:AWP196638 BGK196638:BGL196638 BQG196638:BQH196638 CAC196638:CAD196638 CJY196638:CJZ196638 CTU196638:CTV196638 DDQ196638:DDR196638 DNM196638:DNN196638 DXI196638:DXJ196638 EHE196638:EHF196638 ERA196638:ERB196638 FAW196638:FAX196638 FKS196638:FKT196638 FUO196638:FUP196638 GEK196638:GEL196638 GOG196638:GOH196638 GYC196638:GYD196638 HHY196638:HHZ196638 HRU196638:HRV196638 IBQ196638:IBR196638 ILM196638:ILN196638 IVI196638:IVJ196638 JFE196638:JFF196638 JPA196638:JPB196638 JYW196638:JYX196638 KIS196638:KIT196638 KSO196638:KSP196638 LCK196638:LCL196638 LMG196638:LMH196638 LWC196638:LWD196638 MFY196638:MFZ196638 MPU196638:MPV196638 MZQ196638:MZR196638 NJM196638:NJN196638 NTI196638:NTJ196638 ODE196638:ODF196638 ONA196638:ONB196638 OWW196638:OWX196638 PGS196638:PGT196638 PQO196638:PQP196638 QAK196638:QAL196638 QKG196638:QKH196638 QUC196638:QUD196638 RDY196638:RDZ196638 RNU196638:RNV196638 RXQ196638:RXR196638 SHM196638:SHN196638 SRI196638:SRJ196638 TBE196638:TBF196638 TLA196638:TLB196638 TUW196638:TUX196638 UES196638:UET196638 UOO196638:UOP196638 UYK196638:UYL196638 VIG196638:VIH196638 VSC196638:VSD196638 WBY196638:WBZ196638 WLU196638:WLV196638 WVQ196638:WVR196638 I262174:J262174 JE262174:JF262174 TA262174:TB262174 ACW262174:ACX262174 AMS262174:AMT262174 AWO262174:AWP262174 BGK262174:BGL262174 BQG262174:BQH262174 CAC262174:CAD262174 CJY262174:CJZ262174 CTU262174:CTV262174 DDQ262174:DDR262174 DNM262174:DNN262174 DXI262174:DXJ262174 EHE262174:EHF262174 ERA262174:ERB262174 FAW262174:FAX262174 FKS262174:FKT262174 FUO262174:FUP262174 GEK262174:GEL262174 GOG262174:GOH262174 GYC262174:GYD262174 HHY262174:HHZ262174 HRU262174:HRV262174 IBQ262174:IBR262174 ILM262174:ILN262174 IVI262174:IVJ262174 JFE262174:JFF262174 JPA262174:JPB262174 JYW262174:JYX262174 KIS262174:KIT262174 KSO262174:KSP262174 LCK262174:LCL262174 LMG262174:LMH262174 LWC262174:LWD262174 MFY262174:MFZ262174 MPU262174:MPV262174 MZQ262174:MZR262174 NJM262174:NJN262174 NTI262174:NTJ262174 ODE262174:ODF262174 ONA262174:ONB262174 OWW262174:OWX262174 PGS262174:PGT262174 PQO262174:PQP262174 QAK262174:QAL262174 QKG262174:QKH262174 QUC262174:QUD262174 RDY262174:RDZ262174 RNU262174:RNV262174 RXQ262174:RXR262174 SHM262174:SHN262174 SRI262174:SRJ262174 TBE262174:TBF262174 TLA262174:TLB262174 TUW262174:TUX262174 UES262174:UET262174 UOO262174:UOP262174 UYK262174:UYL262174 VIG262174:VIH262174 VSC262174:VSD262174 WBY262174:WBZ262174 WLU262174:WLV262174 WVQ262174:WVR262174 I327710:J327710 JE327710:JF327710 TA327710:TB327710 ACW327710:ACX327710 AMS327710:AMT327710 AWO327710:AWP327710 BGK327710:BGL327710 BQG327710:BQH327710 CAC327710:CAD327710 CJY327710:CJZ327710 CTU327710:CTV327710 DDQ327710:DDR327710 DNM327710:DNN327710 DXI327710:DXJ327710 EHE327710:EHF327710 ERA327710:ERB327710 FAW327710:FAX327710 FKS327710:FKT327710 FUO327710:FUP327710 GEK327710:GEL327710 GOG327710:GOH327710 GYC327710:GYD327710 HHY327710:HHZ327710 HRU327710:HRV327710 IBQ327710:IBR327710 ILM327710:ILN327710 IVI327710:IVJ327710 JFE327710:JFF327710 JPA327710:JPB327710 JYW327710:JYX327710 KIS327710:KIT327710 KSO327710:KSP327710 LCK327710:LCL327710 LMG327710:LMH327710 LWC327710:LWD327710 MFY327710:MFZ327710 MPU327710:MPV327710 MZQ327710:MZR327710 NJM327710:NJN327710 NTI327710:NTJ327710 ODE327710:ODF327710 ONA327710:ONB327710 OWW327710:OWX327710 PGS327710:PGT327710 PQO327710:PQP327710 QAK327710:QAL327710 QKG327710:QKH327710 QUC327710:QUD327710 RDY327710:RDZ327710 RNU327710:RNV327710 RXQ327710:RXR327710 SHM327710:SHN327710 SRI327710:SRJ327710 TBE327710:TBF327710 TLA327710:TLB327710 TUW327710:TUX327710 UES327710:UET327710 UOO327710:UOP327710 UYK327710:UYL327710 VIG327710:VIH327710 VSC327710:VSD327710 WBY327710:WBZ327710 WLU327710:WLV327710 WVQ327710:WVR327710 I393246:J393246 JE393246:JF393246 TA393246:TB393246 ACW393246:ACX393246 AMS393246:AMT393246 AWO393246:AWP393246 BGK393246:BGL393246 BQG393246:BQH393246 CAC393246:CAD393246 CJY393246:CJZ393246 CTU393246:CTV393246 DDQ393246:DDR393246 DNM393246:DNN393246 DXI393246:DXJ393246 EHE393246:EHF393246 ERA393246:ERB393246 FAW393246:FAX393246 FKS393246:FKT393246 FUO393246:FUP393246 GEK393246:GEL393246 GOG393246:GOH393246 GYC393246:GYD393246 HHY393246:HHZ393246 HRU393246:HRV393246 IBQ393246:IBR393246 ILM393246:ILN393246 IVI393246:IVJ393246 JFE393246:JFF393246 JPA393246:JPB393246 JYW393246:JYX393246 KIS393246:KIT393246 KSO393246:KSP393246 LCK393246:LCL393246 LMG393246:LMH393246 LWC393246:LWD393246 MFY393246:MFZ393246 MPU393246:MPV393246 MZQ393246:MZR393246 NJM393246:NJN393246 NTI393246:NTJ393246 ODE393246:ODF393246 ONA393246:ONB393246 OWW393246:OWX393246 PGS393246:PGT393246 PQO393246:PQP393246 QAK393246:QAL393246 QKG393246:QKH393246 QUC393246:QUD393246 RDY393246:RDZ393246 RNU393246:RNV393246 RXQ393246:RXR393246 SHM393246:SHN393246 SRI393246:SRJ393246 TBE393246:TBF393246 TLA393246:TLB393246 TUW393246:TUX393246 UES393246:UET393246 UOO393246:UOP393246 UYK393246:UYL393246 VIG393246:VIH393246 VSC393246:VSD393246 WBY393246:WBZ393246 WLU393246:WLV393246 WVQ393246:WVR393246 I458782:J458782 JE458782:JF458782 TA458782:TB458782 ACW458782:ACX458782 AMS458782:AMT458782 AWO458782:AWP458782 BGK458782:BGL458782 BQG458782:BQH458782 CAC458782:CAD458782 CJY458782:CJZ458782 CTU458782:CTV458782 DDQ458782:DDR458782 DNM458782:DNN458782 DXI458782:DXJ458782 EHE458782:EHF458782 ERA458782:ERB458782 FAW458782:FAX458782 FKS458782:FKT458782 FUO458782:FUP458782 GEK458782:GEL458782 GOG458782:GOH458782 GYC458782:GYD458782 HHY458782:HHZ458782 HRU458782:HRV458782 IBQ458782:IBR458782 ILM458782:ILN458782 IVI458782:IVJ458782 JFE458782:JFF458782 JPA458782:JPB458782 JYW458782:JYX458782 KIS458782:KIT458782 KSO458782:KSP458782 LCK458782:LCL458782 LMG458782:LMH458782 LWC458782:LWD458782 MFY458782:MFZ458782 MPU458782:MPV458782 MZQ458782:MZR458782 NJM458782:NJN458782 NTI458782:NTJ458782 ODE458782:ODF458782 ONA458782:ONB458782 OWW458782:OWX458782 PGS458782:PGT458782 PQO458782:PQP458782 QAK458782:QAL458782 QKG458782:QKH458782 QUC458782:QUD458782 RDY458782:RDZ458782 RNU458782:RNV458782 RXQ458782:RXR458782 SHM458782:SHN458782 SRI458782:SRJ458782 TBE458782:TBF458782 TLA458782:TLB458782 TUW458782:TUX458782 UES458782:UET458782 UOO458782:UOP458782 UYK458782:UYL458782 VIG458782:VIH458782 VSC458782:VSD458782 WBY458782:WBZ458782 WLU458782:WLV458782 WVQ458782:WVR458782 I524318:J524318 JE524318:JF524318 TA524318:TB524318 ACW524318:ACX524318 AMS524318:AMT524318 AWO524318:AWP524318 BGK524318:BGL524318 BQG524318:BQH524318 CAC524318:CAD524318 CJY524318:CJZ524318 CTU524318:CTV524318 DDQ524318:DDR524318 DNM524318:DNN524318 DXI524318:DXJ524318 EHE524318:EHF524318 ERA524318:ERB524318 FAW524318:FAX524318 FKS524318:FKT524318 FUO524318:FUP524318 GEK524318:GEL524318 GOG524318:GOH524318 GYC524318:GYD524318 HHY524318:HHZ524318 HRU524318:HRV524318 IBQ524318:IBR524318 ILM524318:ILN524318 IVI524318:IVJ524318 JFE524318:JFF524318 JPA524318:JPB524318 JYW524318:JYX524318 KIS524318:KIT524318 KSO524318:KSP524318 LCK524318:LCL524318 LMG524318:LMH524318 LWC524318:LWD524318 MFY524318:MFZ524318 MPU524318:MPV524318 MZQ524318:MZR524318 NJM524318:NJN524318 NTI524318:NTJ524318 ODE524318:ODF524318 ONA524318:ONB524318 OWW524318:OWX524318 PGS524318:PGT524318 PQO524318:PQP524318 QAK524318:QAL524318 QKG524318:QKH524318 QUC524318:QUD524318 RDY524318:RDZ524318 RNU524318:RNV524318 RXQ524318:RXR524318 SHM524318:SHN524318 SRI524318:SRJ524318 TBE524318:TBF524318 TLA524318:TLB524318 TUW524318:TUX524318 UES524318:UET524318 UOO524318:UOP524318 UYK524318:UYL524318 VIG524318:VIH524318 VSC524318:VSD524318 WBY524318:WBZ524318 WLU524318:WLV524318 WVQ524318:WVR524318 I589854:J589854 JE589854:JF589854 TA589854:TB589854 ACW589854:ACX589854 AMS589854:AMT589854 AWO589854:AWP589854 BGK589854:BGL589854 BQG589854:BQH589854 CAC589854:CAD589854 CJY589854:CJZ589854 CTU589854:CTV589854 DDQ589854:DDR589854 DNM589854:DNN589854 DXI589854:DXJ589854 EHE589854:EHF589854 ERA589854:ERB589854 FAW589854:FAX589854 FKS589854:FKT589854 FUO589854:FUP589854 GEK589854:GEL589854 GOG589854:GOH589854 GYC589854:GYD589854 HHY589854:HHZ589854 HRU589854:HRV589854 IBQ589854:IBR589854 ILM589854:ILN589854 IVI589854:IVJ589854 JFE589854:JFF589854 JPA589854:JPB589854 JYW589854:JYX589854 KIS589854:KIT589854 KSO589854:KSP589854 LCK589854:LCL589854 LMG589854:LMH589854 LWC589854:LWD589854 MFY589854:MFZ589854 MPU589854:MPV589854 MZQ589854:MZR589854 NJM589854:NJN589854 NTI589854:NTJ589854 ODE589854:ODF589854 ONA589854:ONB589854 OWW589854:OWX589854 PGS589854:PGT589854 PQO589854:PQP589854 QAK589854:QAL589854 QKG589854:QKH589854 QUC589854:QUD589854 RDY589854:RDZ589854 RNU589854:RNV589854 RXQ589854:RXR589854 SHM589854:SHN589854 SRI589854:SRJ589854 TBE589854:TBF589854 TLA589854:TLB589854 TUW589854:TUX589854 UES589854:UET589854 UOO589854:UOP589854 UYK589854:UYL589854 VIG589854:VIH589854 VSC589854:VSD589854 WBY589854:WBZ589854 WLU589854:WLV589854 WVQ589854:WVR589854 I655390:J655390 JE655390:JF655390 TA655390:TB655390 ACW655390:ACX655390 AMS655390:AMT655390 AWO655390:AWP655390 BGK655390:BGL655390 BQG655390:BQH655390 CAC655390:CAD655390 CJY655390:CJZ655390 CTU655390:CTV655390 DDQ655390:DDR655390 DNM655390:DNN655390 DXI655390:DXJ655390 EHE655390:EHF655390 ERA655390:ERB655390 FAW655390:FAX655390 FKS655390:FKT655390 FUO655390:FUP655390 GEK655390:GEL655390 GOG655390:GOH655390 GYC655390:GYD655390 HHY655390:HHZ655390 HRU655390:HRV655390 IBQ655390:IBR655390 ILM655390:ILN655390 IVI655390:IVJ655390 JFE655390:JFF655390 JPA655390:JPB655390 JYW655390:JYX655390 KIS655390:KIT655390 KSO655390:KSP655390 LCK655390:LCL655390 LMG655390:LMH655390 LWC655390:LWD655390 MFY655390:MFZ655390 MPU655390:MPV655390 MZQ655390:MZR655390 NJM655390:NJN655390 NTI655390:NTJ655390 ODE655390:ODF655390 ONA655390:ONB655390 OWW655390:OWX655390 PGS655390:PGT655390 PQO655390:PQP655390 QAK655390:QAL655390 QKG655390:QKH655390 QUC655390:QUD655390 RDY655390:RDZ655390 RNU655390:RNV655390 RXQ655390:RXR655390 SHM655390:SHN655390 SRI655390:SRJ655390 TBE655390:TBF655390 TLA655390:TLB655390 TUW655390:TUX655390 UES655390:UET655390 UOO655390:UOP655390 UYK655390:UYL655390 VIG655390:VIH655390 VSC655390:VSD655390 WBY655390:WBZ655390 WLU655390:WLV655390 WVQ655390:WVR655390 I720926:J720926 JE720926:JF720926 TA720926:TB720926 ACW720926:ACX720926 AMS720926:AMT720926 AWO720926:AWP720926 BGK720926:BGL720926 BQG720926:BQH720926 CAC720926:CAD720926 CJY720926:CJZ720926 CTU720926:CTV720926 DDQ720926:DDR720926 DNM720926:DNN720926 DXI720926:DXJ720926 EHE720926:EHF720926 ERA720926:ERB720926 FAW720926:FAX720926 FKS720926:FKT720926 FUO720926:FUP720926 GEK720926:GEL720926 GOG720926:GOH720926 GYC720926:GYD720926 HHY720926:HHZ720926 HRU720926:HRV720926 IBQ720926:IBR720926 ILM720926:ILN720926 IVI720926:IVJ720926 JFE720926:JFF720926 JPA720926:JPB720926 JYW720926:JYX720926 KIS720926:KIT720926 KSO720926:KSP720926 LCK720926:LCL720926 LMG720926:LMH720926 LWC720926:LWD720926 MFY720926:MFZ720926 MPU720926:MPV720926 MZQ720926:MZR720926 NJM720926:NJN720926 NTI720926:NTJ720926 ODE720926:ODF720926 ONA720926:ONB720926 OWW720926:OWX720926 PGS720926:PGT720926 PQO720926:PQP720926 QAK720926:QAL720926 QKG720926:QKH720926 QUC720926:QUD720926 RDY720926:RDZ720926 RNU720926:RNV720926 RXQ720926:RXR720926 SHM720926:SHN720926 SRI720926:SRJ720926 TBE720926:TBF720926 TLA720926:TLB720926 TUW720926:TUX720926 UES720926:UET720926 UOO720926:UOP720926 UYK720926:UYL720926 VIG720926:VIH720926 VSC720926:VSD720926 WBY720926:WBZ720926 WLU720926:WLV720926 WVQ720926:WVR720926 I786462:J786462 JE786462:JF786462 TA786462:TB786462 ACW786462:ACX786462 AMS786462:AMT786462 AWO786462:AWP786462 BGK786462:BGL786462 BQG786462:BQH786462 CAC786462:CAD786462 CJY786462:CJZ786462 CTU786462:CTV786462 DDQ786462:DDR786462 DNM786462:DNN786462 DXI786462:DXJ786462 EHE786462:EHF786462 ERA786462:ERB786462 FAW786462:FAX786462 FKS786462:FKT786462 FUO786462:FUP786462 GEK786462:GEL786462 GOG786462:GOH786462 GYC786462:GYD786462 HHY786462:HHZ786462 HRU786462:HRV786462 IBQ786462:IBR786462 ILM786462:ILN786462 IVI786462:IVJ786462 JFE786462:JFF786462 JPA786462:JPB786462 JYW786462:JYX786462 KIS786462:KIT786462 KSO786462:KSP786462 LCK786462:LCL786462 LMG786462:LMH786462 LWC786462:LWD786462 MFY786462:MFZ786462 MPU786462:MPV786462 MZQ786462:MZR786462 NJM786462:NJN786462 NTI786462:NTJ786462 ODE786462:ODF786462 ONA786462:ONB786462 OWW786462:OWX786462 PGS786462:PGT786462 PQO786462:PQP786462 QAK786462:QAL786462 QKG786462:QKH786462 QUC786462:QUD786462 RDY786462:RDZ786462 RNU786462:RNV786462 RXQ786462:RXR786462 SHM786462:SHN786462 SRI786462:SRJ786462 TBE786462:TBF786462 TLA786462:TLB786462 TUW786462:TUX786462 UES786462:UET786462 UOO786462:UOP786462 UYK786462:UYL786462 VIG786462:VIH786462 VSC786462:VSD786462 WBY786462:WBZ786462 WLU786462:WLV786462 WVQ786462:WVR786462 I851998:J851998 JE851998:JF851998 TA851998:TB851998 ACW851998:ACX851998 AMS851998:AMT851998 AWO851998:AWP851998 BGK851998:BGL851998 BQG851998:BQH851998 CAC851998:CAD851998 CJY851998:CJZ851998 CTU851998:CTV851998 DDQ851998:DDR851998 DNM851998:DNN851998 DXI851998:DXJ851998 EHE851998:EHF851998 ERA851998:ERB851998 FAW851998:FAX851998 FKS851998:FKT851998 FUO851998:FUP851998 GEK851998:GEL851998 GOG851998:GOH851998 GYC851998:GYD851998 HHY851998:HHZ851998 HRU851998:HRV851998 IBQ851998:IBR851998 ILM851998:ILN851998 IVI851998:IVJ851998 JFE851998:JFF851998 JPA851998:JPB851998 JYW851998:JYX851998 KIS851998:KIT851998 KSO851998:KSP851998 LCK851998:LCL851998 LMG851998:LMH851998 LWC851998:LWD851998 MFY851998:MFZ851998 MPU851998:MPV851998 MZQ851998:MZR851998 NJM851998:NJN851998 NTI851998:NTJ851998 ODE851998:ODF851998 ONA851998:ONB851998 OWW851998:OWX851998 PGS851998:PGT851998 PQO851998:PQP851998 QAK851998:QAL851998 QKG851998:QKH851998 QUC851998:QUD851998 RDY851998:RDZ851998 RNU851998:RNV851998 RXQ851998:RXR851998 SHM851998:SHN851998 SRI851998:SRJ851998 TBE851998:TBF851998 TLA851998:TLB851998 TUW851998:TUX851998 UES851998:UET851998 UOO851998:UOP851998 UYK851998:UYL851998 VIG851998:VIH851998 VSC851998:VSD851998 WBY851998:WBZ851998 WLU851998:WLV851998 WVQ851998:WVR851998 I917534:J917534 JE917534:JF917534 TA917534:TB917534 ACW917534:ACX917534 AMS917534:AMT917534 AWO917534:AWP917534 BGK917534:BGL917534 BQG917534:BQH917534 CAC917534:CAD917534 CJY917534:CJZ917534 CTU917534:CTV917534 DDQ917534:DDR917534 DNM917534:DNN917534 DXI917534:DXJ917534 EHE917534:EHF917534 ERA917534:ERB917534 FAW917534:FAX917534 FKS917534:FKT917534 FUO917534:FUP917534 GEK917534:GEL917534 GOG917534:GOH917534 GYC917534:GYD917534 HHY917534:HHZ917534 HRU917534:HRV917534 IBQ917534:IBR917534 ILM917534:ILN917534 IVI917534:IVJ917534 JFE917534:JFF917534 JPA917534:JPB917534 JYW917534:JYX917534 KIS917534:KIT917534 KSO917534:KSP917534 LCK917534:LCL917534 LMG917534:LMH917534 LWC917534:LWD917534 MFY917534:MFZ917534 MPU917534:MPV917534 MZQ917534:MZR917534 NJM917534:NJN917534 NTI917534:NTJ917534 ODE917534:ODF917534 ONA917534:ONB917534 OWW917534:OWX917534 PGS917534:PGT917534 PQO917534:PQP917534 QAK917534:QAL917534 QKG917534:QKH917534 QUC917534:QUD917534 RDY917534:RDZ917534 RNU917534:RNV917534 RXQ917534:RXR917534 SHM917534:SHN917534 SRI917534:SRJ917534 TBE917534:TBF917534 TLA917534:TLB917534 TUW917534:TUX917534 UES917534:UET917534 UOO917534:UOP917534 UYK917534:UYL917534 VIG917534:VIH917534 VSC917534:VSD917534 WBY917534:WBZ917534 WLU917534:WLV917534 WVQ917534:WVR917534 I983070:J983070 JE983070:JF983070 TA983070:TB983070 ACW983070:ACX983070 AMS983070:AMT983070 AWO983070:AWP983070 BGK983070:BGL983070 BQG983070:BQH983070 CAC983070:CAD983070 CJY983070:CJZ983070 CTU983070:CTV983070 DDQ983070:DDR983070 DNM983070:DNN983070 DXI983070:DXJ983070 EHE983070:EHF983070 ERA983070:ERB983070 FAW983070:FAX983070 FKS983070:FKT983070 FUO983070:FUP983070 GEK983070:GEL983070 GOG983070:GOH983070 GYC983070:GYD983070 HHY983070:HHZ983070 HRU983070:HRV983070 IBQ983070:IBR983070 ILM983070:ILN983070 IVI983070:IVJ983070 JFE983070:JFF983070 JPA983070:JPB983070 JYW983070:JYX983070 KIS983070:KIT983070 KSO983070:KSP983070 LCK983070:LCL983070 LMG983070:LMH983070 LWC983070:LWD983070 MFY983070:MFZ983070 MPU983070:MPV983070 MZQ983070:MZR983070 NJM983070:NJN983070 NTI983070:NTJ983070 ODE983070:ODF983070 ONA983070:ONB983070 OWW983070:OWX983070 PGS983070:PGT983070 PQO983070:PQP983070 QAK983070:QAL983070 QKG983070:QKH983070 QUC983070:QUD983070 RDY983070:RDZ983070 RNU983070:RNV983070 RXQ983070:RXR983070 SHM983070:SHN983070 SRI983070:SRJ983070 TBE983070:TBF983070 TLA983070:TLB983070 TUW983070:TUX983070 UES983070:UET983070 UOO983070:UOP983070 UYK983070:UYL983070 VIG983070:VIH983070 VSC983070:VSD983070 WBY983070:WBZ983070 WLU983070:WLV983070 WVQ983070:WVR983070" xr:uid="{4495F738-E1C9-4AF8-8375-F527CB6D6197}">
      <formula1>$A$59:$A$89</formula1>
    </dataValidation>
    <dataValidation type="list" allowBlank="1" showInputMessage="1" sqref="I21:N21 I27:N27" xr:uid="{AACD40B1-DD2D-4C56-B2F9-01E716C3FC75}">
      <formula1>$B$58:$B$89</formula1>
    </dataValidation>
  </dataValidations>
  <hyperlinks>
    <hyperlink ref="Q37" r:id="rId1" display="EEM Website" xr:uid="{D01A3834-10BD-4E18-8985-36C38B54F562}"/>
    <hyperlink ref="Q37:U39" r:id="rId2" display="visit MBCM Web page for the latest update factors" xr:uid="{FCC1481F-8B4A-4045-A324-E3EE8D836CF2}"/>
  </hyperlinks>
  <printOptions horizontalCentered="1"/>
  <pageMargins left="0.74803149606299213" right="0.70866141732283472" top="0.74803149606299213" bottom="0.9055118110236221" header="0.39370078740157483" footer="0.39370078740157483"/>
  <pageSetup paperSize="9" scale="88" orientation="portrait" r:id="rId3"/>
  <headerFooter scaleWithDoc="0" alignWithMargins="0">
    <oddHeader xml:space="preserve">&amp;L&amp;"-,Regular"&amp;8&amp;F&amp;R&amp;"-,Regular"&amp;8&amp;A
________________________________________________________________________________________________
</oddHeader>
    <oddFooter>&amp;L&amp;"-,Regular"&amp;8______________________________________________________________________________________________
NZ Transport Agency’s Economic evaluation manual 
Effective from Jul 2013</oddFooter>
  </headerFooter>
  <legacyDrawing r:id="rId4"/>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ACF300-333B-4092-B017-D019BBF59A44}">
  <sheetPr codeName="Sheet6">
    <pageSetUpPr fitToPage="1"/>
  </sheetPr>
  <dimension ref="A1:Z84"/>
  <sheetViews>
    <sheetView zoomScaleNormal="100" workbookViewId="0">
      <selection activeCell="Q8" sqref="Q8:S8"/>
    </sheetView>
  </sheetViews>
  <sheetFormatPr defaultColWidth="7.69921875" defaultRowHeight="12.6"/>
  <cols>
    <col min="1" max="1" width="2.5" style="217" customWidth="1"/>
    <col min="2" max="2" width="6.59765625" style="217" customWidth="1"/>
    <col min="3" max="10" width="3.09765625" style="217" customWidth="1"/>
    <col min="11" max="19" width="4.69921875" style="217" customWidth="1"/>
    <col min="20" max="20" width="3.09765625" style="217" customWidth="1"/>
    <col min="21" max="21" width="13.59765625" style="217" customWidth="1"/>
    <col min="22" max="22" width="26.69921875" style="217" customWidth="1"/>
    <col min="23" max="26" width="13.59765625" style="217" customWidth="1"/>
    <col min="27" max="256" width="7.69921875" style="217"/>
    <col min="257" max="257" width="2.5" style="217" customWidth="1"/>
    <col min="258" max="258" width="6.59765625" style="217" customWidth="1"/>
    <col min="259" max="266" width="3.09765625" style="217" customWidth="1"/>
    <col min="267" max="275" width="4.69921875" style="217" customWidth="1"/>
    <col min="276" max="276" width="3.09765625" style="217" customWidth="1"/>
    <col min="277" max="277" width="13.59765625" style="217" customWidth="1"/>
    <col min="278" max="278" width="26.69921875" style="217" customWidth="1"/>
    <col min="279" max="282" width="13.59765625" style="217" customWidth="1"/>
    <col min="283" max="512" width="7.69921875" style="217"/>
    <col min="513" max="513" width="2.5" style="217" customWidth="1"/>
    <col min="514" max="514" width="6.59765625" style="217" customWidth="1"/>
    <col min="515" max="522" width="3.09765625" style="217" customWidth="1"/>
    <col min="523" max="531" width="4.69921875" style="217" customWidth="1"/>
    <col min="532" max="532" width="3.09765625" style="217" customWidth="1"/>
    <col min="533" max="533" width="13.59765625" style="217" customWidth="1"/>
    <col min="534" max="534" width="26.69921875" style="217" customWidth="1"/>
    <col min="535" max="538" width="13.59765625" style="217" customWidth="1"/>
    <col min="539" max="768" width="7.69921875" style="217"/>
    <col min="769" max="769" width="2.5" style="217" customWidth="1"/>
    <col min="770" max="770" width="6.59765625" style="217" customWidth="1"/>
    <col min="771" max="778" width="3.09765625" style="217" customWidth="1"/>
    <col min="779" max="787" width="4.69921875" style="217" customWidth="1"/>
    <col min="788" max="788" width="3.09765625" style="217" customWidth="1"/>
    <col min="789" max="789" width="13.59765625" style="217" customWidth="1"/>
    <col min="790" max="790" width="26.69921875" style="217" customWidth="1"/>
    <col min="791" max="794" width="13.59765625" style="217" customWidth="1"/>
    <col min="795" max="1024" width="7.69921875" style="217"/>
    <col min="1025" max="1025" width="2.5" style="217" customWidth="1"/>
    <col min="1026" max="1026" width="6.59765625" style="217" customWidth="1"/>
    <col min="1027" max="1034" width="3.09765625" style="217" customWidth="1"/>
    <col min="1035" max="1043" width="4.69921875" style="217" customWidth="1"/>
    <col min="1044" max="1044" width="3.09765625" style="217" customWidth="1"/>
    <col min="1045" max="1045" width="13.59765625" style="217" customWidth="1"/>
    <col min="1046" max="1046" width="26.69921875" style="217" customWidth="1"/>
    <col min="1047" max="1050" width="13.59765625" style="217" customWidth="1"/>
    <col min="1051" max="1280" width="7.69921875" style="217"/>
    <col min="1281" max="1281" width="2.5" style="217" customWidth="1"/>
    <col min="1282" max="1282" width="6.59765625" style="217" customWidth="1"/>
    <col min="1283" max="1290" width="3.09765625" style="217" customWidth="1"/>
    <col min="1291" max="1299" width="4.69921875" style="217" customWidth="1"/>
    <col min="1300" max="1300" width="3.09765625" style="217" customWidth="1"/>
    <col min="1301" max="1301" width="13.59765625" style="217" customWidth="1"/>
    <col min="1302" max="1302" width="26.69921875" style="217" customWidth="1"/>
    <col min="1303" max="1306" width="13.59765625" style="217" customWidth="1"/>
    <col min="1307" max="1536" width="7.69921875" style="217"/>
    <col min="1537" max="1537" width="2.5" style="217" customWidth="1"/>
    <col min="1538" max="1538" width="6.59765625" style="217" customWidth="1"/>
    <col min="1539" max="1546" width="3.09765625" style="217" customWidth="1"/>
    <col min="1547" max="1555" width="4.69921875" style="217" customWidth="1"/>
    <col min="1556" max="1556" width="3.09765625" style="217" customWidth="1"/>
    <col min="1557" max="1557" width="13.59765625" style="217" customWidth="1"/>
    <col min="1558" max="1558" width="26.69921875" style="217" customWidth="1"/>
    <col min="1559" max="1562" width="13.59765625" style="217" customWidth="1"/>
    <col min="1563" max="1792" width="7.69921875" style="217"/>
    <col min="1793" max="1793" width="2.5" style="217" customWidth="1"/>
    <col min="1794" max="1794" width="6.59765625" style="217" customWidth="1"/>
    <col min="1795" max="1802" width="3.09765625" style="217" customWidth="1"/>
    <col min="1803" max="1811" width="4.69921875" style="217" customWidth="1"/>
    <col min="1812" max="1812" width="3.09765625" style="217" customWidth="1"/>
    <col min="1813" max="1813" width="13.59765625" style="217" customWidth="1"/>
    <col min="1814" max="1814" width="26.69921875" style="217" customWidth="1"/>
    <col min="1815" max="1818" width="13.59765625" style="217" customWidth="1"/>
    <col min="1819" max="2048" width="7.69921875" style="217"/>
    <col min="2049" max="2049" width="2.5" style="217" customWidth="1"/>
    <col min="2050" max="2050" width="6.59765625" style="217" customWidth="1"/>
    <col min="2051" max="2058" width="3.09765625" style="217" customWidth="1"/>
    <col min="2059" max="2067" width="4.69921875" style="217" customWidth="1"/>
    <col min="2068" max="2068" width="3.09765625" style="217" customWidth="1"/>
    <col min="2069" max="2069" width="13.59765625" style="217" customWidth="1"/>
    <col min="2070" max="2070" width="26.69921875" style="217" customWidth="1"/>
    <col min="2071" max="2074" width="13.59765625" style="217" customWidth="1"/>
    <col min="2075" max="2304" width="7.69921875" style="217"/>
    <col min="2305" max="2305" width="2.5" style="217" customWidth="1"/>
    <col min="2306" max="2306" width="6.59765625" style="217" customWidth="1"/>
    <col min="2307" max="2314" width="3.09765625" style="217" customWidth="1"/>
    <col min="2315" max="2323" width="4.69921875" style="217" customWidth="1"/>
    <col min="2324" max="2324" width="3.09765625" style="217" customWidth="1"/>
    <col min="2325" max="2325" width="13.59765625" style="217" customWidth="1"/>
    <col min="2326" max="2326" width="26.69921875" style="217" customWidth="1"/>
    <col min="2327" max="2330" width="13.59765625" style="217" customWidth="1"/>
    <col min="2331" max="2560" width="7.69921875" style="217"/>
    <col min="2561" max="2561" width="2.5" style="217" customWidth="1"/>
    <col min="2562" max="2562" width="6.59765625" style="217" customWidth="1"/>
    <col min="2563" max="2570" width="3.09765625" style="217" customWidth="1"/>
    <col min="2571" max="2579" width="4.69921875" style="217" customWidth="1"/>
    <col min="2580" max="2580" width="3.09765625" style="217" customWidth="1"/>
    <col min="2581" max="2581" width="13.59765625" style="217" customWidth="1"/>
    <col min="2582" max="2582" width="26.69921875" style="217" customWidth="1"/>
    <col min="2583" max="2586" width="13.59765625" style="217" customWidth="1"/>
    <col min="2587" max="2816" width="7.69921875" style="217"/>
    <col min="2817" max="2817" width="2.5" style="217" customWidth="1"/>
    <col min="2818" max="2818" width="6.59765625" style="217" customWidth="1"/>
    <col min="2819" max="2826" width="3.09765625" style="217" customWidth="1"/>
    <col min="2827" max="2835" width="4.69921875" style="217" customWidth="1"/>
    <col min="2836" max="2836" width="3.09765625" style="217" customWidth="1"/>
    <col min="2837" max="2837" width="13.59765625" style="217" customWidth="1"/>
    <col min="2838" max="2838" width="26.69921875" style="217" customWidth="1"/>
    <col min="2839" max="2842" width="13.59765625" style="217" customWidth="1"/>
    <col min="2843" max="3072" width="7.69921875" style="217"/>
    <col min="3073" max="3073" width="2.5" style="217" customWidth="1"/>
    <col min="3074" max="3074" width="6.59765625" style="217" customWidth="1"/>
    <col min="3075" max="3082" width="3.09765625" style="217" customWidth="1"/>
    <col min="3083" max="3091" width="4.69921875" style="217" customWidth="1"/>
    <col min="3092" max="3092" width="3.09765625" style="217" customWidth="1"/>
    <col min="3093" max="3093" width="13.59765625" style="217" customWidth="1"/>
    <col min="3094" max="3094" width="26.69921875" style="217" customWidth="1"/>
    <col min="3095" max="3098" width="13.59765625" style="217" customWidth="1"/>
    <col min="3099" max="3328" width="7.69921875" style="217"/>
    <col min="3329" max="3329" width="2.5" style="217" customWidth="1"/>
    <col min="3330" max="3330" width="6.59765625" style="217" customWidth="1"/>
    <col min="3331" max="3338" width="3.09765625" style="217" customWidth="1"/>
    <col min="3339" max="3347" width="4.69921875" style="217" customWidth="1"/>
    <col min="3348" max="3348" width="3.09765625" style="217" customWidth="1"/>
    <col min="3349" max="3349" width="13.59765625" style="217" customWidth="1"/>
    <col min="3350" max="3350" width="26.69921875" style="217" customWidth="1"/>
    <col min="3351" max="3354" width="13.59765625" style="217" customWidth="1"/>
    <col min="3355" max="3584" width="7.69921875" style="217"/>
    <col min="3585" max="3585" width="2.5" style="217" customWidth="1"/>
    <col min="3586" max="3586" width="6.59765625" style="217" customWidth="1"/>
    <col min="3587" max="3594" width="3.09765625" style="217" customWidth="1"/>
    <col min="3595" max="3603" width="4.69921875" style="217" customWidth="1"/>
    <col min="3604" max="3604" width="3.09765625" style="217" customWidth="1"/>
    <col min="3605" max="3605" width="13.59765625" style="217" customWidth="1"/>
    <col min="3606" max="3606" width="26.69921875" style="217" customWidth="1"/>
    <col min="3607" max="3610" width="13.59765625" style="217" customWidth="1"/>
    <col min="3611" max="3840" width="7.69921875" style="217"/>
    <col min="3841" max="3841" width="2.5" style="217" customWidth="1"/>
    <col min="3842" max="3842" width="6.59765625" style="217" customWidth="1"/>
    <col min="3843" max="3850" width="3.09765625" style="217" customWidth="1"/>
    <col min="3851" max="3859" width="4.69921875" style="217" customWidth="1"/>
    <col min="3860" max="3860" width="3.09765625" style="217" customWidth="1"/>
    <col min="3861" max="3861" width="13.59765625" style="217" customWidth="1"/>
    <col min="3862" max="3862" width="26.69921875" style="217" customWidth="1"/>
    <col min="3863" max="3866" width="13.59765625" style="217" customWidth="1"/>
    <col min="3867" max="4096" width="7.69921875" style="217"/>
    <col min="4097" max="4097" width="2.5" style="217" customWidth="1"/>
    <col min="4098" max="4098" width="6.59765625" style="217" customWidth="1"/>
    <col min="4099" max="4106" width="3.09765625" style="217" customWidth="1"/>
    <col min="4107" max="4115" width="4.69921875" style="217" customWidth="1"/>
    <col min="4116" max="4116" width="3.09765625" style="217" customWidth="1"/>
    <col min="4117" max="4117" width="13.59765625" style="217" customWidth="1"/>
    <col min="4118" max="4118" width="26.69921875" style="217" customWidth="1"/>
    <col min="4119" max="4122" width="13.59765625" style="217" customWidth="1"/>
    <col min="4123" max="4352" width="7.69921875" style="217"/>
    <col min="4353" max="4353" width="2.5" style="217" customWidth="1"/>
    <col min="4354" max="4354" width="6.59765625" style="217" customWidth="1"/>
    <col min="4355" max="4362" width="3.09765625" style="217" customWidth="1"/>
    <col min="4363" max="4371" width="4.69921875" style="217" customWidth="1"/>
    <col min="4372" max="4372" width="3.09765625" style="217" customWidth="1"/>
    <col min="4373" max="4373" width="13.59765625" style="217" customWidth="1"/>
    <col min="4374" max="4374" width="26.69921875" style="217" customWidth="1"/>
    <col min="4375" max="4378" width="13.59765625" style="217" customWidth="1"/>
    <col min="4379" max="4608" width="7.69921875" style="217"/>
    <col min="4609" max="4609" width="2.5" style="217" customWidth="1"/>
    <col min="4610" max="4610" width="6.59765625" style="217" customWidth="1"/>
    <col min="4611" max="4618" width="3.09765625" style="217" customWidth="1"/>
    <col min="4619" max="4627" width="4.69921875" style="217" customWidth="1"/>
    <col min="4628" max="4628" width="3.09765625" style="217" customWidth="1"/>
    <col min="4629" max="4629" width="13.59765625" style="217" customWidth="1"/>
    <col min="4630" max="4630" width="26.69921875" style="217" customWidth="1"/>
    <col min="4631" max="4634" width="13.59765625" style="217" customWidth="1"/>
    <col min="4635" max="4864" width="7.69921875" style="217"/>
    <col min="4865" max="4865" width="2.5" style="217" customWidth="1"/>
    <col min="4866" max="4866" width="6.59765625" style="217" customWidth="1"/>
    <col min="4867" max="4874" width="3.09765625" style="217" customWidth="1"/>
    <col min="4875" max="4883" width="4.69921875" style="217" customWidth="1"/>
    <col min="4884" max="4884" width="3.09765625" style="217" customWidth="1"/>
    <col min="4885" max="4885" width="13.59765625" style="217" customWidth="1"/>
    <col min="4886" max="4886" width="26.69921875" style="217" customWidth="1"/>
    <col min="4887" max="4890" width="13.59765625" style="217" customWidth="1"/>
    <col min="4891" max="5120" width="7.69921875" style="217"/>
    <col min="5121" max="5121" width="2.5" style="217" customWidth="1"/>
    <col min="5122" max="5122" width="6.59765625" style="217" customWidth="1"/>
    <col min="5123" max="5130" width="3.09765625" style="217" customWidth="1"/>
    <col min="5131" max="5139" width="4.69921875" style="217" customWidth="1"/>
    <col min="5140" max="5140" width="3.09765625" style="217" customWidth="1"/>
    <col min="5141" max="5141" width="13.59765625" style="217" customWidth="1"/>
    <col min="5142" max="5142" width="26.69921875" style="217" customWidth="1"/>
    <col min="5143" max="5146" width="13.59765625" style="217" customWidth="1"/>
    <col min="5147" max="5376" width="7.69921875" style="217"/>
    <col min="5377" max="5377" width="2.5" style="217" customWidth="1"/>
    <col min="5378" max="5378" width="6.59765625" style="217" customWidth="1"/>
    <col min="5379" max="5386" width="3.09765625" style="217" customWidth="1"/>
    <col min="5387" max="5395" width="4.69921875" style="217" customWidth="1"/>
    <col min="5396" max="5396" width="3.09765625" style="217" customWidth="1"/>
    <col min="5397" max="5397" width="13.59765625" style="217" customWidth="1"/>
    <col min="5398" max="5398" width="26.69921875" style="217" customWidth="1"/>
    <col min="5399" max="5402" width="13.59765625" style="217" customWidth="1"/>
    <col min="5403" max="5632" width="7.69921875" style="217"/>
    <col min="5633" max="5633" width="2.5" style="217" customWidth="1"/>
    <col min="5634" max="5634" width="6.59765625" style="217" customWidth="1"/>
    <col min="5635" max="5642" width="3.09765625" style="217" customWidth="1"/>
    <col min="5643" max="5651" width="4.69921875" style="217" customWidth="1"/>
    <col min="5652" max="5652" width="3.09765625" style="217" customWidth="1"/>
    <col min="5653" max="5653" width="13.59765625" style="217" customWidth="1"/>
    <col min="5654" max="5654" width="26.69921875" style="217" customWidth="1"/>
    <col min="5655" max="5658" width="13.59765625" style="217" customWidth="1"/>
    <col min="5659" max="5888" width="7.69921875" style="217"/>
    <col min="5889" max="5889" width="2.5" style="217" customWidth="1"/>
    <col min="5890" max="5890" width="6.59765625" style="217" customWidth="1"/>
    <col min="5891" max="5898" width="3.09765625" style="217" customWidth="1"/>
    <col min="5899" max="5907" width="4.69921875" style="217" customWidth="1"/>
    <col min="5908" max="5908" width="3.09765625" style="217" customWidth="1"/>
    <col min="5909" max="5909" width="13.59765625" style="217" customWidth="1"/>
    <col min="5910" max="5910" width="26.69921875" style="217" customWidth="1"/>
    <col min="5911" max="5914" width="13.59765625" style="217" customWidth="1"/>
    <col min="5915" max="6144" width="7.69921875" style="217"/>
    <col min="6145" max="6145" width="2.5" style="217" customWidth="1"/>
    <col min="6146" max="6146" width="6.59765625" style="217" customWidth="1"/>
    <col min="6147" max="6154" width="3.09765625" style="217" customWidth="1"/>
    <col min="6155" max="6163" width="4.69921875" style="217" customWidth="1"/>
    <col min="6164" max="6164" width="3.09765625" style="217" customWidth="1"/>
    <col min="6165" max="6165" width="13.59765625" style="217" customWidth="1"/>
    <col min="6166" max="6166" width="26.69921875" style="217" customWidth="1"/>
    <col min="6167" max="6170" width="13.59765625" style="217" customWidth="1"/>
    <col min="6171" max="6400" width="7.69921875" style="217"/>
    <col min="6401" max="6401" width="2.5" style="217" customWidth="1"/>
    <col min="6402" max="6402" width="6.59765625" style="217" customWidth="1"/>
    <col min="6403" max="6410" width="3.09765625" style="217" customWidth="1"/>
    <col min="6411" max="6419" width="4.69921875" style="217" customWidth="1"/>
    <col min="6420" max="6420" width="3.09765625" style="217" customWidth="1"/>
    <col min="6421" max="6421" width="13.59765625" style="217" customWidth="1"/>
    <col min="6422" max="6422" width="26.69921875" style="217" customWidth="1"/>
    <col min="6423" max="6426" width="13.59765625" style="217" customWidth="1"/>
    <col min="6427" max="6656" width="7.69921875" style="217"/>
    <col min="6657" max="6657" width="2.5" style="217" customWidth="1"/>
    <col min="6658" max="6658" width="6.59765625" style="217" customWidth="1"/>
    <col min="6659" max="6666" width="3.09765625" style="217" customWidth="1"/>
    <col min="6667" max="6675" width="4.69921875" style="217" customWidth="1"/>
    <col min="6676" max="6676" width="3.09765625" style="217" customWidth="1"/>
    <col min="6677" max="6677" width="13.59765625" style="217" customWidth="1"/>
    <col min="6678" max="6678" width="26.69921875" style="217" customWidth="1"/>
    <col min="6679" max="6682" width="13.59765625" style="217" customWidth="1"/>
    <col min="6683" max="6912" width="7.69921875" style="217"/>
    <col min="6913" max="6913" width="2.5" style="217" customWidth="1"/>
    <col min="6914" max="6914" width="6.59765625" style="217" customWidth="1"/>
    <col min="6915" max="6922" width="3.09765625" style="217" customWidth="1"/>
    <col min="6923" max="6931" width="4.69921875" style="217" customWidth="1"/>
    <col min="6932" max="6932" width="3.09765625" style="217" customWidth="1"/>
    <col min="6933" max="6933" width="13.59765625" style="217" customWidth="1"/>
    <col min="6934" max="6934" width="26.69921875" style="217" customWidth="1"/>
    <col min="6935" max="6938" width="13.59765625" style="217" customWidth="1"/>
    <col min="6939" max="7168" width="7.69921875" style="217"/>
    <col min="7169" max="7169" width="2.5" style="217" customWidth="1"/>
    <col min="7170" max="7170" width="6.59765625" style="217" customWidth="1"/>
    <col min="7171" max="7178" width="3.09765625" style="217" customWidth="1"/>
    <col min="7179" max="7187" width="4.69921875" style="217" customWidth="1"/>
    <col min="7188" max="7188" width="3.09765625" style="217" customWidth="1"/>
    <col min="7189" max="7189" width="13.59765625" style="217" customWidth="1"/>
    <col min="7190" max="7190" width="26.69921875" style="217" customWidth="1"/>
    <col min="7191" max="7194" width="13.59765625" style="217" customWidth="1"/>
    <col min="7195" max="7424" width="7.69921875" style="217"/>
    <col min="7425" max="7425" width="2.5" style="217" customWidth="1"/>
    <col min="7426" max="7426" width="6.59765625" style="217" customWidth="1"/>
    <col min="7427" max="7434" width="3.09765625" style="217" customWidth="1"/>
    <col min="7435" max="7443" width="4.69921875" style="217" customWidth="1"/>
    <col min="7444" max="7444" width="3.09765625" style="217" customWidth="1"/>
    <col min="7445" max="7445" width="13.59765625" style="217" customWidth="1"/>
    <col min="7446" max="7446" width="26.69921875" style="217" customWidth="1"/>
    <col min="7447" max="7450" width="13.59765625" style="217" customWidth="1"/>
    <col min="7451" max="7680" width="7.69921875" style="217"/>
    <col min="7681" max="7681" width="2.5" style="217" customWidth="1"/>
    <col min="7682" max="7682" width="6.59765625" style="217" customWidth="1"/>
    <col min="7683" max="7690" width="3.09765625" style="217" customWidth="1"/>
    <col min="7691" max="7699" width="4.69921875" style="217" customWidth="1"/>
    <col min="7700" max="7700" width="3.09765625" style="217" customWidth="1"/>
    <col min="7701" max="7701" width="13.59765625" style="217" customWidth="1"/>
    <col min="7702" max="7702" width="26.69921875" style="217" customWidth="1"/>
    <col min="7703" max="7706" width="13.59765625" style="217" customWidth="1"/>
    <col min="7707" max="7936" width="7.69921875" style="217"/>
    <col min="7937" max="7937" width="2.5" style="217" customWidth="1"/>
    <col min="7938" max="7938" width="6.59765625" style="217" customWidth="1"/>
    <col min="7939" max="7946" width="3.09765625" style="217" customWidth="1"/>
    <col min="7947" max="7955" width="4.69921875" style="217" customWidth="1"/>
    <col min="7956" max="7956" width="3.09765625" style="217" customWidth="1"/>
    <col min="7957" max="7957" width="13.59765625" style="217" customWidth="1"/>
    <col min="7958" max="7958" width="26.69921875" style="217" customWidth="1"/>
    <col min="7959" max="7962" width="13.59765625" style="217" customWidth="1"/>
    <col min="7963" max="8192" width="7.69921875" style="217"/>
    <col min="8193" max="8193" width="2.5" style="217" customWidth="1"/>
    <col min="8194" max="8194" width="6.59765625" style="217" customWidth="1"/>
    <col min="8195" max="8202" width="3.09765625" style="217" customWidth="1"/>
    <col min="8203" max="8211" width="4.69921875" style="217" customWidth="1"/>
    <col min="8212" max="8212" width="3.09765625" style="217" customWidth="1"/>
    <col min="8213" max="8213" width="13.59765625" style="217" customWidth="1"/>
    <col min="8214" max="8214" width="26.69921875" style="217" customWidth="1"/>
    <col min="8215" max="8218" width="13.59765625" style="217" customWidth="1"/>
    <col min="8219" max="8448" width="7.69921875" style="217"/>
    <col min="8449" max="8449" width="2.5" style="217" customWidth="1"/>
    <col min="8450" max="8450" width="6.59765625" style="217" customWidth="1"/>
    <col min="8451" max="8458" width="3.09765625" style="217" customWidth="1"/>
    <col min="8459" max="8467" width="4.69921875" style="217" customWidth="1"/>
    <col min="8468" max="8468" width="3.09765625" style="217" customWidth="1"/>
    <col min="8469" max="8469" width="13.59765625" style="217" customWidth="1"/>
    <col min="8470" max="8470" width="26.69921875" style="217" customWidth="1"/>
    <col min="8471" max="8474" width="13.59765625" style="217" customWidth="1"/>
    <col min="8475" max="8704" width="7.69921875" style="217"/>
    <col min="8705" max="8705" width="2.5" style="217" customWidth="1"/>
    <col min="8706" max="8706" width="6.59765625" style="217" customWidth="1"/>
    <col min="8707" max="8714" width="3.09765625" style="217" customWidth="1"/>
    <col min="8715" max="8723" width="4.69921875" style="217" customWidth="1"/>
    <col min="8724" max="8724" width="3.09765625" style="217" customWidth="1"/>
    <col min="8725" max="8725" width="13.59765625" style="217" customWidth="1"/>
    <col min="8726" max="8726" width="26.69921875" style="217" customWidth="1"/>
    <col min="8727" max="8730" width="13.59765625" style="217" customWidth="1"/>
    <col min="8731" max="8960" width="7.69921875" style="217"/>
    <col min="8961" max="8961" width="2.5" style="217" customWidth="1"/>
    <col min="8962" max="8962" width="6.59765625" style="217" customWidth="1"/>
    <col min="8963" max="8970" width="3.09765625" style="217" customWidth="1"/>
    <col min="8971" max="8979" width="4.69921875" style="217" customWidth="1"/>
    <col min="8980" max="8980" width="3.09765625" style="217" customWidth="1"/>
    <col min="8981" max="8981" width="13.59765625" style="217" customWidth="1"/>
    <col min="8982" max="8982" width="26.69921875" style="217" customWidth="1"/>
    <col min="8983" max="8986" width="13.59765625" style="217" customWidth="1"/>
    <col min="8987" max="9216" width="7.69921875" style="217"/>
    <col min="9217" max="9217" width="2.5" style="217" customWidth="1"/>
    <col min="9218" max="9218" width="6.59765625" style="217" customWidth="1"/>
    <col min="9219" max="9226" width="3.09765625" style="217" customWidth="1"/>
    <col min="9227" max="9235" width="4.69921875" style="217" customWidth="1"/>
    <col min="9236" max="9236" width="3.09765625" style="217" customWidth="1"/>
    <col min="9237" max="9237" width="13.59765625" style="217" customWidth="1"/>
    <col min="9238" max="9238" width="26.69921875" style="217" customWidth="1"/>
    <col min="9239" max="9242" width="13.59765625" style="217" customWidth="1"/>
    <col min="9243" max="9472" width="7.69921875" style="217"/>
    <col min="9473" max="9473" width="2.5" style="217" customWidth="1"/>
    <col min="9474" max="9474" width="6.59765625" style="217" customWidth="1"/>
    <col min="9475" max="9482" width="3.09765625" style="217" customWidth="1"/>
    <col min="9483" max="9491" width="4.69921875" style="217" customWidth="1"/>
    <col min="9492" max="9492" width="3.09765625" style="217" customWidth="1"/>
    <col min="9493" max="9493" width="13.59765625" style="217" customWidth="1"/>
    <col min="9494" max="9494" width="26.69921875" style="217" customWidth="1"/>
    <col min="9495" max="9498" width="13.59765625" style="217" customWidth="1"/>
    <col min="9499" max="9728" width="7.69921875" style="217"/>
    <col min="9729" max="9729" width="2.5" style="217" customWidth="1"/>
    <col min="9730" max="9730" width="6.59765625" style="217" customWidth="1"/>
    <col min="9731" max="9738" width="3.09765625" style="217" customWidth="1"/>
    <col min="9739" max="9747" width="4.69921875" style="217" customWidth="1"/>
    <col min="9748" max="9748" width="3.09765625" style="217" customWidth="1"/>
    <col min="9749" max="9749" width="13.59765625" style="217" customWidth="1"/>
    <col min="9750" max="9750" width="26.69921875" style="217" customWidth="1"/>
    <col min="9751" max="9754" width="13.59765625" style="217" customWidth="1"/>
    <col min="9755" max="9984" width="7.69921875" style="217"/>
    <col min="9985" max="9985" width="2.5" style="217" customWidth="1"/>
    <col min="9986" max="9986" width="6.59765625" style="217" customWidth="1"/>
    <col min="9987" max="9994" width="3.09765625" style="217" customWidth="1"/>
    <col min="9995" max="10003" width="4.69921875" style="217" customWidth="1"/>
    <col min="10004" max="10004" width="3.09765625" style="217" customWidth="1"/>
    <col min="10005" max="10005" width="13.59765625" style="217" customWidth="1"/>
    <col min="10006" max="10006" width="26.69921875" style="217" customWidth="1"/>
    <col min="10007" max="10010" width="13.59765625" style="217" customWidth="1"/>
    <col min="10011" max="10240" width="7.69921875" style="217"/>
    <col min="10241" max="10241" width="2.5" style="217" customWidth="1"/>
    <col min="10242" max="10242" width="6.59765625" style="217" customWidth="1"/>
    <col min="10243" max="10250" width="3.09765625" style="217" customWidth="1"/>
    <col min="10251" max="10259" width="4.69921875" style="217" customWidth="1"/>
    <col min="10260" max="10260" width="3.09765625" style="217" customWidth="1"/>
    <col min="10261" max="10261" width="13.59765625" style="217" customWidth="1"/>
    <col min="10262" max="10262" width="26.69921875" style="217" customWidth="1"/>
    <col min="10263" max="10266" width="13.59765625" style="217" customWidth="1"/>
    <col min="10267" max="10496" width="7.69921875" style="217"/>
    <col min="10497" max="10497" width="2.5" style="217" customWidth="1"/>
    <col min="10498" max="10498" width="6.59765625" style="217" customWidth="1"/>
    <col min="10499" max="10506" width="3.09765625" style="217" customWidth="1"/>
    <col min="10507" max="10515" width="4.69921875" style="217" customWidth="1"/>
    <col min="10516" max="10516" width="3.09765625" style="217" customWidth="1"/>
    <col min="10517" max="10517" width="13.59765625" style="217" customWidth="1"/>
    <col min="10518" max="10518" width="26.69921875" style="217" customWidth="1"/>
    <col min="10519" max="10522" width="13.59765625" style="217" customWidth="1"/>
    <col min="10523" max="10752" width="7.69921875" style="217"/>
    <col min="10753" max="10753" width="2.5" style="217" customWidth="1"/>
    <col min="10754" max="10754" width="6.59765625" style="217" customWidth="1"/>
    <col min="10755" max="10762" width="3.09765625" style="217" customWidth="1"/>
    <col min="10763" max="10771" width="4.69921875" style="217" customWidth="1"/>
    <col min="10772" max="10772" width="3.09765625" style="217" customWidth="1"/>
    <col min="10773" max="10773" width="13.59765625" style="217" customWidth="1"/>
    <col min="10774" max="10774" width="26.69921875" style="217" customWidth="1"/>
    <col min="10775" max="10778" width="13.59765625" style="217" customWidth="1"/>
    <col min="10779" max="11008" width="7.69921875" style="217"/>
    <col min="11009" max="11009" width="2.5" style="217" customWidth="1"/>
    <col min="11010" max="11010" width="6.59765625" style="217" customWidth="1"/>
    <col min="11011" max="11018" width="3.09765625" style="217" customWidth="1"/>
    <col min="11019" max="11027" width="4.69921875" style="217" customWidth="1"/>
    <col min="11028" max="11028" width="3.09765625" style="217" customWidth="1"/>
    <col min="11029" max="11029" width="13.59765625" style="217" customWidth="1"/>
    <col min="11030" max="11030" width="26.69921875" style="217" customWidth="1"/>
    <col min="11031" max="11034" width="13.59765625" style="217" customWidth="1"/>
    <col min="11035" max="11264" width="7.69921875" style="217"/>
    <col min="11265" max="11265" width="2.5" style="217" customWidth="1"/>
    <col min="11266" max="11266" width="6.59765625" style="217" customWidth="1"/>
    <col min="11267" max="11274" width="3.09765625" style="217" customWidth="1"/>
    <col min="11275" max="11283" width="4.69921875" style="217" customWidth="1"/>
    <col min="11284" max="11284" width="3.09765625" style="217" customWidth="1"/>
    <col min="11285" max="11285" width="13.59765625" style="217" customWidth="1"/>
    <col min="11286" max="11286" width="26.69921875" style="217" customWidth="1"/>
    <col min="11287" max="11290" width="13.59765625" style="217" customWidth="1"/>
    <col min="11291" max="11520" width="7.69921875" style="217"/>
    <col min="11521" max="11521" width="2.5" style="217" customWidth="1"/>
    <col min="11522" max="11522" width="6.59765625" style="217" customWidth="1"/>
    <col min="11523" max="11530" width="3.09765625" style="217" customWidth="1"/>
    <col min="11531" max="11539" width="4.69921875" style="217" customWidth="1"/>
    <col min="11540" max="11540" width="3.09765625" style="217" customWidth="1"/>
    <col min="11541" max="11541" width="13.59765625" style="217" customWidth="1"/>
    <col min="11542" max="11542" width="26.69921875" style="217" customWidth="1"/>
    <col min="11543" max="11546" width="13.59765625" style="217" customWidth="1"/>
    <col min="11547" max="11776" width="7.69921875" style="217"/>
    <col min="11777" max="11777" width="2.5" style="217" customWidth="1"/>
    <col min="11778" max="11778" width="6.59765625" style="217" customWidth="1"/>
    <col min="11779" max="11786" width="3.09765625" style="217" customWidth="1"/>
    <col min="11787" max="11795" width="4.69921875" style="217" customWidth="1"/>
    <col min="11796" max="11796" width="3.09765625" style="217" customWidth="1"/>
    <col min="11797" max="11797" width="13.59765625" style="217" customWidth="1"/>
    <col min="11798" max="11798" width="26.69921875" style="217" customWidth="1"/>
    <col min="11799" max="11802" width="13.59765625" style="217" customWidth="1"/>
    <col min="11803" max="12032" width="7.69921875" style="217"/>
    <col min="12033" max="12033" width="2.5" style="217" customWidth="1"/>
    <col min="12034" max="12034" width="6.59765625" style="217" customWidth="1"/>
    <col min="12035" max="12042" width="3.09765625" style="217" customWidth="1"/>
    <col min="12043" max="12051" width="4.69921875" style="217" customWidth="1"/>
    <col min="12052" max="12052" width="3.09765625" style="217" customWidth="1"/>
    <col min="12053" max="12053" width="13.59765625" style="217" customWidth="1"/>
    <col min="12054" max="12054" width="26.69921875" style="217" customWidth="1"/>
    <col min="12055" max="12058" width="13.59765625" style="217" customWidth="1"/>
    <col min="12059" max="12288" width="7.69921875" style="217"/>
    <col min="12289" max="12289" width="2.5" style="217" customWidth="1"/>
    <col min="12290" max="12290" width="6.59765625" style="217" customWidth="1"/>
    <col min="12291" max="12298" width="3.09765625" style="217" customWidth="1"/>
    <col min="12299" max="12307" width="4.69921875" style="217" customWidth="1"/>
    <col min="12308" max="12308" width="3.09765625" style="217" customWidth="1"/>
    <col min="12309" max="12309" width="13.59765625" style="217" customWidth="1"/>
    <col min="12310" max="12310" width="26.69921875" style="217" customWidth="1"/>
    <col min="12311" max="12314" width="13.59765625" style="217" customWidth="1"/>
    <col min="12315" max="12544" width="7.69921875" style="217"/>
    <col min="12545" max="12545" width="2.5" style="217" customWidth="1"/>
    <col min="12546" max="12546" width="6.59765625" style="217" customWidth="1"/>
    <col min="12547" max="12554" width="3.09765625" style="217" customWidth="1"/>
    <col min="12555" max="12563" width="4.69921875" style="217" customWidth="1"/>
    <col min="12564" max="12564" width="3.09765625" style="217" customWidth="1"/>
    <col min="12565" max="12565" width="13.59765625" style="217" customWidth="1"/>
    <col min="12566" max="12566" width="26.69921875" style="217" customWidth="1"/>
    <col min="12567" max="12570" width="13.59765625" style="217" customWidth="1"/>
    <col min="12571" max="12800" width="7.69921875" style="217"/>
    <col min="12801" max="12801" width="2.5" style="217" customWidth="1"/>
    <col min="12802" max="12802" width="6.59765625" style="217" customWidth="1"/>
    <col min="12803" max="12810" width="3.09765625" style="217" customWidth="1"/>
    <col min="12811" max="12819" width="4.69921875" style="217" customWidth="1"/>
    <col min="12820" max="12820" width="3.09765625" style="217" customWidth="1"/>
    <col min="12821" max="12821" width="13.59765625" style="217" customWidth="1"/>
    <col min="12822" max="12822" width="26.69921875" style="217" customWidth="1"/>
    <col min="12823" max="12826" width="13.59765625" style="217" customWidth="1"/>
    <col min="12827" max="13056" width="7.69921875" style="217"/>
    <col min="13057" max="13057" width="2.5" style="217" customWidth="1"/>
    <col min="13058" max="13058" width="6.59765625" style="217" customWidth="1"/>
    <col min="13059" max="13066" width="3.09765625" style="217" customWidth="1"/>
    <col min="13067" max="13075" width="4.69921875" style="217" customWidth="1"/>
    <col min="13076" max="13076" width="3.09765625" style="217" customWidth="1"/>
    <col min="13077" max="13077" width="13.59765625" style="217" customWidth="1"/>
    <col min="13078" max="13078" width="26.69921875" style="217" customWidth="1"/>
    <col min="13079" max="13082" width="13.59765625" style="217" customWidth="1"/>
    <col min="13083" max="13312" width="7.69921875" style="217"/>
    <col min="13313" max="13313" width="2.5" style="217" customWidth="1"/>
    <col min="13314" max="13314" width="6.59765625" style="217" customWidth="1"/>
    <col min="13315" max="13322" width="3.09765625" style="217" customWidth="1"/>
    <col min="13323" max="13331" width="4.69921875" style="217" customWidth="1"/>
    <col min="13332" max="13332" width="3.09765625" style="217" customWidth="1"/>
    <col min="13333" max="13333" width="13.59765625" style="217" customWidth="1"/>
    <col min="13334" max="13334" width="26.69921875" style="217" customWidth="1"/>
    <col min="13335" max="13338" width="13.59765625" style="217" customWidth="1"/>
    <col min="13339" max="13568" width="7.69921875" style="217"/>
    <col min="13569" max="13569" width="2.5" style="217" customWidth="1"/>
    <col min="13570" max="13570" width="6.59765625" style="217" customWidth="1"/>
    <col min="13571" max="13578" width="3.09765625" style="217" customWidth="1"/>
    <col min="13579" max="13587" width="4.69921875" style="217" customWidth="1"/>
    <col min="13588" max="13588" width="3.09765625" style="217" customWidth="1"/>
    <col min="13589" max="13589" width="13.59765625" style="217" customWidth="1"/>
    <col min="13590" max="13590" width="26.69921875" style="217" customWidth="1"/>
    <col min="13591" max="13594" width="13.59765625" style="217" customWidth="1"/>
    <col min="13595" max="13824" width="7.69921875" style="217"/>
    <col min="13825" max="13825" width="2.5" style="217" customWidth="1"/>
    <col min="13826" max="13826" width="6.59765625" style="217" customWidth="1"/>
    <col min="13827" max="13834" width="3.09765625" style="217" customWidth="1"/>
    <col min="13835" max="13843" width="4.69921875" style="217" customWidth="1"/>
    <col min="13844" max="13844" width="3.09765625" style="217" customWidth="1"/>
    <col min="13845" max="13845" width="13.59765625" style="217" customWidth="1"/>
    <col min="13846" max="13846" width="26.69921875" style="217" customWidth="1"/>
    <col min="13847" max="13850" width="13.59765625" style="217" customWidth="1"/>
    <col min="13851" max="14080" width="7.69921875" style="217"/>
    <col min="14081" max="14081" width="2.5" style="217" customWidth="1"/>
    <col min="14082" max="14082" width="6.59765625" style="217" customWidth="1"/>
    <col min="14083" max="14090" width="3.09765625" style="217" customWidth="1"/>
    <col min="14091" max="14099" width="4.69921875" style="217" customWidth="1"/>
    <col min="14100" max="14100" width="3.09765625" style="217" customWidth="1"/>
    <col min="14101" max="14101" width="13.59765625" style="217" customWidth="1"/>
    <col min="14102" max="14102" width="26.69921875" style="217" customWidth="1"/>
    <col min="14103" max="14106" width="13.59765625" style="217" customWidth="1"/>
    <col min="14107" max="14336" width="7.69921875" style="217"/>
    <col min="14337" max="14337" width="2.5" style="217" customWidth="1"/>
    <col min="14338" max="14338" width="6.59765625" style="217" customWidth="1"/>
    <col min="14339" max="14346" width="3.09765625" style="217" customWidth="1"/>
    <col min="14347" max="14355" width="4.69921875" style="217" customWidth="1"/>
    <col min="14356" max="14356" width="3.09765625" style="217" customWidth="1"/>
    <col min="14357" max="14357" width="13.59765625" style="217" customWidth="1"/>
    <col min="14358" max="14358" width="26.69921875" style="217" customWidth="1"/>
    <col min="14359" max="14362" width="13.59765625" style="217" customWidth="1"/>
    <col min="14363" max="14592" width="7.69921875" style="217"/>
    <col min="14593" max="14593" width="2.5" style="217" customWidth="1"/>
    <col min="14594" max="14594" width="6.59765625" style="217" customWidth="1"/>
    <col min="14595" max="14602" width="3.09765625" style="217" customWidth="1"/>
    <col min="14603" max="14611" width="4.69921875" style="217" customWidth="1"/>
    <col min="14612" max="14612" width="3.09765625" style="217" customWidth="1"/>
    <col min="14613" max="14613" width="13.59765625" style="217" customWidth="1"/>
    <col min="14614" max="14614" width="26.69921875" style="217" customWidth="1"/>
    <col min="14615" max="14618" width="13.59765625" style="217" customWidth="1"/>
    <col min="14619" max="14848" width="7.69921875" style="217"/>
    <col min="14849" max="14849" width="2.5" style="217" customWidth="1"/>
    <col min="14850" max="14850" width="6.59765625" style="217" customWidth="1"/>
    <col min="14851" max="14858" width="3.09765625" style="217" customWidth="1"/>
    <col min="14859" max="14867" width="4.69921875" style="217" customWidth="1"/>
    <col min="14868" max="14868" width="3.09765625" style="217" customWidth="1"/>
    <col min="14869" max="14869" width="13.59765625" style="217" customWidth="1"/>
    <col min="14870" max="14870" width="26.69921875" style="217" customWidth="1"/>
    <col min="14871" max="14874" width="13.59765625" style="217" customWidth="1"/>
    <col min="14875" max="15104" width="7.69921875" style="217"/>
    <col min="15105" max="15105" width="2.5" style="217" customWidth="1"/>
    <col min="15106" max="15106" width="6.59765625" style="217" customWidth="1"/>
    <col min="15107" max="15114" width="3.09765625" style="217" customWidth="1"/>
    <col min="15115" max="15123" width="4.69921875" style="217" customWidth="1"/>
    <col min="15124" max="15124" width="3.09765625" style="217" customWidth="1"/>
    <col min="15125" max="15125" width="13.59765625" style="217" customWidth="1"/>
    <col min="15126" max="15126" width="26.69921875" style="217" customWidth="1"/>
    <col min="15127" max="15130" width="13.59765625" style="217" customWidth="1"/>
    <col min="15131" max="15360" width="7.69921875" style="217"/>
    <col min="15361" max="15361" width="2.5" style="217" customWidth="1"/>
    <col min="15362" max="15362" width="6.59765625" style="217" customWidth="1"/>
    <col min="15363" max="15370" width="3.09765625" style="217" customWidth="1"/>
    <col min="15371" max="15379" width="4.69921875" style="217" customWidth="1"/>
    <col min="15380" max="15380" width="3.09765625" style="217" customWidth="1"/>
    <col min="15381" max="15381" width="13.59765625" style="217" customWidth="1"/>
    <col min="15382" max="15382" width="26.69921875" style="217" customWidth="1"/>
    <col min="15383" max="15386" width="13.59765625" style="217" customWidth="1"/>
    <col min="15387" max="15616" width="7.69921875" style="217"/>
    <col min="15617" max="15617" width="2.5" style="217" customWidth="1"/>
    <col min="15618" max="15618" width="6.59765625" style="217" customWidth="1"/>
    <col min="15619" max="15626" width="3.09765625" style="217" customWidth="1"/>
    <col min="15627" max="15635" width="4.69921875" style="217" customWidth="1"/>
    <col min="15636" max="15636" width="3.09765625" style="217" customWidth="1"/>
    <col min="15637" max="15637" width="13.59765625" style="217" customWidth="1"/>
    <col min="15638" max="15638" width="26.69921875" style="217" customWidth="1"/>
    <col min="15639" max="15642" width="13.59765625" style="217" customWidth="1"/>
    <col min="15643" max="15872" width="7.69921875" style="217"/>
    <col min="15873" max="15873" width="2.5" style="217" customWidth="1"/>
    <col min="15874" max="15874" width="6.59765625" style="217" customWidth="1"/>
    <col min="15875" max="15882" width="3.09765625" style="217" customWidth="1"/>
    <col min="15883" max="15891" width="4.69921875" style="217" customWidth="1"/>
    <col min="15892" max="15892" width="3.09765625" style="217" customWidth="1"/>
    <col min="15893" max="15893" width="13.59765625" style="217" customWidth="1"/>
    <col min="15894" max="15894" width="26.69921875" style="217" customWidth="1"/>
    <col min="15895" max="15898" width="13.59765625" style="217" customWidth="1"/>
    <col min="15899" max="16128" width="7.69921875" style="217"/>
    <col min="16129" max="16129" width="2.5" style="217" customWidth="1"/>
    <col min="16130" max="16130" width="6.59765625" style="217" customWidth="1"/>
    <col min="16131" max="16138" width="3.09765625" style="217" customWidth="1"/>
    <col min="16139" max="16147" width="4.69921875" style="217" customWidth="1"/>
    <col min="16148" max="16148" width="3.09765625" style="217" customWidth="1"/>
    <col min="16149" max="16149" width="13.59765625" style="217" customWidth="1"/>
    <col min="16150" max="16150" width="26.69921875" style="217" customWidth="1"/>
    <col min="16151" max="16154" width="13.59765625" style="217" customWidth="1"/>
    <col min="16155" max="16384" width="7.69921875" style="217"/>
  </cols>
  <sheetData>
    <row r="1" spans="1:26" s="212" customFormat="1" ht="15" customHeight="1">
      <c r="B1" s="247"/>
      <c r="T1" s="247"/>
      <c r="V1" s="213" t="s">
        <v>368</v>
      </c>
    </row>
    <row r="2" spans="1:26" ht="15" customHeight="1">
      <c r="A2" s="214" t="s">
        <v>728</v>
      </c>
      <c r="B2" s="218"/>
      <c r="C2" s="213"/>
      <c r="D2" s="213"/>
      <c r="E2" s="213"/>
      <c r="F2" s="213"/>
      <c r="G2" s="213"/>
      <c r="H2" s="213"/>
      <c r="I2" s="213"/>
      <c r="J2" s="213"/>
      <c r="K2" s="213"/>
      <c r="L2" s="213"/>
      <c r="M2" s="213"/>
      <c r="N2" s="213"/>
      <c r="O2" s="213"/>
      <c r="P2" s="213"/>
      <c r="Q2" s="215" t="str">
        <f>'SP5-1'!L2</f>
        <v>Spreadsheet May 2025</v>
      </c>
      <c r="S2" s="213"/>
      <c r="T2" s="219"/>
      <c r="V2" s="216" t="s">
        <v>369</v>
      </c>
      <c r="W2" s="213"/>
      <c r="X2" s="213"/>
      <c r="Y2" s="213"/>
    </row>
    <row r="3" spans="1:26" s="212" customFormat="1" ht="15" customHeight="1">
      <c r="A3" s="218" t="s">
        <v>744</v>
      </c>
      <c r="B3" s="218"/>
      <c r="C3" s="213"/>
      <c r="D3" s="213"/>
      <c r="E3" s="213"/>
      <c r="F3" s="213"/>
      <c r="G3" s="213"/>
      <c r="H3" s="213"/>
      <c r="I3" s="213"/>
      <c r="J3" s="213"/>
      <c r="K3" s="213"/>
      <c r="L3" s="213"/>
      <c r="M3" s="213"/>
      <c r="N3" s="213"/>
      <c r="O3" s="213"/>
      <c r="P3" s="213"/>
      <c r="Q3" s="213"/>
      <c r="R3" s="213"/>
      <c r="S3" s="213"/>
      <c r="T3" s="219"/>
      <c r="U3" s="213"/>
      <c r="V3" s="213"/>
      <c r="W3" s="213"/>
      <c r="X3" s="213"/>
      <c r="Y3" s="213"/>
    </row>
    <row r="4" spans="1:26" s="212" customFormat="1" ht="15" customHeight="1">
      <c r="A4" s="218"/>
      <c r="B4" s="530" t="s">
        <v>900</v>
      </c>
      <c r="C4" s="531"/>
      <c r="D4" s="531"/>
      <c r="E4" s="531"/>
      <c r="F4" s="531"/>
      <c r="G4" s="531"/>
      <c r="H4" s="531"/>
      <c r="I4" s="531"/>
      <c r="J4" s="531"/>
      <c r="K4" s="531"/>
      <c r="L4" s="531"/>
      <c r="M4" s="531"/>
      <c r="N4" s="531"/>
      <c r="O4" s="531"/>
      <c r="P4" s="531"/>
      <c r="Q4" s="531"/>
      <c r="R4" s="531"/>
      <c r="S4" s="531"/>
      <c r="T4" s="532"/>
      <c r="U4" s="213"/>
      <c r="V4" s="213"/>
      <c r="W4" s="213"/>
      <c r="X4" s="213"/>
      <c r="Y4" s="213"/>
    </row>
    <row r="5" spans="1:26" s="212" customFormat="1" ht="63" customHeight="1">
      <c r="A5" s="218"/>
      <c r="B5" s="533"/>
      <c r="C5" s="534"/>
      <c r="D5" s="534"/>
      <c r="E5" s="534"/>
      <c r="F5" s="534"/>
      <c r="G5" s="534"/>
      <c r="H5" s="534"/>
      <c r="I5" s="534"/>
      <c r="J5" s="534"/>
      <c r="K5" s="534"/>
      <c r="L5" s="534"/>
      <c r="M5" s="534"/>
      <c r="N5" s="534"/>
      <c r="O5" s="534"/>
      <c r="P5" s="534"/>
      <c r="Q5" s="534"/>
      <c r="R5" s="534"/>
      <c r="S5" s="534"/>
      <c r="T5" s="535"/>
      <c r="U5" s="213"/>
      <c r="V5" s="213"/>
      <c r="W5" s="213"/>
      <c r="X5" s="213"/>
      <c r="Y5" s="213"/>
    </row>
    <row r="6" spans="1:26" s="212" customFormat="1" ht="11.25" customHeight="1" thickBot="1">
      <c r="A6" s="219"/>
      <c r="B6" s="219"/>
      <c r="C6" s="213"/>
      <c r="D6" s="213"/>
      <c r="E6" s="213"/>
      <c r="F6" s="213"/>
      <c r="G6" s="213"/>
      <c r="H6" s="213"/>
      <c r="I6" s="213"/>
      <c r="J6" s="213"/>
      <c r="K6" s="213"/>
      <c r="L6" s="213"/>
      <c r="M6" s="213"/>
      <c r="N6" s="213"/>
      <c r="O6" s="213"/>
      <c r="P6" s="213"/>
      <c r="Q6" s="213"/>
      <c r="R6" s="213"/>
      <c r="S6" s="213"/>
      <c r="T6" s="219"/>
      <c r="U6" s="213"/>
      <c r="V6" s="213"/>
      <c r="W6" s="213"/>
      <c r="X6" s="213"/>
      <c r="Y6" s="213"/>
    </row>
    <row r="7" spans="1:26" s="212" customFormat="1" ht="19.5" customHeight="1" thickBot="1">
      <c r="A7" s="220">
        <v>1</v>
      </c>
      <c r="B7" s="488" t="s">
        <v>409</v>
      </c>
      <c r="C7" s="488"/>
      <c r="D7" s="488"/>
      <c r="E7" s="488"/>
      <c r="F7" s="488"/>
      <c r="G7" s="488"/>
      <c r="H7" s="488"/>
      <c r="I7" s="488"/>
      <c r="J7" s="488"/>
      <c r="K7" s="488"/>
      <c r="L7" s="488"/>
      <c r="M7" s="488"/>
      <c r="N7" s="488"/>
      <c r="O7" s="221"/>
      <c r="P7" s="221"/>
      <c r="Q7" s="221"/>
      <c r="R7" s="221"/>
      <c r="S7" s="221"/>
      <c r="T7" s="222"/>
      <c r="U7" s="213"/>
      <c r="V7" s="213"/>
      <c r="W7" s="213"/>
      <c r="X7" s="213"/>
      <c r="Y7" s="213"/>
    </row>
    <row r="8" spans="1:26" s="212" customFormat="1" ht="19.5" customHeight="1" thickBot="1">
      <c r="A8" s="220"/>
      <c r="B8" s="221" t="s">
        <v>410</v>
      </c>
      <c r="C8" s="223"/>
      <c r="D8" s="223"/>
      <c r="E8" s="223"/>
      <c r="F8" s="223"/>
      <c r="G8" s="223"/>
      <c r="H8" s="223"/>
      <c r="I8" s="223"/>
      <c r="J8" s="221"/>
      <c r="K8" s="221"/>
      <c r="L8" s="221"/>
      <c r="M8" s="221"/>
      <c r="N8" s="221"/>
      <c r="O8" s="221"/>
      <c r="P8" s="229" t="s">
        <v>745</v>
      </c>
      <c r="Q8" s="536"/>
      <c r="R8" s="536"/>
      <c r="S8" s="536"/>
      <c r="T8" s="222"/>
      <c r="U8" s="213"/>
      <c r="V8" s="481" t="s">
        <v>746</v>
      </c>
      <c r="W8" s="482"/>
      <c r="X8" s="482"/>
      <c r="Y8" s="482"/>
      <c r="Z8" s="483"/>
    </row>
    <row r="9" spans="1:26" s="212" customFormat="1" ht="19.5" customHeight="1" thickBot="1">
      <c r="A9" s="222"/>
      <c r="B9" s="221"/>
      <c r="C9" s="221"/>
      <c r="D9" s="221"/>
      <c r="E9" s="221"/>
      <c r="F9" s="221"/>
      <c r="G9" s="221"/>
      <c r="H9" s="221"/>
      <c r="I9" s="221"/>
      <c r="J9" s="221"/>
      <c r="K9" s="221"/>
      <c r="L9" s="221"/>
      <c r="M9" s="221"/>
      <c r="N9" s="221"/>
      <c r="O9" s="221"/>
      <c r="P9" s="229" t="s">
        <v>747</v>
      </c>
      <c r="Q9" s="536"/>
      <c r="R9" s="536"/>
      <c r="S9" s="536"/>
      <c r="T9" s="222"/>
      <c r="U9" s="213"/>
      <c r="V9" s="537"/>
      <c r="W9" s="538"/>
      <c r="X9" s="538"/>
      <c r="Y9" s="538"/>
      <c r="Z9" s="539"/>
    </row>
    <row r="10" spans="1:26" s="212" customFormat="1" ht="19.5" customHeight="1" thickBot="1">
      <c r="A10" s="222"/>
      <c r="B10" s="221"/>
      <c r="C10" s="221"/>
      <c r="D10" s="221"/>
      <c r="E10" s="221"/>
      <c r="F10" s="221"/>
      <c r="G10" s="221"/>
      <c r="H10" s="221"/>
      <c r="I10" s="221"/>
      <c r="J10" s="221"/>
      <c r="K10" s="221"/>
      <c r="L10" s="221"/>
      <c r="M10" s="221"/>
      <c r="N10" s="221"/>
      <c r="O10" s="221"/>
      <c r="P10" s="229" t="s">
        <v>748</v>
      </c>
      <c r="Q10" s="536"/>
      <c r="R10" s="536"/>
      <c r="S10" s="536"/>
      <c r="T10" s="222"/>
      <c r="U10" s="213"/>
      <c r="V10" s="484"/>
      <c r="W10" s="485"/>
      <c r="X10" s="485"/>
      <c r="Y10" s="485"/>
      <c r="Z10" s="486"/>
    </row>
    <row r="11" spans="1:26" s="212" customFormat="1" ht="19.5" customHeight="1" thickBot="1">
      <c r="A11" s="222"/>
      <c r="B11" s="221" t="s">
        <v>411</v>
      </c>
      <c r="C11" s="221"/>
      <c r="D11" s="221"/>
      <c r="E11" s="221"/>
      <c r="F11" s="221"/>
      <c r="G11" s="221"/>
      <c r="H11" s="221"/>
      <c r="I11" s="221"/>
      <c r="J11" s="221"/>
      <c r="K11" s="221"/>
      <c r="L11" s="221"/>
      <c r="M11" s="221"/>
      <c r="N11" s="221"/>
      <c r="O11" s="221"/>
      <c r="P11" s="229" t="s">
        <v>264</v>
      </c>
      <c r="Q11" s="536"/>
      <c r="R11" s="536"/>
      <c r="S11" s="536"/>
      <c r="T11" s="222"/>
      <c r="U11" s="213"/>
      <c r="V11" s="213"/>
      <c r="W11" s="213"/>
      <c r="X11" s="213"/>
      <c r="Y11" s="213"/>
    </row>
    <row r="12" spans="1:26" s="212" customFormat="1" ht="19.5" customHeight="1" thickBot="1">
      <c r="A12" s="222"/>
      <c r="B12" s="221" t="s">
        <v>749</v>
      </c>
      <c r="C12" s="221"/>
      <c r="D12" s="221"/>
      <c r="E12" s="221"/>
      <c r="F12" s="221"/>
      <c r="G12" s="221"/>
      <c r="H12" s="221"/>
      <c r="I12" s="221"/>
      <c r="J12" s="221"/>
      <c r="K12" s="221"/>
      <c r="L12" s="221"/>
      <c r="M12" s="221"/>
      <c r="N12" s="221"/>
      <c r="O12" s="221"/>
      <c r="P12" s="229" t="s">
        <v>264</v>
      </c>
      <c r="Q12" s="536"/>
      <c r="R12" s="536"/>
      <c r="S12" s="536"/>
      <c r="T12" s="222"/>
      <c r="U12" s="213"/>
      <c r="V12" s="213"/>
      <c r="W12" s="213"/>
      <c r="X12" s="213"/>
      <c r="Y12" s="213"/>
    </row>
    <row r="13" spans="1:26" s="212" customFormat="1" ht="19.5" customHeight="1" thickBot="1">
      <c r="A13" s="220">
        <v>2</v>
      </c>
      <c r="B13" s="488" t="s">
        <v>658</v>
      </c>
      <c r="C13" s="488"/>
      <c r="D13" s="488"/>
      <c r="E13" s="488"/>
      <c r="F13" s="488"/>
      <c r="G13" s="488"/>
      <c r="H13" s="488"/>
      <c r="I13" s="221"/>
      <c r="J13" s="221"/>
      <c r="K13" s="221"/>
      <c r="L13" s="221"/>
      <c r="M13" s="221"/>
      <c r="N13" s="221"/>
      <c r="O13" s="221"/>
      <c r="P13" s="221"/>
      <c r="Q13" s="221"/>
      <c r="R13" s="221"/>
      <c r="S13" s="221"/>
      <c r="T13" s="222"/>
      <c r="U13" s="213"/>
      <c r="V13" s="213"/>
      <c r="W13" s="213"/>
      <c r="X13" s="213"/>
      <c r="Y13" s="213"/>
    </row>
    <row r="14" spans="1:26" s="212" customFormat="1" ht="19.5" customHeight="1" thickBot="1">
      <c r="A14" s="222"/>
      <c r="B14" s="221"/>
      <c r="C14" s="221"/>
      <c r="D14" s="221"/>
      <c r="E14" s="221"/>
      <c r="F14" s="221"/>
      <c r="G14" s="221"/>
      <c r="H14" s="221"/>
      <c r="I14" s="221"/>
      <c r="J14" s="229" t="s">
        <v>750</v>
      </c>
      <c r="K14" s="536"/>
      <c r="L14" s="536"/>
      <c r="M14" s="536"/>
      <c r="N14" s="222" t="s">
        <v>412</v>
      </c>
      <c r="O14" s="248">
        <f>Tables!O12</f>
        <v>0</v>
      </c>
      <c r="P14" s="229" t="s">
        <v>425</v>
      </c>
      <c r="Q14" s="505">
        <f>K14*O14</f>
        <v>0</v>
      </c>
      <c r="R14" s="505"/>
      <c r="S14" s="505"/>
      <c r="T14" s="220" t="s">
        <v>413</v>
      </c>
      <c r="U14" s="213"/>
      <c r="V14" s="487" t="s">
        <v>851</v>
      </c>
      <c r="W14" s="487"/>
      <c r="X14" s="487"/>
      <c r="Y14" s="487"/>
      <c r="Z14" s="487"/>
    </row>
    <row r="15" spans="1:26" s="212" customFormat="1" ht="19.5" customHeight="1" thickBot="1">
      <c r="A15" s="220">
        <v>3</v>
      </c>
      <c r="B15" s="488" t="s">
        <v>751</v>
      </c>
      <c r="C15" s="488"/>
      <c r="D15" s="488"/>
      <c r="E15" s="488"/>
      <c r="F15" s="488"/>
      <c r="G15" s="488"/>
      <c r="H15" s="488"/>
      <c r="I15" s="488"/>
      <c r="J15" s="488"/>
      <c r="K15" s="488"/>
      <c r="L15" s="488"/>
      <c r="M15" s="488"/>
      <c r="N15" s="221"/>
      <c r="O15" s="221"/>
      <c r="P15" s="221"/>
      <c r="Q15" s="221"/>
      <c r="R15" s="221"/>
      <c r="S15" s="221"/>
      <c r="T15" s="222"/>
      <c r="U15" s="213"/>
      <c r="V15" s="213"/>
      <c r="W15" s="213"/>
      <c r="X15" s="213"/>
      <c r="Y15" s="213"/>
    </row>
    <row r="16" spans="1:26" s="212" customFormat="1" ht="19.5" customHeight="1" thickBot="1">
      <c r="A16" s="222"/>
      <c r="B16" s="221" t="s">
        <v>414</v>
      </c>
      <c r="C16" s="221"/>
      <c r="D16" s="221"/>
      <c r="E16" s="221"/>
      <c r="F16" s="221"/>
      <c r="G16" s="221"/>
      <c r="H16" s="221"/>
      <c r="I16" s="221"/>
      <c r="J16" s="221"/>
      <c r="K16" s="221"/>
      <c r="L16" s="221"/>
      <c r="M16" s="221"/>
      <c r="N16" s="221"/>
      <c r="O16" s="221"/>
      <c r="P16" s="229" t="s">
        <v>415</v>
      </c>
      <c r="Q16" s="540">
        <f>'SP5-1'!I21</f>
        <v>0</v>
      </c>
      <c r="R16" s="541"/>
      <c r="S16" s="541"/>
      <c r="T16" s="222"/>
      <c r="U16" s="213"/>
      <c r="V16" s="213"/>
      <c r="W16" s="213"/>
      <c r="X16" s="213"/>
      <c r="Y16" s="213"/>
    </row>
    <row r="17" spans="1:26" s="212" customFormat="1" ht="19.5" customHeight="1" thickBot="1">
      <c r="A17" s="222"/>
      <c r="B17" s="221" t="s">
        <v>416</v>
      </c>
      <c r="C17" s="222"/>
      <c r="D17" s="221"/>
      <c r="E17" s="221"/>
      <c r="F17" s="221"/>
      <c r="G17" s="221"/>
      <c r="H17" s="221"/>
      <c r="I17" s="221"/>
      <c r="J17" s="221"/>
      <c r="K17" s="221"/>
      <c r="L17" s="221"/>
      <c r="M17" s="221"/>
      <c r="N17" s="221"/>
      <c r="O17" s="221"/>
      <c r="P17" s="221"/>
      <c r="Q17" s="221"/>
      <c r="R17" s="221"/>
      <c r="S17" s="221"/>
      <c r="T17" s="222"/>
      <c r="U17" s="213"/>
      <c r="V17" s="213"/>
      <c r="W17" s="213"/>
      <c r="X17" s="213"/>
      <c r="Y17" s="213"/>
    </row>
    <row r="18" spans="1:26" s="212" customFormat="1" ht="19.5" customHeight="1" thickBot="1">
      <c r="A18" s="222"/>
      <c r="B18" s="249" t="s">
        <v>417</v>
      </c>
      <c r="C18" s="542" t="s">
        <v>418</v>
      </c>
      <c r="D18" s="542"/>
      <c r="E18" s="542"/>
      <c r="F18" s="542"/>
      <c r="G18" s="542"/>
      <c r="H18" s="542"/>
      <c r="I18" s="542"/>
      <c r="J18" s="542"/>
      <c r="K18" s="542" t="s">
        <v>419</v>
      </c>
      <c r="L18" s="542"/>
      <c r="M18" s="542"/>
      <c r="N18" s="542" t="s">
        <v>420</v>
      </c>
      <c r="O18" s="542"/>
      <c r="P18" s="542"/>
      <c r="Q18" s="542" t="s">
        <v>752</v>
      </c>
      <c r="R18" s="542"/>
      <c r="S18" s="542"/>
      <c r="T18" s="222"/>
      <c r="U18" s="213"/>
      <c r="V18" s="213"/>
      <c r="W18" s="213"/>
      <c r="X18" s="213"/>
      <c r="Y18" s="213"/>
    </row>
    <row r="19" spans="1:26" s="212" customFormat="1" ht="19.5" customHeight="1" thickBot="1">
      <c r="A19" s="222"/>
      <c r="B19" s="250"/>
      <c r="C19" s="543"/>
      <c r="D19" s="543"/>
      <c r="E19" s="543"/>
      <c r="F19" s="543"/>
      <c r="G19" s="543"/>
      <c r="H19" s="543"/>
      <c r="I19" s="543"/>
      <c r="J19" s="543"/>
      <c r="K19" s="536"/>
      <c r="L19" s="536"/>
      <c r="M19" s="536"/>
      <c r="N19" s="522" t="str">
        <f>Tables!O24</f>
        <v/>
      </c>
      <c r="O19" s="522"/>
      <c r="P19" s="522"/>
      <c r="Q19" s="505" t="str">
        <f>IF(N19="","",K19*N19)</f>
        <v/>
      </c>
      <c r="R19" s="505"/>
      <c r="S19" s="505"/>
      <c r="T19" s="222"/>
      <c r="U19" s="213"/>
      <c r="V19" s="487" t="s">
        <v>850</v>
      </c>
      <c r="W19" s="487"/>
      <c r="X19" s="487"/>
      <c r="Y19" s="487"/>
      <c r="Z19" s="487"/>
    </row>
    <row r="20" spans="1:26" s="212" customFormat="1" ht="19.5" customHeight="1" thickBot="1">
      <c r="A20" s="222"/>
      <c r="B20" s="250"/>
      <c r="C20" s="543"/>
      <c r="D20" s="543"/>
      <c r="E20" s="543"/>
      <c r="F20" s="543"/>
      <c r="G20" s="543"/>
      <c r="H20" s="543"/>
      <c r="I20" s="543"/>
      <c r="J20" s="543"/>
      <c r="K20" s="536"/>
      <c r="L20" s="536"/>
      <c r="M20" s="536"/>
      <c r="N20" s="522" t="str">
        <f>Tables!O25</f>
        <v/>
      </c>
      <c r="O20" s="522"/>
      <c r="P20" s="522"/>
      <c r="Q20" s="505" t="str">
        <f t="shared" ref="Q20:Q27" si="0">IF(N20="","",K20*N20)</f>
        <v/>
      </c>
      <c r="R20" s="505"/>
      <c r="S20" s="505"/>
      <c r="T20" s="222"/>
      <c r="U20" s="213"/>
      <c r="V20" s="487"/>
      <c r="W20" s="487"/>
      <c r="X20" s="487"/>
      <c r="Y20" s="487"/>
      <c r="Z20" s="487"/>
    </row>
    <row r="21" spans="1:26" s="212" customFormat="1" ht="19.5" customHeight="1" thickBot="1">
      <c r="A21" s="222"/>
      <c r="B21" s="250"/>
      <c r="C21" s="543"/>
      <c r="D21" s="543"/>
      <c r="E21" s="543"/>
      <c r="F21" s="543"/>
      <c r="G21" s="543"/>
      <c r="H21" s="543"/>
      <c r="I21" s="543"/>
      <c r="J21" s="543"/>
      <c r="K21" s="536"/>
      <c r="L21" s="536"/>
      <c r="M21" s="536"/>
      <c r="N21" s="522" t="str">
        <f>Tables!O26</f>
        <v/>
      </c>
      <c r="O21" s="522"/>
      <c r="P21" s="522"/>
      <c r="Q21" s="505" t="str">
        <f t="shared" si="0"/>
        <v/>
      </c>
      <c r="R21" s="505"/>
      <c r="S21" s="505"/>
      <c r="T21" s="222"/>
      <c r="U21" s="213"/>
      <c r="V21" s="487"/>
      <c r="W21" s="487"/>
      <c r="X21" s="487"/>
      <c r="Y21" s="487"/>
      <c r="Z21" s="487"/>
    </row>
    <row r="22" spans="1:26" s="212" customFormat="1" ht="19.5" customHeight="1" thickBot="1">
      <c r="A22" s="222"/>
      <c r="B22" s="250"/>
      <c r="C22" s="543"/>
      <c r="D22" s="543"/>
      <c r="E22" s="543"/>
      <c r="F22" s="543"/>
      <c r="G22" s="543"/>
      <c r="H22" s="543"/>
      <c r="I22" s="543"/>
      <c r="J22" s="543"/>
      <c r="K22" s="536"/>
      <c r="L22" s="536"/>
      <c r="M22" s="536"/>
      <c r="N22" s="522" t="str">
        <f>Tables!O27</f>
        <v/>
      </c>
      <c r="O22" s="522"/>
      <c r="P22" s="522"/>
      <c r="Q22" s="505" t="str">
        <f t="shared" si="0"/>
        <v/>
      </c>
      <c r="R22" s="505"/>
      <c r="S22" s="505"/>
      <c r="T22" s="222"/>
      <c r="U22" s="213"/>
      <c r="V22" s="487"/>
      <c r="W22" s="487"/>
      <c r="X22" s="487"/>
      <c r="Y22" s="487"/>
      <c r="Z22" s="487"/>
    </row>
    <row r="23" spans="1:26" s="212" customFormat="1" ht="19.5" customHeight="1" thickBot="1">
      <c r="A23" s="222"/>
      <c r="B23" s="250"/>
      <c r="C23" s="543"/>
      <c r="D23" s="543"/>
      <c r="E23" s="543"/>
      <c r="F23" s="543"/>
      <c r="G23" s="543"/>
      <c r="H23" s="543"/>
      <c r="I23" s="543"/>
      <c r="J23" s="543"/>
      <c r="K23" s="536"/>
      <c r="L23" s="536"/>
      <c r="M23" s="536"/>
      <c r="N23" s="522" t="str">
        <f>Tables!O28</f>
        <v/>
      </c>
      <c r="O23" s="522"/>
      <c r="P23" s="522"/>
      <c r="Q23" s="505" t="str">
        <f t="shared" si="0"/>
        <v/>
      </c>
      <c r="R23" s="505"/>
      <c r="S23" s="505"/>
      <c r="T23" s="222"/>
      <c r="U23" s="213"/>
      <c r="V23" s="487"/>
      <c r="W23" s="487"/>
      <c r="X23" s="487"/>
      <c r="Y23" s="487"/>
      <c r="Z23" s="487"/>
    </row>
    <row r="24" spans="1:26" s="212" customFormat="1" ht="19.5" customHeight="1" thickBot="1">
      <c r="A24" s="222"/>
      <c r="B24" s="250"/>
      <c r="C24" s="543"/>
      <c r="D24" s="543"/>
      <c r="E24" s="543"/>
      <c r="F24" s="543"/>
      <c r="G24" s="543"/>
      <c r="H24" s="543"/>
      <c r="I24" s="543"/>
      <c r="J24" s="543"/>
      <c r="K24" s="536"/>
      <c r="L24" s="536"/>
      <c r="M24" s="536"/>
      <c r="N24" s="522" t="str">
        <f>Tables!O29</f>
        <v/>
      </c>
      <c r="O24" s="522"/>
      <c r="P24" s="522"/>
      <c r="Q24" s="505" t="str">
        <f t="shared" si="0"/>
        <v/>
      </c>
      <c r="R24" s="505"/>
      <c r="S24" s="505"/>
      <c r="T24" s="222"/>
      <c r="U24" s="213"/>
      <c r="V24" s="487"/>
      <c r="W24" s="487"/>
      <c r="X24" s="487"/>
      <c r="Y24" s="487"/>
      <c r="Z24" s="487"/>
    </row>
    <row r="25" spans="1:26" s="212" customFormat="1" ht="19.5" customHeight="1" thickBot="1">
      <c r="A25" s="222"/>
      <c r="B25" s="250"/>
      <c r="C25" s="543"/>
      <c r="D25" s="543"/>
      <c r="E25" s="543"/>
      <c r="F25" s="543"/>
      <c r="G25" s="543"/>
      <c r="H25" s="543"/>
      <c r="I25" s="543"/>
      <c r="J25" s="543"/>
      <c r="K25" s="536"/>
      <c r="L25" s="536"/>
      <c r="M25" s="536"/>
      <c r="N25" s="522" t="str">
        <f>Tables!O30</f>
        <v/>
      </c>
      <c r="O25" s="522"/>
      <c r="P25" s="522"/>
      <c r="Q25" s="505" t="str">
        <f t="shared" si="0"/>
        <v/>
      </c>
      <c r="R25" s="505"/>
      <c r="S25" s="505"/>
      <c r="T25" s="222"/>
      <c r="U25" s="213"/>
      <c r="V25" s="487"/>
      <c r="W25" s="487"/>
      <c r="X25" s="487"/>
      <c r="Y25" s="487"/>
      <c r="Z25" s="487"/>
    </row>
    <row r="26" spans="1:26" s="212" customFormat="1" ht="19.5" customHeight="1" thickBot="1">
      <c r="A26" s="222"/>
      <c r="B26" s="250"/>
      <c r="C26" s="543"/>
      <c r="D26" s="543"/>
      <c r="E26" s="543"/>
      <c r="F26" s="543"/>
      <c r="G26" s="543"/>
      <c r="H26" s="543"/>
      <c r="I26" s="543"/>
      <c r="J26" s="543"/>
      <c r="K26" s="536"/>
      <c r="L26" s="536"/>
      <c r="M26" s="536"/>
      <c r="N26" s="522" t="str">
        <f>Tables!O31</f>
        <v/>
      </c>
      <c r="O26" s="522"/>
      <c r="P26" s="522"/>
      <c r="Q26" s="505" t="str">
        <f t="shared" si="0"/>
        <v/>
      </c>
      <c r="R26" s="505"/>
      <c r="S26" s="505"/>
      <c r="T26" s="222"/>
      <c r="U26" s="213"/>
      <c r="V26" s="487"/>
      <c r="W26" s="487"/>
      <c r="X26" s="487"/>
      <c r="Y26" s="487"/>
      <c r="Z26" s="487"/>
    </row>
    <row r="27" spans="1:26" s="212" customFormat="1" ht="19.5" customHeight="1" thickBot="1">
      <c r="A27" s="222"/>
      <c r="B27" s="250"/>
      <c r="C27" s="543"/>
      <c r="D27" s="543"/>
      <c r="E27" s="543"/>
      <c r="F27" s="543"/>
      <c r="G27" s="543"/>
      <c r="H27" s="543"/>
      <c r="I27" s="543"/>
      <c r="J27" s="543"/>
      <c r="K27" s="536"/>
      <c r="L27" s="536"/>
      <c r="M27" s="536"/>
      <c r="N27" s="522" t="str">
        <f>Tables!O32</f>
        <v/>
      </c>
      <c r="O27" s="522"/>
      <c r="P27" s="522"/>
      <c r="Q27" s="505" t="str">
        <f t="shared" si="0"/>
        <v/>
      </c>
      <c r="R27" s="505"/>
      <c r="S27" s="505"/>
      <c r="T27" s="222"/>
      <c r="U27" s="213"/>
      <c r="V27" s="487"/>
      <c r="W27" s="487"/>
      <c r="X27" s="487"/>
      <c r="Y27" s="487"/>
      <c r="Z27" s="487"/>
    </row>
    <row r="28" spans="1:26" s="212" customFormat="1" ht="19.5" customHeight="1" thickBot="1">
      <c r="A28" s="222"/>
      <c r="B28" s="221"/>
      <c r="C28" s="221"/>
      <c r="D28" s="221"/>
      <c r="E28" s="221"/>
      <c r="F28" s="221"/>
      <c r="G28" s="221"/>
      <c r="H28" s="221"/>
      <c r="I28" s="221"/>
      <c r="J28" s="221"/>
      <c r="K28" s="221"/>
      <c r="L28" s="221"/>
      <c r="M28" s="221"/>
      <c r="N28" s="221"/>
      <c r="O28" s="221"/>
      <c r="P28" s="229" t="s">
        <v>421</v>
      </c>
      <c r="Q28" s="505">
        <f>SUM(Q19:S27)</f>
        <v>0</v>
      </c>
      <c r="R28" s="505"/>
      <c r="S28" s="505"/>
      <c r="T28" s="220" t="s">
        <v>422</v>
      </c>
      <c r="U28" s="213"/>
      <c r="V28" s="213"/>
      <c r="W28" s="213"/>
      <c r="X28" s="213"/>
      <c r="Y28" s="213"/>
    </row>
    <row r="29" spans="1:26" s="212" customFormat="1" ht="19.5" customHeight="1" thickBot="1">
      <c r="A29" s="220">
        <v>4</v>
      </c>
      <c r="B29" s="488" t="s">
        <v>753</v>
      </c>
      <c r="C29" s="488"/>
      <c r="D29" s="488"/>
      <c r="E29" s="488"/>
      <c r="F29" s="488"/>
      <c r="G29" s="488"/>
      <c r="H29" s="221"/>
      <c r="I29" s="221"/>
      <c r="J29" s="221"/>
      <c r="K29" s="221"/>
      <c r="L29" s="221"/>
      <c r="M29" s="221"/>
      <c r="N29" s="221"/>
      <c r="O29" s="221"/>
      <c r="P29" s="221"/>
      <c r="Q29" s="221"/>
      <c r="R29" s="221"/>
      <c r="S29" s="221"/>
      <c r="T29" s="222"/>
      <c r="U29" s="213"/>
      <c r="V29" s="213"/>
      <c r="W29" s="213"/>
      <c r="X29" s="213"/>
      <c r="Y29" s="213"/>
    </row>
    <row r="30" spans="1:26" s="212" customFormat="1" ht="24.9" customHeight="1" thickBot="1">
      <c r="A30" s="222"/>
      <c r="B30" s="221"/>
      <c r="C30" s="221"/>
      <c r="D30" s="221"/>
      <c r="E30" s="221"/>
      <c r="F30" s="221"/>
      <c r="G30" s="221"/>
      <c r="H30" s="221"/>
      <c r="I30" s="221"/>
      <c r="J30" s="229" t="s">
        <v>750</v>
      </c>
      <c r="K30" s="536"/>
      <c r="L30" s="536"/>
      <c r="M30" s="536"/>
      <c r="N30" s="222" t="s">
        <v>412</v>
      </c>
      <c r="O30" s="248">
        <f>O14</f>
        <v>0</v>
      </c>
      <c r="P30" s="229" t="s">
        <v>425</v>
      </c>
      <c r="Q30" s="505">
        <f>K30*O30</f>
        <v>0</v>
      </c>
      <c r="R30" s="505"/>
      <c r="S30" s="505"/>
      <c r="T30" s="220" t="s">
        <v>659</v>
      </c>
      <c r="U30" s="213"/>
      <c r="V30" s="491" t="s">
        <v>852</v>
      </c>
      <c r="W30" s="492"/>
      <c r="X30" s="492"/>
      <c r="Y30" s="492"/>
      <c r="Z30" s="493"/>
    </row>
    <row r="31" spans="1:26" s="212" customFormat="1" ht="19.5" customHeight="1" thickBot="1">
      <c r="A31" s="222"/>
      <c r="B31" s="221"/>
      <c r="C31" s="221"/>
      <c r="D31" s="221"/>
      <c r="E31" s="221"/>
      <c r="F31" s="221"/>
      <c r="G31" s="221"/>
      <c r="H31" s="221"/>
      <c r="I31" s="221"/>
      <c r="J31" s="221"/>
      <c r="K31" s="221"/>
      <c r="L31" s="221"/>
      <c r="M31" s="221"/>
      <c r="N31" s="221"/>
      <c r="O31" s="221"/>
      <c r="P31" s="221"/>
      <c r="Q31" s="221"/>
      <c r="R31" s="221"/>
      <c r="S31" s="221"/>
      <c r="T31" s="222"/>
      <c r="U31" s="213"/>
      <c r="V31" s="213"/>
      <c r="W31" s="213"/>
      <c r="X31" s="213"/>
      <c r="Y31" s="213"/>
    </row>
    <row r="32" spans="1:26" s="212" customFormat="1" ht="19.5" customHeight="1" thickBot="1">
      <c r="A32" s="220">
        <v>5</v>
      </c>
      <c r="B32" s="488" t="s">
        <v>754</v>
      </c>
      <c r="C32" s="488"/>
      <c r="D32" s="488"/>
      <c r="E32" s="488"/>
      <c r="F32" s="488"/>
      <c r="G32" s="488"/>
      <c r="H32" s="221"/>
      <c r="I32" s="221"/>
      <c r="J32" s="221"/>
      <c r="K32" s="221"/>
      <c r="L32" s="221"/>
      <c r="M32" s="221"/>
      <c r="N32" s="221"/>
      <c r="O32" s="221"/>
      <c r="P32" s="221"/>
      <c r="Q32" s="221"/>
      <c r="R32" s="221"/>
      <c r="S32" s="221"/>
      <c r="T32" s="222"/>
      <c r="U32" s="213"/>
      <c r="V32" s="213"/>
      <c r="W32" s="213"/>
      <c r="X32" s="213"/>
      <c r="Y32" s="213"/>
    </row>
    <row r="33" spans="1:26" s="212" customFormat="1" ht="19.5" customHeight="1" thickBot="1">
      <c r="A33" s="222"/>
      <c r="B33" s="221"/>
      <c r="C33" s="221"/>
      <c r="D33" s="221"/>
      <c r="E33" s="221"/>
      <c r="F33" s="221"/>
      <c r="G33" s="221"/>
      <c r="H33" s="221"/>
      <c r="I33" s="221"/>
      <c r="J33" s="221"/>
      <c r="K33" s="221"/>
      <c r="L33" s="221"/>
      <c r="M33" s="221"/>
      <c r="N33" s="221"/>
      <c r="O33" s="221"/>
      <c r="P33" s="230" t="s">
        <v>755</v>
      </c>
      <c r="Q33" s="505">
        <f>Q14+Q28+Q30</f>
        <v>0</v>
      </c>
      <c r="R33" s="505"/>
      <c r="S33" s="505"/>
      <c r="T33" s="220" t="s">
        <v>392</v>
      </c>
      <c r="U33" s="213"/>
      <c r="V33" s="487" t="s">
        <v>424</v>
      </c>
      <c r="W33" s="487"/>
      <c r="X33" s="487"/>
      <c r="Y33" s="487"/>
      <c r="Z33" s="487"/>
    </row>
    <row r="34" spans="1:26" s="212" customFormat="1" ht="19.5" customHeight="1" thickBot="1">
      <c r="A34" s="222"/>
      <c r="B34" s="221"/>
      <c r="C34" s="221"/>
      <c r="D34" s="221"/>
      <c r="E34" s="221"/>
      <c r="F34" s="221"/>
      <c r="G34" s="221"/>
      <c r="H34" s="221"/>
      <c r="I34" s="221"/>
      <c r="J34" s="221"/>
      <c r="K34" s="221"/>
      <c r="L34" s="221"/>
      <c r="M34" s="221"/>
      <c r="N34" s="221"/>
      <c r="O34" s="221"/>
      <c r="P34" s="221"/>
      <c r="Q34" s="221"/>
      <c r="R34" s="221"/>
      <c r="S34" s="221"/>
      <c r="T34" s="221"/>
      <c r="U34" s="213"/>
      <c r="V34" s="213"/>
      <c r="W34" s="213"/>
      <c r="X34" s="213"/>
      <c r="Y34" s="213"/>
    </row>
    <row r="35" spans="1:26" s="212" customFormat="1" ht="11.4">
      <c r="A35" s="213"/>
      <c r="B35" s="213"/>
      <c r="C35" s="213"/>
      <c r="D35" s="213"/>
      <c r="E35" s="213"/>
      <c r="F35" s="213"/>
      <c r="G35" s="213"/>
      <c r="H35" s="213"/>
      <c r="I35" s="213"/>
      <c r="J35" s="213"/>
      <c r="K35" s="213"/>
      <c r="L35" s="213"/>
      <c r="M35" s="213"/>
      <c r="N35" s="213"/>
      <c r="O35" s="213"/>
      <c r="P35" s="213"/>
      <c r="Q35" s="213"/>
      <c r="R35" s="213"/>
      <c r="S35" s="213"/>
      <c r="T35" s="213"/>
      <c r="U35" s="213"/>
      <c r="V35" s="213"/>
      <c r="W35" s="213"/>
      <c r="X35" s="213"/>
      <c r="Y35" s="213"/>
    </row>
    <row r="36" spans="1:26" s="212" customFormat="1" ht="11.4">
      <c r="A36" s="213"/>
      <c r="B36" s="213"/>
      <c r="C36" s="213"/>
      <c r="D36" s="213"/>
      <c r="E36" s="213"/>
      <c r="F36" s="213"/>
      <c r="G36" s="213"/>
      <c r="H36" s="213"/>
      <c r="I36" s="213"/>
      <c r="J36" s="213"/>
      <c r="K36" s="213"/>
      <c r="L36" s="213"/>
      <c r="M36" s="213"/>
      <c r="N36" s="213"/>
      <c r="O36" s="213"/>
      <c r="P36" s="213"/>
      <c r="Q36" s="213"/>
      <c r="R36" s="213"/>
      <c r="S36" s="213"/>
      <c r="T36" s="213"/>
      <c r="U36" s="213"/>
      <c r="V36" s="213"/>
      <c r="W36" s="213"/>
      <c r="X36" s="213"/>
      <c r="Y36" s="213"/>
    </row>
    <row r="37" spans="1:26">
      <c r="A37" s="213"/>
      <c r="B37" s="213"/>
      <c r="C37" s="213"/>
      <c r="D37" s="213"/>
      <c r="E37" s="213"/>
      <c r="F37" s="213"/>
      <c r="G37" s="213"/>
      <c r="H37" s="213"/>
      <c r="I37" s="213"/>
      <c r="J37" s="213"/>
      <c r="K37" s="213"/>
      <c r="L37" s="213"/>
      <c r="M37" s="213"/>
      <c r="N37" s="213"/>
      <c r="O37" s="213"/>
      <c r="P37" s="213"/>
      <c r="Q37" s="213"/>
      <c r="R37" s="213"/>
      <c r="S37" s="213"/>
      <c r="T37" s="213"/>
      <c r="U37" s="213"/>
      <c r="V37" s="213"/>
      <c r="W37" s="213"/>
      <c r="X37" s="213"/>
      <c r="Y37" s="213"/>
    </row>
    <row r="38" spans="1:26">
      <c r="A38" s="213"/>
      <c r="B38" s="213"/>
      <c r="C38" s="213"/>
      <c r="D38" s="213"/>
      <c r="E38" s="213"/>
      <c r="F38" s="213"/>
      <c r="G38" s="213"/>
      <c r="H38" s="213"/>
      <c r="I38" s="213"/>
      <c r="J38" s="213"/>
      <c r="K38" s="213"/>
      <c r="L38" s="213"/>
      <c r="M38" s="213"/>
      <c r="N38" s="213"/>
      <c r="O38" s="213"/>
      <c r="P38" s="213"/>
      <c r="Q38" s="213"/>
      <c r="R38" s="213"/>
      <c r="S38" s="213"/>
      <c r="T38" s="213"/>
      <c r="U38" s="213"/>
      <c r="V38" s="213"/>
      <c r="W38" s="213"/>
      <c r="X38" s="213"/>
      <c r="Y38" s="213"/>
    </row>
    <row r="39" spans="1:26">
      <c r="A39" s="213"/>
      <c r="B39" s="213"/>
      <c r="C39" s="213"/>
      <c r="D39" s="213"/>
      <c r="E39" s="213"/>
      <c r="F39" s="213"/>
      <c r="G39" s="213"/>
      <c r="H39" s="213"/>
      <c r="I39" s="213"/>
      <c r="J39" s="213"/>
      <c r="K39" s="213"/>
      <c r="L39" s="213"/>
      <c r="M39" s="213"/>
      <c r="N39" s="213"/>
      <c r="O39" s="213"/>
      <c r="P39" s="213"/>
      <c r="Q39" s="213"/>
      <c r="R39" s="213"/>
      <c r="S39" s="213"/>
      <c r="T39" s="213"/>
      <c r="U39" s="213"/>
      <c r="V39" s="213"/>
      <c r="W39" s="213"/>
      <c r="X39" s="213"/>
      <c r="Y39" s="213"/>
    </row>
    <row r="40" spans="1:26">
      <c r="A40" s="213"/>
      <c r="B40" s="213"/>
      <c r="C40" s="213"/>
      <c r="D40" s="213"/>
      <c r="E40" s="213"/>
      <c r="F40" s="213"/>
      <c r="G40" s="213"/>
      <c r="H40" s="213"/>
      <c r="I40" s="213"/>
      <c r="J40" s="213"/>
      <c r="K40" s="213"/>
      <c r="L40" s="213"/>
      <c r="M40" s="213"/>
      <c r="N40" s="213"/>
      <c r="O40" s="213"/>
      <c r="P40" s="213"/>
      <c r="Q40" s="213"/>
      <c r="R40" s="213"/>
      <c r="S40" s="213"/>
      <c r="T40" s="213"/>
      <c r="U40" s="213"/>
      <c r="V40" s="213"/>
      <c r="W40" s="213"/>
      <c r="X40" s="213"/>
      <c r="Y40" s="213"/>
    </row>
    <row r="41" spans="1:26" ht="13.5" hidden="1" customHeight="1">
      <c r="A41" s="213"/>
      <c r="B41" s="213"/>
      <c r="C41" s="213"/>
      <c r="D41" s="213"/>
      <c r="E41" s="213"/>
      <c r="F41" s="213"/>
      <c r="G41" s="213"/>
      <c r="H41" s="213"/>
      <c r="I41" s="213"/>
      <c r="J41" s="213"/>
      <c r="K41" s="213"/>
      <c r="L41" s="213"/>
      <c r="M41" s="213"/>
      <c r="N41" s="213"/>
      <c r="O41" s="213"/>
      <c r="P41" s="213"/>
      <c r="Q41" s="213"/>
      <c r="R41" s="213"/>
      <c r="S41" s="213"/>
      <c r="T41" s="213"/>
      <c r="U41" s="213"/>
      <c r="V41" s="213"/>
      <c r="W41" s="213"/>
      <c r="X41" s="213"/>
      <c r="Y41" s="213"/>
    </row>
    <row r="42" spans="1:26" hidden="1">
      <c r="A42" s="213">
        <v>0</v>
      </c>
      <c r="B42" s="213"/>
      <c r="C42" s="213"/>
      <c r="D42" s="213"/>
      <c r="E42" s="213"/>
      <c r="F42" s="213"/>
      <c r="G42" s="213"/>
      <c r="H42" s="213"/>
      <c r="I42" s="213"/>
      <c r="J42" s="213"/>
      <c r="K42" s="213"/>
      <c r="L42" s="213"/>
      <c r="M42" s="213"/>
      <c r="N42" s="213"/>
      <c r="O42" s="213"/>
      <c r="P42" s="213"/>
      <c r="Q42" s="213"/>
      <c r="R42" s="213"/>
      <c r="S42" s="213"/>
      <c r="T42" s="213"/>
      <c r="U42" s="213"/>
      <c r="V42" s="213"/>
      <c r="W42" s="213"/>
      <c r="X42" s="213"/>
      <c r="Y42" s="213"/>
    </row>
    <row r="43" spans="1:26" hidden="1">
      <c r="A43" s="213">
        <v>1</v>
      </c>
      <c r="B43" s="213"/>
      <c r="C43" s="213"/>
      <c r="D43" s="213"/>
      <c r="E43" s="213"/>
      <c r="F43" s="213"/>
      <c r="G43" s="213"/>
      <c r="H43" s="213"/>
      <c r="I43" s="213"/>
      <c r="J43" s="213"/>
      <c r="K43" s="213"/>
      <c r="L43" s="213"/>
      <c r="M43" s="213"/>
      <c r="N43" s="213"/>
      <c r="O43" s="213"/>
      <c r="P43" s="213"/>
      <c r="Q43" s="213"/>
      <c r="R43" s="213"/>
      <c r="S43" s="213"/>
      <c r="T43" s="213"/>
      <c r="U43" s="213"/>
      <c r="V43" s="213"/>
      <c r="W43" s="213"/>
      <c r="X43" s="213"/>
      <c r="Y43" s="213"/>
    </row>
    <row r="44" spans="1:26" hidden="1">
      <c r="A44" s="213">
        <v>2</v>
      </c>
      <c r="B44" s="213"/>
      <c r="C44" s="213"/>
      <c r="D44" s="213"/>
      <c r="E44" s="213"/>
      <c r="F44" s="213"/>
      <c r="G44" s="213"/>
      <c r="H44" s="213"/>
      <c r="I44" s="213"/>
      <c r="J44" s="213"/>
      <c r="K44" s="213"/>
      <c r="L44" s="213"/>
      <c r="M44" s="213"/>
      <c r="N44" s="213"/>
      <c r="O44" s="213"/>
      <c r="P44" s="213"/>
      <c r="Q44" s="213"/>
      <c r="R44" s="213"/>
      <c r="S44" s="213"/>
      <c r="T44" s="213"/>
      <c r="U44" s="213"/>
      <c r="V44" s="213"/>
      <c r="W44" s="213"/>
      <c r="X44" s="213"/>
      <c r="Y44" s="213"/>
    </row>
    <row r="45" spans="1:26" hidden="1">
      <c r="A45" s="213">
        <v>3</v>
      </c>
      <c r="B45" s="213"/>
      <c r="C45" s="213"/>
      <c r="D45" s="213"/>
      <c r="E45" s="213"/>
      <c r="F45" s="213"/>
      <c r="G45" s="213"/>
      <c r="H45" s="213"/>
      <c r="I45" s="213"/>
      <c r="J45" s="213"/>
      <c r="K45" s="213"/>
      <c r="L45" s="213"/>
      <c r="M45" s="213"/>
      <c r="N45" s="213"/>
      <c r="O45" s="213"/>
      <c r="P45" s="213"/>
      <c r="Q45" s="213"/>
      <c r="R45" s="213"/>
      <c r="S45" s="213"/>
      <c r="T45" s="213"/>
      <c r="U45" s="213"/>
      <c r="V45" s="213"/>
      <c r="W45" s="213"/>
      <c r="X45" s="213"/>
      <c r="Y45" s="213"/>
    </row>
    <row r="46" spans="1:26" hidden="1">
      <c r="A46" s="213">
        <v>4</v>
      </c>
      <c r="B46" s="213"/>
      <c r="C46" s="213"/>
      <c r="D46" s="213"/>
      <c r="E46" s="213"/>
      <c r="F46" s="213"/>
      <c r="G46" s="213"/>
      <c r="H46" s="213"/>
      <c r="I46" s="213"/>
      <c r="J46" s="213"/>
      <c r="K46" s="213"/>
      <c r="L46" s="213"/>
      <c r="M46" s="213"/>
      <c r="N46" s="213"/>
      <c r="O46" s="213"/>
      <c r="P46" s="213"/>
      <c r="Q46" s="213"/>
      <c r="R46" s="213"/>
      <c r="S46" s="213"/>
      <c r="T46" s="213"/>
      <c r="U46" s="213"/>
      <c r="V46" s="213"/>
      <c r="W46" s="213"/>
      <c r="X46" s="213"/>
      <c r="Y46" s="213"/>
    </row>
    <row r="47" spans="1:26" hidden="1">
      <c r="A47" s="213">
        <v>5</v>
      </c>
      <c r="B47" s="213"/>
      <c r="C47" s="213"/>
      <c r="D47" s="213"/>
      <c r="E47" s="213"/>
      <c r="F47" s="213"/>
      <c r="G47" s="213"/>
      <c r="H47" s="213"/>
      <c r="I47" s="213"/>
      <c r="J47" s="213"/>
      <c r="K47" s="213"/>
      <c r="L47" s="213"/>
      <c r="M47" s="213"/>
      <c r="N47" s="213"/>
      <c r="O47" s="213"/>
      <c r="P47" s="213"/>
      <c r="Q47" s="213"/>
      <c r="R47" s="213"/>
      <c r="S47" s="213"/>
      <c r="T47" s="213"/>
      <c r="U47" s="213"/>
      <c r="V47" s="213"/>
      <c r="W47" s="213"/>
      <c r="X47" s="213"/>
      <c r="Y47" s="213"/>
    </row>
    <row r="48" spans="1:26" hidden="1">
      <c r="A48" s="213">
        <v>6</v>
      </c>
      <c r="B48" s="213"/>
      <c r="C48" s="213"/>
      <c r="D48" s="213"/>
      <c r="E48" s="213"/>
      <c r="F48" s="213"/>
      <c r="G48" s="213"/>
      <c r="H48" s="213"/>
      <c r="I48" s="213"/>
      <c r="J48" s="213"/>
      <c r="K48" s="213"/>
      <c r="L48" s="213"/>
      <c r="M48" s="213"/>
      <c r="N48" s="213"/>
      <c r="O48" s="213"/>
      <c r="P48" s="213"/>
      <c r="Q48" s="213"/>
      <c r="R48" s="213"/>
      <c r="S48" s="213"/>
      <c r="T48" s="213"/>
      <c r="U48" s="213"/>
      <c r="V48" s="213"/>
      <c r="W48" s="213"/>
      <c r="X48" s="213"/>
      <c r="Y48" s="213"/>
    </row>
    <row r="49" spans="1:25" hidden="1">
      <c r="A49" s="213">
        <v>7</v>
      </c>
      <c r="B49" s="213"/>
      <c r="C49" s="213"/>
      <c r="D49" s="213"/>
      <c r="E49" s="213"/>
      <c r="F49" s="213"/>
      <c r="G49" s="213"/>
      <c r="H49" s="213"/>
      <c r="I49" s="213"/>
      <c r="J49" s="213"/>
      <c r="K49" s="213"/>
      <c r="L49" s="213"/>
      <c r="M49" s="213"/>
      <c r="N49" s="213"/>
      <c r="O49" s="213"/>
      <c r="P49" s="213"/>
      <c r="Q49" s="213"/>
      <c r="R49" s="213"/>
      <c r="S49" s="213"/>
      <c r="T49" s="213"/>
      <c r="U49" s="213"/>
      <c r="V49" s="213"/>
      <c r="W49" s="213"/>
      <c r="X49" s="213"/>
      <c r="Y49" s="213"/>
    </row>
    <row r="50" spans="1:25" hidden="1">
      <c r="A50" s="213">
        <v>8</v>
      </c>
      <c r="B50" s="213"/>
      <c r="C50" s="213"/>
      <c r="D50" s="213"/>
      <c r="E50" s="213"/>
      <c r="F50" s="213"/>
      <c r="G50" s="213"/>
      <c r="H50" s="213"/>
      <c r="I50" s="213"/>
      <c r="J50" s="213"/>
      <c r="K50" s="213"/>
      <c r="L50" s="213"/>
      <c r="M50" s="213"/>
      <c r="N50" s="213"/>
      <c r="O50" s="213"/>
      <c r="P50" s="213"/>
      <c r="Q50" s="213"/>
      <c r="R50" s="213"/>
      <c r="S50" s="213"/>
      <c r="T50" s="213"/>
      <c r="U50" s="213"/>
      <c r="V50" s="213"/>
      <c r="W50" s="213"/>
      <c r="X50" s="213"/>
      <c r="Y50" s="213"/>
    </row>
    <row r="51" spans="1:25" hidden="1">
      <c r="A51" s="213">
        <v>9</v>
      </c>
      <c r="B51" s="213"/>
      <c r="C51" s="213"/>
      <c r="D51" s="213"/>
      <c r="E51" s="213"/>
      <c r="F51" s="213"/>
      <c r="G51" s="213"/>
      <c r="H51" s="213"/>
      <c r="I51" s="213"/>
      <c r="J51" s="213"/>
      <c r="K51" s="213"/>
      <c r="L51" s="213"/>
      <c r="M51" s="213"/>
      <c r="N51" s="213"/>
      <c r="O51" s="213"/>
      <c r="P51" s="213"/>
      <c r="Q51" s="213"/>
      <c r="R51" s="213"/>
      <c r="S51" s="213"/>
      <c r="T51" s="213"/>
      <c r="U51" s="213"/>
      <c r="V51" s="213"/>
      <c r="W51" s="213"/>
      <c r="X51" s="213"/>
      <c r="Y51" s="213"/>
    </row>
    <row r="52" spans="1:25" hidden="1">
      <c r="A52" s="213">
        <v>10</v>
      </c>
      <c r="B52" s="213"/>
      <c r="C52" s="213"/>
      <c r="D52" s="213"/>
      <c r="E52" s="213"/>
      <c r="F52" s="213"/>
      <c r="G52" s="213"/>
      <c r="H52" s="213"/>
      <c r="I52" s="213"/>
      <c r="J52" s="213"/>
      <c r="K52" s="213"/>
      <c r="L52" s="213"/>
      <c r="M52" s="213"/>
      <c r="N52" s="213"/>
      <c r="O52" s="213"/>
      <c r="P52" s="213"/>
      <c r="Q52" s="213"/>
      <c r="R52" s="213"/>
      <c r="S52" s="213"/>
      <c r="T52" s="213"/>
      <c r="U52" s="213"/>
      <c r="V52" s="213"/>
      <c r="W52" s="213"/>
      <c r="X52" s="213"/>
      <c r="Y52" s="213"/>
    </row>
    <row r="53" spans="1:25" hidden="1">
      <c r="A53" s="213">
        <v>11</v>
      </c>
      <c r="B53" s="213"/>
      <c r="C53" s="213"/>
      <c r="D53" s="213"/>
      <c r="E53" s="213"/>
      <c r="F53" s="213"/>
      <c r="G53" s="213"/>
      <c r="H53" s="213"/>
      <c r="I53" s="213"/>
      <c r="J53" s="213"/>
      <c r="K53" s="213"/>
      <c r="L53" s="213"/>
      <c r="M53" s="213"/>
      <c r="N53" s="213"/>
      <c r="O53" s="213"/>
      <c r="P53" s="213"/>
      <c r="Q53" s="213"/>
      <c r="R53" s="213"/>
      <c r="S53" s="213"/>
      <c r="T53" s="213"/>
      <c r="U53" s="213"/>
      <c r="V53" s="213"/>
      <c r="W53" s="213"/>
      <c r="X53" s="213"/>
      <c r="Y53" s="213"/>
    </row>
    <row r="54" spans="1:25" hidden="1">
      <c r="A54" s="213">
        <v>12</v>
      </c>
      <c r="B54" s="213"/>
      <c r="C54" s="213"/>
      <c r="D54" s="213"/>
      <c r="E54" s="213"/>
      <c r="F54" s="213"/>
      <c r="G54" s="213"/>
      <c r="H54" s="213"/>
      <c r="I54" s="213"/>
      <c r="J54" s="213"/>
      <c r="K54" s="213"/>
      <c r="L54" s="213"/>
      <c r="M54" s="213"/>
      <c r="N54" s="213"/>
      <c r="O54" s="213"/>
      <c r="P54" s="213"/>
      <c r="Q54" s="213"/>
      <c r="R54" s="213"/>
      <c r="S54" s="213"/>
      <c r="T54" s="213"/>
      <c r="U54" s="213"/>
      <c r="V54" s="213"/>
      <c r="W54" s="213"/>
      <c r="X54" s="213"/>
      <c r="Y54" s="213"/>
    </row>
    <row r="55" spans="1:25" hidden="1">
      <c r="A55" s="213">
        <v>13</v>
      </c>
      <c r="B55" s="213"/>
      <c r="C55" s="213"/>
      <c r="D55" s="213"/>
      <c r="E55" s="213"/>
      <c r="F55" s="213"/>
      <c r="G55" s="213"/>
      <c r="H55" s="213"/>
      <c r="I55" s="213"/>
      <c r="J55" s="213"/>
      <c r="K55" s="213"/>
      <c r="L55" s="213"/>
      <c r="M55" s="213"/>
      <c r="N55" s="213"/>
      <c r="O55" s="213"/>
      <c r="P55" s="213"/>
      <c r="Q55" s="213"/>
      <c r="R55" s="213"/>
      <c r="S55" s="213"/>
      <c r="T55" s="213"/>
      <c r="U55" s="213"/>
      <c r="V55" s="213"/>
      <c r="W55" s="213"/>
      <c r="X55" s="213"/>
      <c r="Y55" s="213"/>
    </row>
    <row r="56" spans="1:25" hidden="1">
      <c r="A56" s="213">
        <v>14</v>
      </c>
      <c r="B56" s="213"/>
      <c r="C56" s="213"/>
      <c r="D56" s="213"/>
      <c r="E56" s="213"/>
      <c r="F56" s="213"/>
      <c r="G56" s="213"/>
      <c r="H56" s="213"/>
      <c r="I56" s="213"/>
      <c r="J56" s="213"/>
      <c r="K56" s="213"/>
      <c r="L56" s="213"/>
      <c r="M56" s="213"/>
      <c r="N56" s="213"/>
      <c r="O56" s="213"/>
      <c r="P56" s="213"/>
      <c r="Q56" s="213"/>
      <c r="R56" s="213"/>
      <c r="S56" s="213"/>
      <c r="T56" s="213"/>
      <c r="U56" s="213"/>
      <c r="V56" s="213"/>
      <c r="W56" s="213"/>
      <c r="X56" s="213"/>
      <c r="Y56" s="213"/>
    </row>
    <row r="57" spans="1:25" hidden="1">
      <c r="A57" s="213">
        <v>15</v>
      </c>
      <c r="B57" s="213"/>
      <c r="C57" s="213"/>
      <c r="D57" s="213"/>
      <c r="E57" s="213"/>
      <c r="F57" s="213"/>
      <c r="G57" s="213"/>
      <c r="H57" s="213"/>
      <c r="I57" s="213"/>
      <c r="J57" s="213"/>
      <c r="K57" s="213"/>
      <c r="L57" s="213"/>
      <c r="M57" s="213"/>
      <c r="N57" s="213"/>
      <c r="O57" s="213"/>
      <c r="P57" s="213"/>
      <c r="Q57" s="213"/>
      <c r="R57" s="213"/>
      <c r="S57" s="213"/>
      <c r="T57" s="213"/>
      <c r="U57" s="213"/>
      <c r="V57" s="213"/>
      <c r="W57" s="213"/>
      <c r="X57" s="213"/>
      <c r="Y57" s="213"/>
    </row>
    <row r="58" spans="1:25" hidden="1">
      <c r="A58" s="213">
        <v>16</v>
      </c>
      <c r="B58" s="213"/>
      <c r="C58" s="213"/>
      <c r="D58" s="213"/>
      <c r="E58" s="213"/>
      <c r="F58" s="213"/>
      <c r="G58" s="213"/>
      <c r="H58" s="213"/>
      <c r="I58" s="213"/>
      <c r="J58" s="213"/>
      <c r="K58" s="213"/>
      <c r="L58" s="213"/>
      <c r="M58" s="213"/>
      <c r="N58" s="213"/>
      <c r="O58" s="213"/>
      <c r="P58" s="213"/>
      <c r="Q58" s="213"/>
      <c r="R58" s="213"/>
      <c r="S58" s="213"/>
      <c r="T58" s="213"/>
      <c r="U58" s="213"/>
      <c r="V58" s="213"/>
      <c r="W58" s="213"/>
      <c r="X58" s="213"/>
      <c r="Y58" s="213"/>
    </row>
    <row r="59" spans="1:25" hidden="1">
      <c r="A59" s="213">
        <v>17</v>
      </c>
      <c r="B59" s="213"/>
      <c r="C59" s="213"/>
      <c r="D59" s="213"/>
      <c r="E59" s="213"/>
      <c r="F59" s="213"/>
      <c r="G59" s="213"/>
      <c r="H59" s="213"/>
      <c r="I59" s="213"/>
      <c r="J59" s="213"/>
      <c r="K59" s="213"/>
      <c r="L59" s="213"/>
      <c r="M59" s="213"/>
      <c r="N59" s="213"/>
      <c r="O59" s="213"/>
      <c r="P59" s="213"/>
      <c r="Q59" s="213"/>
      <c r="R59" s="213"/>
      <c r="S59" s="213"/>
      <c r="T59" s="213"/>
      <c r="U59" s="213"/>
      <c r="V59" s="213"/>
      <c r="W59" s="213"/>
      <c r="X59" s="213"/>
      <c r="Y59" s="213"/>
    </row>
    <row r="60" spans="1:25" hidden="1">
      <c r="A60" s="213">
        <v>18</v>
      </c>
      <c r="B60" s="213"/>
      <c r="C60" s="213"/>
      <c r="D60" s="213"/>
      <c r="E60" s="213"/>
      <c r="F60" s="213"/>
      <c r="G60" s="213"/>
      <c r="H60" s="213"/>
      <c r="I60" s="213"/>
      <c r="J60" s="213"/>
      <c r="K60" s="213"/>
      <c r="L60" s="213"/>
      <c r="M60" s="213"/>
      <c r="N60" s="213"/>
      <c r="O60" s="213"/>
      <c r="P60" s="213"/>
      <c r="Q60" s="213"/>
      <c r="R60" s="213"/>
      <c r="S60" s="213"/>
      <c r="T60" s="213"/>
      <c r="U60" s="213"/>
      <c r="V60" s="213"/>
      <c r="W60" s="213"/>
      <c r="X60" s="213"/>
      <c r="Y60" s="213"/>
    </row>
    <row r="61" spans="1:25" hidden="1">
      <c r="A61" s="213">
        <v>19</v>
      </c>
      <c r="B61" s="213"/>
      <c r="C61" s="213"/>
      <c r="D61" s="213"/>
      <c r="E61" s="213"/>
      <c r="F61" s="213"/>
      <c r="G61" s="213"/>
      <c r="H61" s="213"/>
      <c r="I61" s="213"/>
      <c r="J61" s="213"/>
      <c r="K61" s="213"/>
      <c r="L61" s="213"/>
      <c r="M61" s="213"/>
      <c r="N61" s="213"/>
      <c r="O61" s="213"/>
      <c r="P61" s="213"/>
      <c r="Q61" s="213"/>
      <c r="R61" s="213"/>
      <c r="S61" s="213"/>
      <c r="T61" s="213"/>
      <c r="U61" s="213"/>
      <c r="V61" s="213"/>
      <c r="W61" s="213"/>
      <c r="X61" s="213"/>
      <c r="Y61" s="213"/>
    </row>
    <row r="62" spans="1:25" hidden="1">
      <c r="A62" s="213">
        <v>20</v>
      </c>
      <c r="B62" s="213"/>
      <c r="C62" s="213"/>
      <c r="D62" s="213"/>
      <c r="E62" s="213"/>
      <c r="F62" s="213"/>
      <c r="G62" s="213"/>
      <c r="H62" s="213"/>
      <c r="I62" s="213"/>
      <c r="J62" s="213"/>
      <c r="K62" s="213"/>
      <c r="L62" s="213"/>
      <c r="M62" s="213"/>
      <c r="N62" s="213"/>
      <c r="O62" s="213"/>
      <c r="P62" s="213"/>
      <c r="Q62" s="213"/>
      <c r="R62" s="213"/>
      <c r="S62" s="213"/>
      <c r="T62" s="213"/>
      <c r="U62" s="213"/>
      <c r="V62" s="213"/>
      <c r="W62" s="213"/>
      <c r="X62" s="213"/>
      <c r="Y62" s="213"/>
    </row>
    <row r="63" spans="1:25" hidden="1">
      <c r="A63" s="213">
        <v>21</v>
      </c>
      <c r="B63" s="213"/>
      <c r="C63" s="213"/>
      <c r="D63" s="213"/>
      <c r="E63" s="213"/>
      <c r="F63" s="213"/>
      <c r="G63" s="213"/>
      <c r="H63" s="213"/>
      <c r="I63" s="213"/>
      <c r="J63" s="213"/>
      <c r="K63" s="213"/>
      <c r="L63" s="213"/>
      <c r="M63" s="213"/>
      <c r="N63" s="213"/>
      <c r="O63" s="213"/>
      <c r="P63" s="213"/>
      <c r="Q63" s="213"/>
      <c r="R63" s="213"/>
      <c r="S63" s="213"/>
      <c r="T63" s="213"/>
      <c r="U63" s="213"/>
      <c r="V63" s="213"/>
      <c r="W63" s="213"/>
      <c r="X63" s="213"/>
      <c r="Y63" s="213"/>
    </row>
    <row r="64" spans="1:25" hidden="1">
      <c r="A64" s="213">
        <v>22</v>
      </c>
      <c r="B64" s="213"/>
      <c r="C64" s="213"/>
      <c r="D64" s="213"/>
      <c r="E64" s="213"/>
      <c r="F64" s="213"/>
      <c r="G64" s="213"/>
      <c r="H64" s="213"/>
      <c r="I64" s="213"/>
      <c r="J64" s="213"/>
      <c r="K64" s="213"/>
      <c r="L64" s="213"/>
      <c r="M64" s="213"/>
      <c r="N64" s="213"/>
      <c r="O64" s="213"/>
      <c r="P64" s="213"/>
      <c r="Q64" s="213"/>
      <c r="R64" s="213"/>
      <c r="S64" s="213"/>
      <c r="T64" s="213"/>
      <c r="U64" s="213"/>
      <c r="V64" s="213"/>
      <c r="W64" s="213"/>
      <c r="X64" s="213"/>
      <c r="Y64" s="213"/>
    </row>
    <row r="65" spans="1:25" hidden="1">
      <c r="A65" s="213">
        <v>23</v>
      </c>
      <c r="B65" s="213"/>
      <c r="C65" s="213"/>
      <c r="D65" s="213"/>
      <c r="E65" s="213"/>
      <c r="F65" s="213"/>
      <c r="G65" s="213"/>
      <c r="H65" s="213"/>
      <c r="I65" s="213"/>
      <c r="J65" s="213"/>
      <c r="K65" s="213"/>
      <c r="L65" s="213"/>
      <c r="M65" s="213"/>
      <c r="N65" s="213"/>
      <c r="O65" s="213"/>
      <c r="P65" s="213"/>
      <c r="Q65" s="213"/>
      <c r="R65" s="213"/>
      <c r="S65" s="213"/>
      <c r="T65" s="213"/>
      <c r="U65" s="213"/>
      <c r="V65" s="213"/>
      <c r="W65" s="213"/>
      <c r="X65" s="213"/>
      <c r="Y65" s="213"/>
    </row>
    <row r="66" spans="1:25" hidden="1">
      <c r="A66" s="213">
        <v>24</v>
      </c>
      <c r="B66" s="213"/>
      <c r="C66" s="213"/>
      <c r="D66" s="213"/>
      <c r="E66" s="213"/>
      <c r="F66" s="213"/>
      <c r="G66" s="213"/>
      <c r="H66" s="213"/>
      <c r="I66" s="213"/>
      <c r="J66" s="213"/>
      <c r="K66" s="213"/>
      <c r="L66" s="213"/>
      <c r="M66" s="213"/>
      <c r="N66" s="213"/>
      <c r="O66" s="213"/>
      <c r="P66" s="213"/>
      <c r="Q66" s="213"/>
      <c r="R66" s="213"/>
      <c r="S66" s="213"/>
      <c r="T66" s="213"/>
      <c r="U66" s="213"/>
      <c r="V66" s="213"/>
      <c r="W66" s="213"/>
      <c r="X66" s="213"/>
      <c r="Y66" s="213"/>
    </row>
    <row r="67" spans="1:25" hidden="1">
      <c r="A67" s="213">
        <v>25</v>
      </c>
      <c r="B67" s="213"/>
      <c r="C67" s="213"/>
      <c r="D67" s="213"/>
      <c r="E67" s="213"/>
      <c r="F67" s="213"/>
      <c r="G67" s="213"/>
      <c r="H67" s="213"/>
      <c r="I67" s="213"/>
      <c r="J67" s="213"/>
      <c r="K67" s="213"/>
      <c r="L67" s="213"/>
      <c r="M67" s="213"/>
      <c r="N67" s="213"/>
      <c r="O67" s="213"/>
      <c r="P67" s="213"/>
      <c r="Q67" s="213"/>
      <c r="R67" s="213"/>
      <c r="S67" s="213"/>
      <c r="T67" s="213"/>
      <c r="U67" s="213"/>
      <c r="V67" s="213"/>
      <c r="W67" s="213"/>
      <c r="X67" s="213"/>
      <c r="Y67" s="213"/>
    </row>
    <row r="68" spans="1:25" hidden="1">
      <c r="A68" s="213">
        <v>26</v>
      </c>
      <c r="B68" s="213"/>
      <c r="C68" s="213"/>
      <c r="D68" s="213"/>
      <c r="E68" s="213"/>
      <c r="F68" s="213"/>
      <c r="G68" s="213"/>
      <c r="H68" s="213"/>
      <c r="I68" s="213"/>
      <c r="J68" s="213"/>
      <c r="K68" s="213"/>
      <c r="L68" s="213"/>
      <c r="M68" s="213"/>
      <c r="N68" s="213"/>
      <c r="O68" s="213"/>
      <c r="P68" s="213"/>
      <c r="Q68" s="213"/>
      <c r="R68" s="213"/>
      <c r="S68" s="213"/>
      <c r="T68" s="213"/>
      <c r="U68" s="213"/>
      <c r="V68" s="213"/>
      <c r="W68" s="213"/>
      <c r="X68" s="213"/>
      <c r="Y68" s="213"/>
    </row>
    <row r="69" spans="1:25" hidden="1">
      <c r="A69" s="213">
        <v>27</v>
      </c>
      <c r="B69" s="213"/>
      <c r="C69" s="213"/>
      <c r="D69" s="213"/>
      <c r="E69" s="213"/>
      <c r="F69" s="213"/>
      <c r="G69" s="213"/>
      <c r="H69" s="213"/>
      <c r="I69" s="213"/>
      <c r="J69" s="213"/>
      <c r="K69" s="213"/>
      <c r="L69" s="213"/>
      <c r="M69" s="213"/>
      <c r="N69" s="213"/>
      <c r="O69" s="213"/>
      <c r="P69" s="213"/>
      <c r="Q69" s="213"/>
      <c r="R69" s="213"/>
      <c r="S69" s="213"/>
      <c r="T69" s="213"/>
      <c r="U69" s="213"/>
      <c r="V69" s="213"/>
      <c r="W69" s="213"/>
      <c r="X69" s="213"/>
      <c r="Y69" s="213"/>
    </row>
    <row r="70" spans="1:25" hidden="1">
      <c r="A70" s="213">
        <v>28</v>
      </c>
      <c r="B70" s="213"/>
      <c r="C70" s="213"/>
      <c r="D70" s="213"/>
      <c r="E70" s="213"/>
      <c r="F70" s="213"/>
      <c r="G70" s="213"/>
      <c r="H70" s="213"/>
      <c r="I70" s="213"/>
      <c r="J70" s="213"/>
      <c r="K70" s="213"/>
      <c r="L70" s="213"/>
      <c r="M70" s="213"/>
      <c r="N70" s="213"/>
      <c r="O70" s="213"/>
      <c r="P70" s="213"/>
      <c r="Q70" s="213"/>
      <c r="R70" s="213"/>
      <c r="S70" s="213"/>
      <c r="T70" s="213"/>
      <c r="U70" s="213"/>
      <c r="V70" s="213"/>
      <c r="W70" s="213"/>
      <c r="X70" s="213"/>
      <c r="Y70" s="213"/>
    </row>
    <row r="71" spans="1:25" hidden="1">
      <c r="A71" s="213">
        <v>29</v>
      </c>
      <c r="B71" s="213"/>
      <c r="C71" s="213"/>
      <c r="D71" s="213"/>
      <c r="E71" s="213"/>
      <c r="F71" s="213"/>
      <c r="G71" s="213"/>
      <c r="H71" s="213"/>
      <c r="I71" s="213"/>
      <c r="J71" s="213"/>
      <c r="K71" s="213"/>
      <c r="L71" s="213"/>
      <c r="M71" s="213"/>
      <c r="N71" s="213"/>
      <c r="O71" s="213"/>
      <c r="P71" s="213"/>
      <c r="Q71" s="213"/>
      <c r="R71" s="213"/>
      <c r="S71" s="213"/>
      <c r="T71" s="213"/>
      <c r="U71" s="213"/>
      <c r="V71" s="213"/>
      <c r="W71" s="213"/>
      <c r="X71" s="213"/>
      <c r="Y71" s="213"/>
    </row>
    <row r="72" spans="1:25" hidden="1">
      <c r="A72" s="213">
        <v>30</v>
      </c>
      <c r="B72" s="213"/>
      <c r="C72" s="213"/>
      <c r="D72" s="213"/>
      <c r="E72" s="213"/>
      <c r="F72" s="213"/>
      <c r="G72" s="213"/>
      <c r="H72" s="213"/>
      <c r="I72" s="213"/>
      <c r="J72" s="213"/>
      <c r="K72" s="213"/>
      <c r="L72" s="213"/>
      <c r="M72" s="213"/>
      <c r="N72" s="213"/>
      <c r="O72" s="213"/>
      <c r="P72" s="213"/>
      <c r="Q72" s="213"/>
      <c r="R72" s="213"/>
      <c r="S72" s="213"/>
      <c r="T72" s="213"/>
      <c r="U72" s="213"/>
      <c r="V72" s="213"/>
      <c r="W72" s="213"/>
      <c r="X72" s="213"/>
      <c r="Y72" s="213"/>
    </row>
    <row r="73" spans="1:25" hidden="1">
      <c r="A73" s="213">
        <v>31</v>
      </c>
      <c r="B73" s="213"/>
      <c r="C73" s="213"/>
      <c r="D73" s="213"/>
      <c r="E73" s="213"/>
      <c r="F73" s="213"/>
      <c r="G73" s="213"/>
      <c r="H73" s="213"/>
      <c r="I73" s="213"/>
      <c r="J73" s="213"/>
      <c r="K73" s="213"/>
      <c r="L73" s="213"/>
      <c r="M73" s="213"/>
      <c r="N73" s="213"/>
      <c r="O73" s="213"/>
      <c r="P73" s="213"/>
      <c r="Q73" s="213"/>
      <c r="R73" s="213"/>
      <c r="S73" s="213"/>
      <c r="T73" s="213"/>
      <c r="U73" s="213"/>
      <c r="V73" s="213"/>
      <c r="W73" s="213"/>
      <c r="X73" s="213"/>
      <c r="Y73" s="213"/>
    </row>
    <row r="74" spans="1:25" hidden="1">
      <c r="A74" s="213">
        <v>32</v>
      </c>
      <c r="B74" s="213"/>
      <c r="C74" s="213"/>
      <c r="D74" s="213"/>
      <c r="E74" s="213"/>
      <c r="F74" s="213"/>
      <c r="G74" s="213"/>
      <c r="H74" s="213"/>
      <c r="I74" s="213"/>
      <c r="J74" s="213"/>
      <c r="K74" s="213"/>
      <c r="L74" s="213"/>
      <c r="M74" s="213"/>
      <c r="N74" s="213"/>
      <c r="O74" s="213"/>
      <c r="P74" s="213"/>
      <c r="Q74" s="213"/>
      <c r="R74" s="213"/>
      <c r="S74" s="213"/>
      <c r="T74" s="213"/>
      <c r="U74" s="213"/>
      <c r="V74" s="213"/>
      <c r="W74" s="213"/>
      <c r="X74" s="213"/>
      <c r="Y74" s="213"/>
    </row>
    <row r="75" spans="1:25" hidden="1">
      <c r="A75" s="213">
        <v>33</v>
      </c>
      <c r="B75" s="213"/>
      <c r="C75" s="213"/>
      <c r="D75" s="213"/>
      <c r="E75" s="213"/>
      <c r="F75" s="213"/>
      <c r="G75" s="213"/>
      <c r="H75" s="213"/>
      <c r="I75" s="213"/>
      <c r="J75" s="213"/>
      <c r="K75" s="213"/>
      <c r="L75" s="213"/>
      <c r="M75" s="213"/>
      <c r="N75" s="213"/>
      <c r="O75" s="213"/>
      <c r="P75" s="213"/>
      <c r="Q75" s="213"/>
      <c r="R75" s="213"/>
      <c r="S75" s="213"/>
      <c r="T75" s="213"/>
      <c r="U75" s="213"/>
      <c r="V75" s="213"/>
      <c r="W75" s="213"/>
      <c r="X75" s="213"/>
      <c r="Y75" s="213"/>
    </row>
    <row r="76" spans="1:25" hidden="1">
      <c r="A76" s="213">
        <v>34</v>
      </c>
      <c r="B76" s="213"/>
      <c r="C76" s="213"/>
      <c r="D76" s="213"/>
      <c r="E76" s="213"/>
      <c r="F76" s="213"/>
      <c r="G76" s="213"/>
      <c r="H76" s="213"/>
      <c r="I76" s="213"/>
      <c r="J76" s="213"/>
      <c r="K76" s="213"/>
      <c r="L76" s="213"/>
      <c r="M76" s="213"/>
      <c r="N76" s="213"/>
      <c r="O76" s="213"/>
      <c r="P76" s="213"/>
      <c r="Q76" s="213"/>
      <c r="R76" s="213"/>
      <c r="S76" s="213"/>
      <c r="T76" s="213"/>
      <c r="U76" s="213"/>
      <c r="V76" s="213"/>
      <c r="W76" s="213"/>
      <c r="X76" s="213"/>
      <c r="Y76" s="213"/>
    </row>
    <row r="77" spans="1:25" hidden="1">
      <c r="A77" s="213">
        <v>35</v>
      </c>
      <c r="B77" s="213"/>
      <c r="C77" s="213"/>
      <c r="D77" s="213"/>
      <c r="E77" s="213"/>
      <c r="F77" s="213"/>
      <c r="G77" s="213"/>
      <c r="H77" s="213"/>
      <c r="I77" s="213"/>
      <c r="J77" s="213"/>
      <c r="K77" s="213"/>
      <c r="L77" s="213"/>
      <c r="M77" s="213"/>
      <c r="N77" s="213"/>
      <c r="O77" s="213"/>
      <c r="P77" s="213"/>
      <c r="Q77" s="213"/>
      <c r="R77" s="213"/>
      <c r="S77" s="213"/>
      <c r="T77" s="213"/>
      <c r="U77" s="213"/>
      <c r="V77" s="213"/>
      <c r="W77" s="213"/>
      <c r="X77" s="213"/>
      <c r="Y77" s="213"/>
    </row>
    <row r="78" spans="1:25" hidden="1">
      <c r="A78" s="213">
        <v>36</v>
      </c>
      <c r="B78" s="213"/>
      <c r="C78" s="213"/>
      <c r="D78" s="213"/>
      <c r="E78" s="213"/>
      <c r="F78" s="213"/>
      <c r="G78" s="213"/>
      <c r="H78" s="213"/>
      <c r="I78" s="213"/>
      <c r="J78" s="213"/>
      <c r="K78" s="213"/>
      <c r="L78" s="213"/>
      <c r="M78" s="213"/>
      <c r="N78" s="213"/>
      <c r="O78" s="213"/>
      <c r="P78" s="213"/>
      <c r="Q78" s="213"/>
      <c r="R78" s="213"/>
      <c r="S78" s="213"/>
      <c r="T78" s="213"/>
      <c r="U78" s="213"/>
      <c r="V78" s="213"/>
      <c r="W78" s="213"/>
      <c r="X78" s="213"/>
      <c r="Y78" s="213"/>
    </row>
    <row r="79" spans="1:25" hidden="1">
      <c r="A79" s="213">
        <v>37</v>
      </c>
      <c r="B79" s="213"/>
      <c r="C79" s="213"/>
      <c r="D79" s="213"/>
      <c r="E79" s="213"/>
      <c r="F79" s="213"/>
      <c r="G79" s="213"/>
      <c r="H79" s="213"/>
      <c r="I79" s="213"/>
      <c r="J79" s="213"/>
      <c r="K79" s="213"/>
      <c r="L79" s="213"/>
      <c r="M79" s="213"/>
      <c r="N79" s="213"/>
      <c r="O79" s="213"/>
      <c r="P79" s="213"/>
      <c r="Q79" s="213"/>
      <c r="R79" s="213"/>
      <c r="S79" s="213"/>
      <c r="T79" s="213"/>
      <c r="U79" s="213"/>
      <c r="V79" s="213"/>
      <c r="W79" s="213"/>
      <c r="X79" s="213"/>
      <c r="Y79" s="213"/>
    </row>
    <row r="80" spans="1:25" hidden="1">
      <c r="A80" s="213">
        <v>38</v>
      </c>
    </row>
    <row r="81" spans="1:1" hidden="1">
      <c r="A81" s="213">
        <v>39</v>
      </c>
    </row>
    <row r="82" spans="1:1" hidden="1">
      <c r="A82" s="213">
        <v>40</v>
      </c>
    </row>
    <row r="83" spans="1:1" hidden="1"/>
    <row r="84" spans="1:1" hidden="1"/>
  </sheetData>
  <sheetProtection algorithmName="SHA-512" hashValue="QhplLRIbaM3sLk46yDfyk8ZDOh+ZP7LhPxah2uBnjvELVpUmQrHWUwrH0W0+9n1gKfhXj6fgkUis4PS1oAQ7hw==" saltValue="65i0206QrsGZROOgMFzsGg==" spinCount="100000" sheet="1" selectLockedCells="1"/>
  <protectedRanges>
    <protectedRange sqref="C7:T7 F16:N16 Q16:T16" name="Range1"/>
    <protectedRange sqref="O13:T13 T14 T9:T11 P11:P12 H9:N13" name="Range2"/>
    <protectedRange sqref="H15:T15" name="Range3"/>
    <protectedRange sqref="T17:T20 P28:S28 H17:S27" name="Range5"/>
    <protectedRange sqref="K28" name="Range9"/>
    <protectedRange sqref="G32:I34" name="Range10"/>
    <protectedRange sqref="R32:S33" name="Range11"/>
  </protectedRanges>
  <mergeCells count="63">
    <mergeCell ref="B32:G32"/>
    <mergeCell ref="Q33:S33"/>
    <mergeCell ref="V33:Z33"/>
    <mergeCell ref="Q27:S27"/>
    <mergeCell ref="Q28:S28"/>
    <mergeCell ref="K30:M30"/>
    <mergeCell ref="Q30:S30"/>
    <mergeCell ref="V30:Z30"/>
    <mergeCell ref="C24:J24"/>
    <mergeCell ref="K24:M24"/>
    <mergeCell ref="N24:P24"/>
    <mergeCell ref="Q24:S24"/>
    <mergeCell ref="B29:G29"/>
    <mergeCell ref="C25:J25"/>
    <mergeCell ref="K25:M25"/>
    <mergeCell ref="N25:P25"/>
    <mergeCell ref="Q25:S25"/>
    <mergeCell ref="C26:J26"/>
    <mergeCell ref="K26:M26"/>
    <mergeCell ref="N26:P26"/>
    <mergeCell ref="Q26:S26"/>
    <mergeCell ref="C27:J27"/>
    <mergeCell ref="K27:M27"/>
    <mergeCell ref="N27:P27"/>
    <mergeCell ref="Q22:S22"/>
    <mergeCell ref="C23:J23"/>
    <mergeCell ref="K23:M23"/>
    <mergeCell ref="N23:P23"/>
    <mergeCell ref="Q23:S23"/>
    <mergeCell ref="C19:J19"/>
    <mergeCell ref="K19:M19"/>
    <mergeCell ref="N19:P19"/>
    <mergeCell ref="Q19:S19"/>
    <mergeCell ref="V19:Z27"/>
    <mergeCell ref="C20:J20"/>
    <mergeCell ref="K20:M20"/>
    <mergeCell ref="N20:P20"/>
    <mergeCell ref="Q20:S20"/>
    <mergeCell ref="C21:J21"/>
    <mergeCell ref="K21:M21"/>
    <mergeCell ref="N21:P21"/>
    <mergeCell ref="Q21:S21"/>
    <mergeCell ref="C22:J22"/>
    <mergeCell ref="K22:M22"/>
    <mergeCell ref="N22:P22"/>
    <mergeCell ref="B15:M15"/>
    <mergeCell ref="Q16:S16"/>
    <mergeCell ref="C18:J18"/>
    <mergeCell ref="K18:M18"/>
    <mergeCell ref="N18:P18"/>
    <mergeCell ref="Q18:S18"/>
    <mergeCell ref="V14:Z14"/>
    <mergeCell ref="B4:T5"/>
    <mergeCell ref="B7:N7"/>
    <mergeCell ref="Q8:S8"/>
    <mergeCell ref="V8:Z10"/>
    <mergeCell ref="Q9:S9"/>
    <mergeCell ref="Q10:S10"/>
    <mergeCell ref="Q11:S11"/>
    <mergeCell ref="Q12:S12"/>
    <mergeCell ref="B13:H13"/>
    <mergeCell ref="K14:M14"/>
    <mergeCell ref="Q14:S14"/>
  </mergeCells>
  <dataValidations count="1">
    <dataValidation type="list" allowBlank="1" showInputMessage="1" showErrorMessage="1" sqref="B19:B27 IX19:IX27 ST19:ST27 ACP19:ACP27 AML19:AML27 AWH19:AWH27 BGD19:BGD27 BPZ19:BPZ27 BZV19:BZV27 CJR19:CJR27 CTN19:CTN27 DDJ19:DDJ27 DNF19:DNF27 DXB19:DXB27 EGX19:EGX27 EQT19:EQT27 FAP19:FAP27 FKL19:FKL27 FUH19:FUH27 GED19:GED27 GNZ19:GNZ27 GXV19:GXV27 HHR19:HHR27 HRN19:HRN27 IBJ19:IBJ27 ILF19:ILF27 IVB19:IVB27 JEX19:JEX27 JOT19:JOT27 JYP19:JYP27 KIL19:KIL27 KSH19:KSH27 LCD19:LCD27 LLZ19:LLZ27 LVV19:LVV27 MFR19:MFR27 MPN19:MPN27 MZJ19:MZJ27 NJF19:NJF27 NTB19:NTB27 OCX19:OCX27 OMT19:OMT27 OWP19:OWP27 PGL19:PGL27 PQH19:PQH27 QAD19:QAD27 QJZ19:QJZ27 QTV19:QTV27 RDR19:RDR27 RNN19:RNN27 RXJ19:RXJ27 SHF19:SHF27 SRB19:SRB27 TAX19:TAX27 TKT19:TKT27 TUP19:TUP27 UEL19:UEL27 UOH19:UOH27 UYD19:UYD27 VHZ19:VHZ27 VRV19:VRV27 WBR19:WBR27 WLN19:WLN27 WVJ19:WVJ27 B65555:B65563 IX65555:IX65563 ST65555:ST65563 ACP65555:ACP65563 AML65555:AML65563 AWH65555:AWH65563 BGD65555:BGD65563 BPZ65555:BPZ65563 BZV65555:BZV65563 CJR65555:CJR65563 CTN65555:CTN65563 DDJ65555:DDJ65563 DNF65555:DNF65563 DXB65555:DXB65563 EGX65555:EGX65563 EQT65555:EQT65563 FAP65555:FAP65563 FKL65555:FKL65563 FUH65555:FUH65563 GED65555:GED65563 GNZ65555:GNZ65563 GXV65555:GXV65563 HHR65555:HHR65563 HRN65555:HRN65563 IBJ65555:IBJ65563 ILF65555:ILF65563 IVB65555:IVB65563 JEX65555:JEX65563 JOT65555:JOT65563 JYP65555:JYP65563 KIL65555:KIL65563 KSH65555:KSH65563 LCD65555:LCD65563 LLZ65555:LLZ65563 LVV65555:LVV65563 MFR65555:MFR65563 MPN65555:MPN65563 MZJ65555:MZJ65563 NJF65555:NJF65563 NTB65555:NTB65563 OCX65555:OCX65563 OMT65555:OMT65563 OWP65555:OWP65563 PGL65555:PGL65563 PQH65555:PQH65563 QAD65555:QAD65563 QJZ65555:QJZ65563 QTV65555:QTV65563 RDR65555:RDR65563 RNN65555:RNN65563 RXJ65555:RXJ65563 SHF65555:SHF65563 SRB65555:SRB65563 TAX65555:TAX65563 TKT65555:TKT65563 TUP65555:TUP65563 UEL65555:UEL65563 UOH65555:UOH65563 UYD65555:UYD65563 VHZ65555:VHZ65563 VRV65555:VRV65563 WBR65555:WBR65563 WLN65555:WLN65563 WVJ65555:WVJ65563 B131091:B131099 IX131091:IX131099 ST131091:ST131099 ACP131091:ACP131099 AML131091:AML131099 AWH131091:AWH131099 BGD131091:BGD131099 BPZ131091:BPZ131099 BZV131091:BZV131099 CJR131091:CJR131099 CTN131091:CTN131099 DDJ131091:DDJ131099 DNF131091:DNF131099 DXB131091:DXB131099 EGX131091:EGX131099 EQT131091:EQT131099 FAP131091:FAP131099 FKL131091:FKL131099 FUH131091:FUH131099 GED131091:GED131099 GNZ131091:GNZ131099 GXV131091:GXV131099 HHR131091:HHR131099 HRN131091:HRN131099 IBJ131091:IBJ131099 ILF131091:ILF131099 IVB131091:IVB131099 JEX131091:JEX131099 JOT131091:JOT131099 JYP131091:JYP131099 KIL131091:KIL131099 KSH131091:KSH131099 LCD131091:LCD131099 LLZ131091:LLZ131099 LVV131091:LVV131099 MFR131091:MFR131099 MPN131091:MPN131099 MZJ131091:MZJ131099 NJF131091:NJF131099 NTB131091:NTB131099 OCX131091:OCX131099 OMT131091:OMT131099 OWP131091:OWP131099 PGL131091:PGL131099 PQH131091:PQH131099 QAD131091:QAD131099 QJZ131091:QJZ131099 QTV131091:QTV131099 RDR131091:RDR131099 RNN131091:RNN131099 RXJ131091:RXJ131099 SHF131091:SHF131099 SRB131091:SRB131099 TAX131091:TAX131099 TKT131091:TKT131099 TUP131091:TUP131099 UEL131091:UEL131099 UOH131091:UOH131099 UYD131091:UYD131099 VHZ131091:VHZ131099 VRV131091:VRV131099 WBR131091:WBR131099 WLN131091:WLN131099 WVJ131091:WVJ131099 B196627:B196635 IX196627:IX196635 ST196627:ST196635 ACP196627:ACP196635 AML196627:AML196635 AWH196627:AWH196635 BGD196627:BGD196635 BPZ196627:BPZ196635 BZV196627:BZV196635 CJR196627:CJR196635 CTN196627:CTN196635 DDJ196627:DDJ196635 DNF196627:DNF196635 DXB196627:DXB196635 EGX196627:EGX196635 EQT196627:EQT196635 FAP196627:FAP196635 FKL196627:FKL196635 FUH196627:FUH196635 GED196627:GED196635 GNZ196627:GNZ196635 GXV196627:GXV196635 HHR196627:HHR196635 HRN196627:HRN196635 IBJ196627:IBJ196635 ILF196627:ILF196635 IVB196627:IVB196635 JEX196627:JEX196635 JOT196627:JOT196635 JYP196627:JYP196635 KIL196627:KIL196635 KSH196627:KSH196635 LCD196627:LCD196635 LLZ196627:LLZ196635 LVV196627:LVV196635 MFR196627:MFR196635 MPN196627:MPN196635 MZJ196627:MZJ196635 NJF196627:NJF196635 NTB196627:NTB196635 OCX196627:OCX196635 OMT196627:OMT196635 OWP196627:OWP196635 PGL196627:PGL196635 PQH196627:PQH196635 QAD196627:QAD196635 QJZ196627:QJZ196635 QTV196627:QTV196635 RDR196627:RDR196635 RNN196627:RNN196635 RXJ196627:RXJ196635 SHF196627:SHF196635 SRB196627:SRB196635 TAX196627:TAX196635 TKT196627:TKT196635 TUP196627:TUP196635 UEL196627:UEL196635 UOH196627:UOH196635 UYD196627:UYD196635 VHZ196627:VHZ196635 VRV196627:VRV196635 WBR196627:WBR196635 WLN196627:WLN196635 WVJ196627:WVJ196635 B262163:B262171 IX262163:IX262171 ST262163:ST262171 ACP262163:ACP262171 AML262163:AML262171 AWH262163:AWH262171 BGD262163:BGD262171 BPZ262163:BPZ262171 BZV262163:BZV262171 CJR262163:CJR262171 CTN262163:CTN262171 DDJ262163:DDJ262171 DNF262163:DNF262171 DXB262163:DXB262171 EGX262163:EGX262171 EQT262163:EQT262171 FAP262163:FAP262171 FKL262163:FKL262171 FUH262163:FUH262171 GED262163:GED262171 GNZ262163:GNZ262171 GXV262163:GXV262171 HHR262163:HHR262171 HRN262163:HRN262171 IBJ262163:IBJ262171 ILF262163:ILF262171 IVB262163:IVB262171 JEX262163:JEX262171 JOT262163:JOT262171 JYP262163:JYP262171 KIL262163:KIL262171 KSH262163:KSH262171 LCD262163:LCD262171 LLZ262163:LLZ262171 LVV262163:LVV262171 MFR262163:MFR262171 MPN262163:MPN262171 MZJ262163:MZJ262171 NJF262163:NJF262171 NTB262163:NTB262171 OCX262163:OCX262171 OMT262163:OMT262171 OWP262163:OWP262171 PGL262163:PGL262171 PQH262163:PQH262171 QAD262163:QAD262171 QJZ262163:QJZ262171 QTV262163:QTV262171 RDR262163:RDR262171 RNN262163:RNN262171 RXJ262163:RXJ262171 SHF262163:SHF262171 SRB262163:SRB262171 TAX262163:TAX262171 TKT262163:TKT262171 TUP262163:TUP262171 UEL262163:UEL262171 UOH262163:UOH262171 UYD262163:UYD262171 VHZ262163:VHZ262171 VRV262163:VRV262171 WBR262163:WBR262171 WLN262163:WLN262171 WVJ262163:WVJ262171 B327699:B327707 IX327699:IX327707 ST327699:ST327707 ACP327699:ACP327707 AML327699:AML327707 AWH327699:AWH327707 BGD327699:BGD327707 BPZ327699:BPZ327707 BZV327699:BZV327707 CJR327699:CJR327707 CTN327699:CTN327707 DDJ327699:DDJ327707 DNF327699:DNF327707 DXB327699:DXB327707 EGX327699:EGX327707 EQT327699:EQT327707 FAP327699:FAP327707 FKL327699:FKL327707 FUH327699:FUH327707 GED327699:GED327707 GNZ327699:GNZ327707 GXV327699:GXV327707 HHR327699:HHR327707 HRN327699:HRN327707 IBJ327699:IBJ327707 ILF327699:ILF327707 IVB327699:IVB327707 JEX327699:JEX327707 JOT327699:JOT327707 JYP327699:JYP327707 KIL327699:KIL327707 KSH327699:KSH327707 LCD327699:LCD327707 LLZ327699:LLZ327707 LVV327699:LVV327707 MFR327699:MFR327707 MPN327699:MPN327707 MZJ327699:MZJ327707 NJF327699:NJF327707 NTB327699:NTB327707 OCX327699:OCX327707 OMT327699:OMT327707 OWP327699:OWP327707 PGL327699:PGL327707 PQH327699:PQH327707 QAD327699:QAD327707 QJZ327699:QJZ327707 QTV327699:QTV327707 RDR327699:RDR327707 RNN327699:RNN327707 RXJ327699:RXJ327707 SHF327699:SHF327707 SRB327699:SRB327707 TAX327699:TAX327707 TKT327699:TKT327707 TUP327699:TUP327707 UEL327699:UEL327707 UOH327699:UOH327707 UYD327699:UYD327707 VHZ327699:VHZ327707 VRV327699:VRV327707 WBR327699:WBR327707 WLN327699:WLN327707 WVJ327699:WVJ327707 B393235:B393243 IX393235:IX393243 ST393235:ST393243 ACP393235:ACP393243 AML393235:AML393243 AWH393235:AWH393243 BGD393235:BGD393243 BPZ393235:BPZ393243 BZV393235:BZV393243 CJR393235:CJR393243 CTN393235:CTN393243 DDJ393235:DDJ393243 DNF393235:DNF393243 DXB393235:DXB393243 EGX393235:EGX393243 EQT393235:EQT393243 FAP393235:FAP393243 FKL393235:FKL393243 FUH393235:FUH393243 GED393235:GED393243 GNZ393235:GNZ393243 GXV393235:GXV393243 HHR393235:HHR393243 HRN393235:HRN393243 IBJ393235:IBJ393243 ILF393235:ILF393243 IVB393235:IVB393243 JEX393235:JEX393243 JOT393235:JOT393243 JYP393235:JYP393243 KIL393235:KIL393243 KSH393235:KSH393243 LCD393235:LCD393243 LLZ393235:LLZ393243 LVV393235:LVV393243 MFR393235:MFR393243 MPN393235:MPN393243 MZJ393235:MZJ393243 NJF393235:NJF393243 NTB393235:NTB393243 OCX393235:OCX393243 OMT393235:OMT393243 OWP393235:OWP393243 PGL393235:PGL393243 PQH393235:PQH393243 QAD393235:QAD393243 QJZ393235:QJZ393243 QTV393235:QTV393243 RDR393235:RDR393243 RNN393235:RNN393243 RXJ393235:RXJ393243 SHF393235:SHF393243 SRB393235:SRB393243 TAX393235:TAX393243 TKT393235:TKT393243 TUP393235:TUP393243 UEL393235:UEL393243 UOH393235:UOH393243 UYD393235:UYD393243 VHZ393235:VHZ393243 VRV393235:VRV393243 WBR393235:WBR393243 WLN393235:WLN393243 WVJ393235:WVJ393243 B458771:B458779 IX458771:IX458779 ST458771:ST458779 ACP458771:ACP458779 AML458771:AML458779 AWH458771:AWH458779 BGD458771:BGD458779 BPZ458771:BPZ458779 BZV458771:BZV458779 CJR458771:CJR458779 CTN458771:CTN458779 DDJ458771:DDJ458779 DNF458771:DNF458779 DXB458771:DXB458779 EGX458771:EGX458779 EQT458771:EQT458779 FAP458771:FAP458779 FKL458771:FKL458779 FUH458771:FUH458779 GED458771:GED458779 GNZ458771:GNZ458779 GXV458771:GXV458779 HHR458771:HHR458779 HRN458771:HRN458779 IBJ458771:IBJ458779 ILF458771:ILF458779 IVB458771:IVB458779 JEX458771:JEX458779 JOT458771:JOT458779 JYP458771:JYP458779 KIL458771:KIL458779 KSH458771:KSH458779 LCD458771:LCD458779 LLZ458771:LLZ458779 LVV458771:LVV458779 MFR458771:MFR458779 MPN458771:MPN458779 MZJ458771:MZJ458779 NJF458771:NJF458779 NTB458771:NTB458779 OCX458771:OCX458779 OMT458771:OMT458779 OWP458771:OWP458779 PGL458771:PGL458779 PQH458771:PQH458779 QAD458771:QAD458779 QJZ458771:QJZ458779 QTV458771:QTV458779 RDR458771:RDR458779 RNN458771:RNN458779 RXJ458771:RXJ458779 SHF458771:SHF458779 SRB458771:SRB458779 TAX458771:TAX458779 TKT458771:TKT458779 TUP458771:TUP458779 UEL458771:UEL458779 UOH458771:UOH458779 UYD458771:UYD458779 VHZ458771:VHZ458779 VRV458771:VRV458779 WBR458771:WBR458779 WLN458771:WLN458779 WVJ458771:WVJ458779 B524307:B524315 IX524307:IX524315 ST524307:ST524315 ACP524307:ACP524315 AML524307:AML524315 AWH524307:AWH524315 BGD524307:BGD524315 BPZ524307:BPZ524315 BZV524307:BZV524315 CJR524307:CJR524315 CTN524307:CTN524315 DDJ524307:DDJ524315 DNF524307:DNF524315 DXB524307:DXB524315 EGX524307:EGX524315 EQT524307:EQT524315 FAP524307:FAP524315 FKL524307:FKL524315 FUH524307:FUH524315 GED524307:GED524315 GNZ524307:GNZ524315 GXV524307:GXV524315 HHR524307:HHR524315 HRN524307:HRN524315 IBJ524307:IBJ524315 ILF524307:ILF524315 IVB524307:IVB524315 JEX524307:JEX524315 JOT524307:JOT524315 JYP524307:JYP524315 KIL524307:KIL524315 KSH524307:KSH524315 LCD524307:LCD524315 LLZ524307:LLZ524315 LVV524307:LVV524315 MFR524307:MFR524315 MPN524307:MPN524315 MZJ524307:MZJ524315 NJF524307:NJF524315 NTB524307:NTB524315 OCX524307:OCX524315 OMT524307:OMT524315 OWP524307:OWP524315 PGL524307:PGL524315 PQH524307:PQH524315 QAD524307:QAD524315 QJZ524307:QJZ524315 QTV524307:QTV524315 RDR524307:RDR524315 RNN524307:RNN524315 RXJ524307:RXJ524315 SHF524307:SHF524315 SRB524307:SRB524315 TAX524307:TAX524315 TKT524307:TKT524315 TUP524307:TUP524315 UEL524307:UEL524315 UOH524307:UOH524315 UYD524307:UYD524315 VHZ524307:VHZ524315 VRV524307:VRV524315 WBR524307:WBR524315 WLN524307:WLN524315 WVJ524307:WVJ524315 B589843:B589851 IX589843:IX589851 ST589843:ST589851 ACP589843:ACP589851 AML589843:AML589851 AWH589843:AWH589851 BGD589843:BGD589851 BPZ589843:BPZ589851 BZV589843:BZV589851 CJR589843:CJR589851 CTN589843:CTN589851 DDJ589843:DDJ589851 DNF589843:DNF589851 DXB589843:DXB589851 EGX589843:EGX589851 EQT589843:EQT589851 FAP589843:FAP589851 FKL589843:FKL589851 FUH589843:FUH589851 GED589843:GED589851 GNZ589843:GNZ589851 GXV589843:GXV589851 HHR589843:HHR589851 HRN589843:HRN589851 IBJ589843:IBJ589851 ILF589843:ILF589851 IVB589843:IVB589851 JEX589843:JEX589851 JOT589843:JOT589851 JYP589843:JYP589851 KIL589843:KIL589851 KSH589843:KSH589851 LCD589843:LCD589851 LLZ589843:LLZ589851 LVV589843:LVV589851 MFR589843:MFR589851 MPN589843:MPN589851 MZJ589843:MZJ589851 NJF589843:NJF589851 NTB589843:NTB589851 OCX589843:OCX589851 OMT589843:OMT589851 OWP589843:OWP589851 PGL589843:PGL589851 PQH589843:PQH589851 QAD589843:QAD589851 QJZ589843:QJZ589851 QTV589843:QTV589851 RDR589843:RDR589851 RNN589843:RNN589851 RXJ589843:RXJ589851 SHF589843:SHF589851 SRB589843:SRB589851 TAX589843:TAX589851 TKT589843:TKT589851 TUP589843:TUP589851 UEL589843:UEL589851 UOH589843:UOH589851 UYD589843:UYD589851 VHZ589843:VHZ589851 VRV589843:VRV589851 WBR589843:WBR589851 WLN589843:WLN589851 WVJ589843:WVJ589851 B655379:B655387 IX655379:IX655387 ST655379:ST655387 ACP655379:ACP655387 AML655379:AML655387 AWH655379:AWH655387 BGD655379:BGD655387 BPZ655379:BPZ655387 BZV655379:BZV655387 CJR655379:CJR655387 CTN655379:CTN655387 DDJ655379:DDJ655387 DNF655379:DNF655387 DXB655379:DXB655387 EGX655379:EGX655387 EQT655379:EQT655387 FAP655379:FAP655387 FKL655379:FKL655387 FUH655379:FUH655387 GED655379:GED655387 GNZ655379:GNZ655387 GXV655379:GXV655387 HHR655379:HHR655387 HRN655379:HRN655387 IBJ655379:IBJ655387 ILF655379:ILF655387 IVB655379:IVB655387 JEX655379:JEX655387 JOT655379:JOT655387 JYP655379:JYP655387 KIL655379:KIL655387 KSH655379:KSH655387 LCD655379:LCD655387 LLZ655379:LLZ655387 LVV655379:LVV655387 MFR655379:MFR655387 MPN655379:MPN655387 MZJ655379:MZJ655387 NJF655379:NJF655387 NTB655379:NTB655387 OCX655379:OCX655387 OMT655379:OMT655387 OWP655379:OWP655387 PGL655379:PGL655387 PQH655379:PQH655387 QAD655379:QAD655387 QJZ655379:QJZ655387 QTV655379:QTV655387 RDR655379:RDR655387 RNN655379:RNN655387 RXJ655379:RXJ655387 SHF655379:SHF655387 SRB655379:SRB655387 TAX655379:TAX655387 TKT655379:TKT655387 TUP655379:TUP655387 UEL655379:UEL655387 UOH655379:UOH655387 UYD655379:UYD655387 VHZ655379:VHZ655387 VRV655379:VRV655387 WBR655379:WBR655387 WLN655379:WLN655387 WVJ655379:WVJ655387 B720915:B720923 IX720915:IX720923 ST720915:ST720923 ACP720915:ACP720923 AML720915:AML720923 AWH720915:AWH720923 BGD720915:BGD720923 BPZ720915:BPZ720923 BZV720915:BZV720923 CJR720915:CJR720923 CTN720915:CTN720923 DDJ720915:DDJ720923 DNF720915:DNF720923 DXB720915:DXB720923 EGX720915:EGX720923 EQT720915:EQT720923 FAP720915:FAP720923 FKL720915:FKL720923 FUH720915:FUH720923 GED720915:GED720923 GNZ720915:GNZ720923 GXV720915:GXV720923 HHR720915:HHR720923 HRN720915:HRN720923 IBJ720915:IBJ720923 ILF720915:ILF720923 IVB720915:IVB720923 JEX720915:JEX720923 JOT720915:JOT720923 JYP720915:JYP720923 KIL720915:KIL720923 KSH720915:KSH720923 LCD720915:LCD720923 LLZ720915:LLZ720923 LVV720915:LVV720923 MFR720915:MFR720923 MPN720915:MPN720923 MZJ720915:MZJ720923 NJF720915:NJF720923 NTB720915:NTB720923 OCX720915:OCX720923 OMT720915:OMT720923 OWP720915:OWP720923 PGL720915:PGL720923 PQH720915:PQH720923 QAD720915:QAD720923 QJZ720915:QJZ720923 QTV720915:QTV720923 RDR720915:RDR720923 RNN720915:RNN720923 RXJ720915:RXJ720923 SHF720915:SHF720923 SRB720915:SRB720923 TAX720915:TAX720923 TKT720915:TKT720923 TUP720915:TUP720923 UEL720915:UEL720923 UOH720915:UOH720923 UYD720915:UYD720923 VHZ720915:VHZ720923 VRV720915:VRV720923 WBR720915:WBR720923 WLN720915:WLN720923 WVJ720915:WVJ720923 B786451:B786459 IX786451:IX786459 ST786451:ST786459 ACP786451:ACP786459 AML786451:AML786459 AWH786451:AWH786459 BGD786451:BGD786459 BPZ786451:BPZ786459 BZV786451:BZV786459 CJR786451:CJR786459 CTN786451:CTN786459 DDJ786451:DDJ786459 DNF786451:DNF786459 DXB786451:DXB786459 EGX786451:EGX786459 EQT786451:EQT786459 FAP786451:FAP786459 FKL786451:FKL786459 FUH786451:FUH786459 GED786451:GED786459 GNZ786451:GNZ786459 GXV786451:GXV786459 HHR786451:HHR786459 HRN786451:HRN786459 IBJ786451:IBJ786459 ILF786451:ILF786459 IVB786451:IVB786459 JEX786451:JEX786459 JOT786451:JOT786459 JYP786451:JYP786459 KIL786451:KIL786459 KSH786451:KSH786459 LCD786451:LCD786459 LLZ786451:LLZ786459 LVV786451:LVV786459 MFR786451:MFR786459 MPN786451:MPN786459 MZJ786451:MZJ786459 NJF786451:NJF786459 NTB786451:NTB786459 OCX786451:OCX786459 OMT786451:OMT786459 OWP786451:OWP786459 PGL786451:PGL786459 PQH786451:PQH786459 QAD786451:QAD786459 QJZ786451:QJZ786459 QTV786451:QTV786459 RDR786451:RDR786459 RNN786451:RNN786459 RXJ786451:RXJ786459 SHF786451:SHF786459 SRB786451:SRB786459 TAX786451:TAX786459 TKT786451:TKT786459 TUP786451:TUP786459 UEL786451:UEL786459 UOH786451:UOH786459 UYD786451:UYD786459 VHZ786451:VHZ786459 VRV786451:VRV786459 WBR786451:WBR786459 WLN786451:WLN786459 WVJ786451:WVJ786459 B851987:B851995 IX851987:IX851995 ST851987:ST851995 ACP851987:ACP851995 AML851987:AML851995 AWH851987:AWH851995 BGD851987:BGD851995 BPZ851987:BPZ851995 BZV851987:BZV851995 CJR851987:CJR851995 CTN851987:CTN851995 DDJ851987:DDJ851995 DNF851987:DNF851995 DXB851987:DXB851995 EGX851987:EGX851995 EQT851987:EQT851995 FAP851987:FAP851995 FKL851987:FKL851995 FUH851987:FUH851995 GED851987:GED851995 GNZ851987:GNZ851995 GXV851987:GXV851995 HHR851987:HHR851995 HRN851987:HRN851995 IBJ851987:IBJ851995 ILF851987:ILF851995 IVB851987:IVB851995 JEX851987:JEX851995 JOT851987:JOT851995 JYP851987:JYP851995 KIL851987:KIL851995 KSH851987:KSH851995 LCD851987:LCD851995 LLZ851987:LLZ851995 LVV851987:LVV851995 MFR851987:MFR851995 MPN851987:MPN851995 MZJ851987:MZJ851995 NJF851987:NJF851995 NTB851987:NTB851995 OCX851987:OCX851995 OMT851987:OMT851995 OWP851987:OWP851995 PGL851987:PGL851995 PQH851987:PQH851995 QAD851987:QAD851995 QJZ851987:QJZ851995 QTV851987:QTV851995 RDR851987:RDR851995 RNN851987:RNN851995 RXJ851987:RXJ851995 SHF851987:SHF851995 SRB851987:SRB851995 TAX851987:TAX851995 TKT851987:TKT851995 TUP851987:TUP851995 UEL851987:UEL851995 UOH851987:UOH851995 UYD851987:UYD851995 VHZ851987:VHZ851995 VRV851987:VRV851995 WBR851987:WBR851995 WLN851987:WLN851995 WVJ851987:WVJ851995 B917523:B917531 IX917523:IX917531 ST917523:ST917531 ACP917523:ACP917531 AML917523:AML917531 AWH917523:AWH917531 BGD917523:BGD917531 BPZ917523:BPZ917531 BZV917523:BZV917531 CJR917523:CJR917531 CTN917523:CTN917531 DDJ917523:DDJ917531 DNF917523:DNF917531 DXB917523:DXB917531 EGX917523:EGX917531 EQT917523:EQT917531 FAP917523:FAP917531 FKL917523:FKL917531 FUH917523:FUH917531 GED917523:GED917531 GNZ917523:GNZ917531 GXV917523:GXV917531 HHR917523:HHR917531 HRN917523:HRN917531 IBJ917523:IBJ917531 ILF917523:ILF917531 IVB917523:IVB917531 JEX917523:JEX917531 JOT917523:JOT917531 JYP917523:JYP917531 KIL917523:KIL917531 KSH917523:KSH917531 LCD917523:LCD917531 LLZ917523:LLZ917531 LVV917523:LVV917531 MFR917523:MFR917531 MPN917523:MPN917531 MZJ917523:MZJ917531 NJF917523:NJF917531 NTB917523:NTB917531 OCX917523:OCX917531 OMT917523:OMT917531 OWP917523:OWP917531 PGL917523:PGL917531 PQH917523:PQH917531 QAD917523:QAD917531 QJZ917523:QJZ917531 QTV917523:QTV917531 RDR917523:RDR917531 RNN917523:RNN917531 RXJ917523:RXJ917531 SHF917523:SHF917531 SRB917523:SRB917531 TAX917523:TAX917531 TKT917523:TKT917531 TUP917523:TUP917531 UEL917523:UEL917531 UOH917523:UOH917531 UYD917523:UYD917531 VHZ917523:VHZ917531 VRV917523:VRV917531 WBR917523:WBR917531 WLN917523:WLN917531 WVJ917523:WVJ917531 B983059:B983067 IX983059:IX983067 ST983059:ST983067 ACP983059:ACP983067 AML983059:AML983067 AWH983059:AWH983067 BGD983059:BGD983067 BPZ983059:BPZ983067 BZV983059:BZV983067 CJR983059:CJR983067 CTN983059:CTN983067 DDJ983059:DDJ983067 DNF983059:DNF983067 DXB983059:DXB983067 EGX983059:EGX983067 EQT983059:EQT983067 FAP983059:FAP983067 FKL983059:FKL983067 FUH983059:FUH983067 GED983059:GED983067 GNZ983059:GNZ983067 GXV983059:GXV983067 HHR983059:HHR983067 HRN983059:HRN983067 IBJ983059:IBJ983067 ILF983059:ILF983067 IVB983059:IVB983067 JEX983059:JEX983067 JOT983059:JOT983067 JYP983059:JYP983067 KIL983059:KIL983067 KSH983059:KSH983067 LCD983059:LCD983067 LLZ983059:LLZ983067 LVV983059:LVV983067 MFR983059:MFR983067 MPN983059:MPN983067 MZJ983059:MZJ983067 NJF983059:NJF983067 NTB983059:NTB983067 OCX983059:OCX983067 OMT983059:OMT983067 OWP983059:OWP983067 PGL983059:PGL983067 PQH983059:PQH983067 QAD983059:QAD983067 QJZ983059:QJZ983067 QTV983059:QTV983067 RDR983059:RDR983067 RNN983059:RNN983067 RXJ983059:RXJ983067 SHF983059:SHF983067 SRB983059:SRB983067 TAX983059:TAX983067 TKT983059:TKT983067 TUP983059:TUP983067 UEL983059:UEL983067 UOH983059:UOH983067 UYD983059:UYD983067 VHZ983059:VHZ983067 VRV983059:VRV983067 WBR983059:WBR983067 WLN983059:WLN983067 WVJ983059:WVJ983067" xr:uid="{6F1EE640-A181-494C-8F8B-A548068B787D}">
      <formula1>$A$42:$A$82</formula1>
    </dataValidation>
  </dataValidations>
  <printOptions horizontalCentered="1"/>
  <pageMargins left="0.74803149606299213" right="0.70866141732283472" top="0.74803149606299213" bottom="0.9055118110236221" header="0.39370078740157483" footer="0.39370078740157483"/>
  <pageSetup paperSize="9" scale="96" orientation="portrait" r:id="rId1"/>
  <headerFooter scaleWithDoc="0" alignWithMargins="0">
    <oddHeader xml:space="preserve">&amp;L&amp;"-,Regular"&amp;8&amp;F&amp;R&amp;"-,Regular"&amp;8&amp;A
________________________________________________________________________________________
</oddHeader>
    <oddFooter>&amp;L&amp;"-,Regular"&amp;8________________________________________________________________________________________
NZ Transport Agency’s Economic evaluation manual 
Effective from Jul 2013</oddFooter>
  </headerFooter>
  <drawing r:id="rId2"/>
  <legacyDrawing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0998D8-30FA-4CFF-A3C2-B1D81B963020}">
  <sheetPr codeName="Sheet7">
    <pageSetUpPr fitToPage="1"/>
  </sheetPr>
  <dimension ref="A1:Z71"/>
  <sheetViews>
    <sheetView zoomScaleNormal="100" workbookViewId="0">
      <selection activeCell="K7" sqref="K7:M7"/>
    </sheetView>
  </sheetViews>
  <sheetFormatPr defaultColWidth="7.69921875" defaultRowHeight="12.6"/>
  <cols>
    <col min="1" max="1" width="2.5" style="217" customWidth="1"/>
    <col min="2" max="2" width="7.09765625" style="217" customWidth="1"/>
    <col min="3" max="5" width="3.09765625" style="217" customWidth="1"/>
    <col min="6" max="6" width="4" style="217" customWidth="1"/>
    <col min="7" max="9" width="3.09765625" style="217" customWidth="1"/>
    <col min="10" max="10" width="3.59765625" style="217" customWidth="1"/>
    <col min="11" max="11" width="4.8984375" style="217" customWidth="1"/>
    <col min="12" max="19" width="4.69921875" style="217" customWidth="1"/>
    <col min="20" max="20" width="3.09765625" style="217" customWidth="1"/>
    <col min="21" max="21" width="13.59765625" style="217" customWidth="1"/>
    <col min="22" max="22" width="26.69921875" style="217" customWidth="1"/>
    <col min="23" max="26" width="13.59765625" style="217" customWidth="1"/>
    <col min="27" max="256" width="7.69921875" style="217"/>
    <col min="257" max="257" width="2.5" style="217" customWidth="1"/>
    <col min="258" max="258" width="7.09765625" style="217" customWidth="1"/>
    <col min="259" max="261" width="3.09765625" style="217" customWidth="1"/>
    <col min="262" max="262" width="4" style="217" customWidth="1"/>
    <col min="263" max="265" width="3.09765625" style="217" customWidth="1"/>
    <col min="266" max="266" width="3.59765625" style="217" customWidth="1"/>
    <col min="267" max="267" width="4.8984375" style="217" customWidth="1"/>
    <col min="268" max="275" width="4.69921875" style="217" customWidth="1"/>
    <col min="276" max="276" width="3.09765625" style="217" customWidth="1"/>
    <col min="277" max="277" width="13.59765625" style="217" customWidth="1"/>
    <col min="278" max="278" width="26.69921875" style="217" customWidth="1"/>
    <col min="279" max="282" width="13.59765625" style="217" customWidth="1"/>
    <col min="283" max="512" width="7.69921875" style="217"/>
    <col min="513" max="513" width="2.5" style="217" customWidth="1"/>
    <col min="514" max="514" width="7.09765625" style="217" customWidth="1"/>
    <col min="515" max="517" width="3.09765625" style="217" customWidth="1"/>
    <col min="518" max="518" width="4" style="217" customWidth="1"/>
    <col min="519" max="521" width="3.09765625" style="217" customWidth="1"/>
    <col min="522" max="522" width="3.59765625" style="217" customWidth="1"/>
    <col min="523" max="523" width="4.8984375" style="217" customWidth="1"/>
    <col min="524" max="531" width="4.69921875" style="217" customWidth="1"/>
    <col min="532" max="532" width="3.09765625" style="217" customWidth="1"/>
    <col min="533" max="533" width="13.59765625" style="217" customWidth="1"/>
    <col min="534" max="534" width="26.69921875" style="217" customWidth="1"/>
    <col min="535" max="538" width="13.59765625" style="217" customWidth="1"/>
    <col min="539" max="768" width="7.69921875" style="217"/>
    <col min="769" max="769" width="2.5" style="217" customWidth="1"/>
    <col min="770" max="770" width="7.09765625" style="217" customWidth="1"/>
    <col min="771" max="773" width="3.09765625" style="217" customWidth="1"/>
    <col min="774" max="774" width="4" style="217" customWidth="1"/>
    <col min="775" max="777" width="3.09765625" style="217" customWidth="1"/>
    <col min="778" max="778" width="3.59765625" style="217" customWidth="1"/>
    <col min="779" max="779" width="4.8984375" style="217" customWidth="1"/>
    <col min="780" max="787" width="4.69921875" style="217" customWidth="1"/>
    <col min="788" max="788" width="3.09765625" style="217" customWidth="1"/>
    <col min="789" max="789" width="13.59765625" style="217" customWidth="1"/>
    <col min="790" max="790" width="26.69921875" style="217" customWidth="1"/>
    <col min="791" max="794" width="13.59765625" style="217" customWidth="1"/>
    <col min="795" max="1024" width="7.69921875" style="217"/>
    <col min="1025" max="1025" width="2.5" style="217" customWidth="1"/>
    <col min="1026" max="1026" width="7.09765625" style="217" customWidth="1"/>
    <col min="1027" max="1029" width="3.09765625" style="217" customWidth="1"/>
    <col min="1030" max="1030" width="4" style="217" customWidth="1"/>
    <col min="1031" max="1033" width="3.09765625" style="217" customWidth="1"/>
    <col min="1034" max="1034" width="3.59765625" style="217" customWidth="1"/>
    <col min="1035" max="1035" width="4.8984375" style="217" customWidth="1"/>
    <col min="1036" max="1043" width="4.69921875" style="217" customWidth="1"/>
    <col min="1044" max="1044" width="3.09765625" style="217" customWidth="1"/>
    <col min="1045" max="1045" width="13.59765625" style="217" customWidth="1"/>
    <col min="1046" max="1046" width="26.69921875" style="217" customWidth="1"/>
    <col min="1047" max="1050" width="13.59765625" style="217" customWidth="1"/>
    <col min="1051" max="1280" width="7.69921875" style="217"/>
    <col min="1281" max="1281" width="2.5" style="217" customWidth="1"/>
    <col min="1282" max="1282" width="7.09765625" style="217" customWidth="1"/>
    <col min="1283" max="1285" width="3.09765625" style="217" customWidth="1"/>
    <col min="1286" max="1286" width="4" style="217" customWidth="1"/>
    <col min="1287" max="1289" width="3.09765625" style="217" customWidth="1"/>
    <col min="1290" max="1290" width="3.59765625" style="217" customWidth="1"/>
    <col min="1291" max="1291" width="4.8984375" style="217" customWidth="1"/>
    <col min="1292" max="1299" width="4.69921875" style="217" customWidth="1"/>
    <col min="1300" max="1300" width="3.09765625" style="217" customWidth="1"/>
    <col min="1301" max="1301" width="13.59765625" style="217" customWidth="1"/>
    <col min="1302" max="1302" width="26.69921875" style="217" customWidth="1"/>
    <col min="1303" max="1306" width="13.59765625" style="217" customWidth="1"/>
    <col min="1307" max="1536" width="7.69921875" style="217"/>
    <col min="1537" max="1537" width="2.5" style="217" customWidth="1"/>
    <col min="1538" max="1538" width="7.09765625" style="217" customWidth="1"/>
    <col min="1539" max="1541" width="3.09765625" style="217" customWidth="1"/>
    <col min="1542" max="1542" width="4" style="217" customWidth="1"/>
    <col min="1543" max="1545" width="3.09765625" style="217" customWidth="1"/>
    <col min="1546" max="1546" width="3.59765625" style="217" customWidth="1"/>
    <col min="1547" max="1547" width="4.8984375" style="217" customWidth="1"/>
    <col min="1548" max="1555" width="4.69921875" style="217" customWidth="1"/>
    <col min="1556" max="1556" width="3.09765625" style="217" customWidth="1"/>
    <col min="1557" max="1557" width="13.59765625" style="217" customWidth="1"/>
    <col min="1558" max="1558" width="26.69921875" style="217" customWidth="1"/>
    <col min="1559" max="1562" width="13.59765625" style="217" customWidth="1"/>
    <col min="1563" max="1792" width="7.69921875" style="217"/>
    <col min="1793" max="1793" width="2.5" style="217" customWidth="1"/>
    <col min="1794" max="1794" width="7.09765625" style="217" customWidth="1"/>
    <col min="1795" max="1797" width="3.09765625" style="217" customWidth="1"/>
    <col min="1798" max="1798" width="4" style="217" customWidth="1"/>
    <col min="1799" max="1801" width="3.09765625" style="217" customWidth="1"/>
    <col min="1802" max="1802" width="3.59765625" style="217" customWidth="1"/>
    <col min="1803" max="1803" width="4.8984375" style="217" customWidth="1"/>
    <col min="1804" max="1811" width="4.69921875" style="217" customWidth="1"/>
    <col min="1812" max="1812" width="3.09765625" style="217" customWidth="1"/>
    <col min="1813" max="1813" width="13.59765625" style="217" customWidth="1"/>
    <col min="1814" max="1814" width="26.69921875" style="217" customWidth="1"/>
    <col min="1815" max="1818" width="13.59765625" style="217" customWidth="1"/>
    <col min="1819" max="2048" width="7.69921875" style="217"/>
    <col min="2049" max="2049" width="2.5" style="217" customWidth="1"/>
    <col min="2050" max="2050" width="7.09765625" style="217" customWidth="1"/>
    <col min="2051" max="2053" width="3.09765625" style="217" customWidth="1"/>
    <col min="2054" max="2054" width="4" style="217" customWidth="1"/>
    <col min="2055" max="2057" width="3.09765625" style="217" customWidth="1"/>
    <col min="2058" max="2058" width="3.59765625" style="217" customWidth="1"/>
    <col min="2059" max="2059" width="4.8984375" style="217" customWidth="1"/>
    <col min="2060" max="2067" width="4.69921875" style="217" customWidth="1"/>
    <col min="2068" max="2068" width="3.09765625" style="217" customWidth="1"/>
    <col min="2069" max="2069" width="13.59765625" style="217" customWidth="1"/>
    <col min="2070" max="2070" width="26.69921875" style="217" customWidth="1"/>
    <col min="2071" max="2074" width="13.59765625" style="217" customWidth="1"/>
    <col min="2075" max="2304" width="7.69921875" style="217"/>
    <col min="2305" max="2305" width="2.5" style="217" customWidth="1"/>
    <col min="2306" max="2306" width="7.09765625" style="217" customWidth="1"/>
    <col min="2307" max="2309" width="3.09765625" style="217" customWidth="1"/>
    <col min="2310" max="2310" width="4" style="217" customWidth="1"/>
    <col min="2311" max="2313" width="3.09765625" style="217" customWidth="1"/>
    <col min="2314" max="2314" width="3.59765625" style="217" customWidth="1"/>
    <col min="2315" max="2315" width="4.8984375" style="217" customWidth="1"/>
    <col min="2316" max="2323" width="4.69921875" style="217" customWidth="1"/>
    <col min="2324" max="2324" width="3.09765625" style="217" customWidth="1"/>
    <col min="2325" max="2325" width="13.59765625" style="217" customWidth="1"/>
    <col min="2326" max="2326" width="26.69921875" style="217" customWidth="1"/>
    <col min="2327" max="2330" width="13.59765625" style="217" customWidth="1"/>
    <col min="2331" max="2560" width="7.69921875" style="217"/>
    <col min="2561" max="2561" width="2.5" style="217" customWidth="1"/>
    <col min="2562" max="2562" width="7.09765625" style="217" customWidth="1"/>
    <col min="2563" max="2565" width="3.09765625" style="217" customWidth="1"/>
    <col min="2566" max="2566" width="4" style="217" customWidth="1"/>
    <col min="2567" max="2569" width="3.09765625" style="217" customWidth="1"/>
    <col min="2570" max="2570" width="3.59765625" style="217" customWidth="1"/>
    <col min="2571" max="2571" width="4.8984375" style="217" customWidth="1"/>
    <col min="2572" max="2579" width="4.69921875" style="217" customWidth="1"/>
    <col min="2580" max="2580" width="3.09765625" style="217" customWidth="1"/>
    <col min="2581" max="2581" width="13.59765625" style="217" customWidth="1"/>
    <col min="2582" max="2582" width="26.69921875" style="217" customWidth="1"/>
    <col min="2583" max="2586" width="13.59765625" style="217" customWidth="1"/>
    <col min="2587" max="2816" width="7.69921875" style="217"/>
    <col min="2817" max="2817" width="2.5" style="217" customWidth="1"/>
    <col min="2818" max="2818" width="7.09765625" style="217" customWidth="1"/>
    <col min="2819" max="2821" width="3.09765625" style="217" customWidth="1"/>
    <col min="2822" max="2822" width="4" style="217" customWidth="1"/>
    <col min="2823" max="2825" width="3.09765625" style="217" customWidth="1"/>
    <col min="2826" max="2826" width="3.59765625" style="217" customWidth="1"/>
    <col min="2827" max="2827" width="4.8984375" style="217" customWidth="1"/>
    <col min="2828" max="2835" width="4.69921875" style="217" customWidth="1"/>
    <col min="2836" max="2836" width="3.09765625" style="217" customWidth="1"/>
    <col min="2837" max="2837" width="13.59765625" style="217" customWidth="1"/>
    <col min="2838" max="2838" width="26.69921875" style="217" customWidth="1"/>
    <col min="2839" max="2842" width="13.59765625" style="217" customWidth="1"/>
    <col min="2843" max="3072" width="7.69921875" style="217"/>
    <col min="3073" max="3073" width="2.5" style="217" customWidth="1"/>
    <col min="3074" max="3074" width="7.09765625" style="217" customWidth="1"/>
    <col min="3075" max="3077" width="3.09765625" style="217" customWidth="1"/>
    <col min="3078" max="3078" width="4" style="217" customWidth="1"/>
    <col min="3079" max="3081" width="3.09765625" style="217" customWidth="1"/>
    <col min="3082" max="3082" width="3.59765625" style="217" customWidth="1"/>
    <col min="3083" max="3083" width="4.8984375" style="217" customWidth="1"/>
    <col min="3084" max="3091" width="4.69921875" style="217" customWidth="1"/>
    <col min="3092" max="3092" width="3.09765625" style="217" customWidth="1"/>
    <col min="3093" max="3093" width="13.59765625" style="217" customWidth="1"/>
    <col min="3094" max="3094" width="26.69921875" style="217" customWidth="1"/>
    <col min="3095" max="3098" width="13.59765625" style="217" customWidth="1"/>
    <col min="3099" max="3328" width="7.69921875" style="217"/>
    <col min="3329" max="3329" width="2.5" style="217" customWidth="1"/>
    <col min="3330" max="3330" width="7.09765625" style="217" customWidth="1"/>
    <col min="3331" max="3333" width="3.09765625" style="217" customWidth="1"/>
    <col min="3334" max="3334" width="4" style="217" customWidth="1"/>
    <col min="3335" max="3337" width="3.09765625" style="217" customWidth="1"/>
    <col min="3338" max="3338" width="3.59765625" style="217" customWidth="1"/>
    <col min="3339" max="3339" width="4.8984375" style="217" customWidth="1"/>
    <col min="3340" max="3347" width="4.69921875" style="217" customWidth="1"/>
    <col min="3348" max="3348" width="3.09765625" style="217" customWidth="1"/>
    <col min="3349" max="3349" width="13.59765625" style="217" customWidth="1"/>
    <col min="3350" max="3350" width="26.69921875" style="217" customWidth="1"/>
    <col min="3351" max="3354" width="13.59765625" style="217" customWidth="1"/>
    <col min="3355" max="3584" width="7.69921875" style="217"/>
    <col min="3585" max="3585" width="2.5" style="217" customWidth="1"/>
    <col min="3586" max="3586" width="7.09765625" style="217" customWidth="1"/>
    <col min="3587" max="3589" width="3.09765625" style="217" customWidth="1"/>
    <col min="3590" max="3590" width="4" style="217" customWidth="1"/>
    <col min="3591" max="3593" width="3.09765625" style="217" customWidth="1"/>
    <col min="3594" max="3594" width="3.59765625" style="217" customWidth="1"/>
    <col min="3595" max="3595" width="4.8984375" style="217" customWidth="1"/>
    <col min="3596" max="3603" width="4.69921875" style="217" customWidth="1"/>
    <col min="3604" max="3604" width="3.09765625" style="217" customWidth="1"/>
    <col min="3605" max="3605" width="13.59765625" style="217" customWidth="1"/>
    <col min="3606" max="3606" width="26.69921875" style="217" customWidth="1"/>
    <col min="3607" max="3610" width="13.59765625" style="217" customWidth="1"/>
    <col min="3611" max="3840" width="7.69921875" style="217"/>
    <col min="3841" max="3841" width="2.5" style="217" customWidth="1"/>
    <col min="3842" max="3842" width="7.09765625" style="217" customWidth="1"/>
    <col min="3843" max="3845" width="3.09765625" style="217" customWidth="1"/>
    <col min="3846" max="3846" width="4" style="217" customWidth="1"/>
    <col min="3847" max="3849" width="3.09765625" style="217" customWidth="1"/>
    <col min="3850" max="3850" width="3.59765625" style="217" customWidth="1"/>
    <col min="3851" max="3851" width="4.8984375" style="217" customWidth="1"/>
    <col min="3852" max="3859" width="4.69921875" style="217" customWidth="1"/>
    <col min="3860" max="3860" width="3.09765625" style="217" customWidth="1"/>
    <col min="3861" max="3861" width="13.59765625" style="217" customWidth="1"/>
    <col min="3862" max="3862" width="26.69921875" style="217" customWidth="1"/>
    <col min="3863" max="3866" width="13.59765625" style="217" customWidth="1"/>
    <col min="3867" max="4096" width="7.69921875" style="217"/>
    <col min="4097" max="4097" width="2.5" style="217" customWidth="1"/>
    <col min="4098" max="4098" width="7.09765625" style="217" customWidth="1"/>
    <col min="4099" max="4101" width="3.09765625" style="217" customWidth="1"/>
    <col min="4102" max="4102" width="4" style="217" customWidth="1"/>
    <col min="4103" max="4105" width="3.09765625" style="217" customWidth="1"/>
    <col min="4106" max="4106" width="3.59765625" style="217" customWidth="1"/>
    <col min="4107" max="4107" width="4.8984375" style="217" customWidth="1"/>
    <col min="4108" max="4115" width="4.69921875" style="217" customWidth="1"/>
    <col min="4116" max="4116" width="3.09765625" style="217" customWidth="1"/>
    <col min="4117" max="4117" width="13.59765625" style="217" customWidth="1"/>
    <col min="4118" max="4118" width="26.69921875" style="217" customWidth="1"/>
    <col min="4119" max="4122" width="13.59765625" style="217" customWidth="1"/>
    <col min="4123" max="4352" width="7.69921875" style="217"/>
    <col min="4353" max="4353" width="2.5" style="217" customWidth="1"/>
    <col min="4354" max="4354" width="7.09765625" style="217" customWidth="1"/>
    <col min="4355" max="4357" width="3.09765625" style="217" customWidth="1"/>
    <col min="4358" max="4358" width="4" style="217" customWidth="1"/>
    <col min="4359" max="4361" width="3.09765625" style="217" customWidth="1"/>
    <col min="4362" max="4362" width="3.59765625" style="217" customWidth="1"/>
    <col min="4363" max="4363" width="4.8984375" style="217" customWidth="1"/>
    <col min="4364" max="4371" width="4.69921875" style="217" customWidth="1"/>
    <col min="4372" max="4372" width="3.09765625" style="217" customWidth="1"/>
    <col min="4373" max="4373" width="13.59765625" style="217" customWidth="1"/>
    <col min="4374" max="4374" width="26.69921875" style="217" customWidth="1"/>
    <col min="4375" max="4378" width="13.59765625" style="217" customWidth="1"/>
    <col min="4379" max="4608" width="7.69921875" style="217"/>
    <col min="4609" max="4609" width="2.5" style="217" customWidth="1"/>
    <col min="4610" max="4610" width="7.09765625" style="217" customWidth="1"/>
    <col min="4611" max="4613" width="3.09765625" style="217" customWidth="1"/>
    <col min="4614" max="4614" width="4" style="217" customWidth="1"/>
    <col min="4615" max="4617" width="3.09765625" style="217" customWidth="1"/>
    <col min="4618" max="4618" width="3.59765625" style="217" customWidth="1"/>
    <col min="4619" max="4619" width="4.8984375" style="217" customWidth="1"/>
    <col min="4620" max="4627" width="4.69921875" style="217" customWidth="1"/>
    <col min="4628" max="4628" width="3.09765625" style="217" customWidth="1"/>
    <col min="4629" max="4629" width="13.59765625" style="217" customWidth="1"/>
    <col min="4630" max="4630" width="26.69921875" style="217" customWidth="1"/>
    <col min="4631" max="4634" width="13.59765625" style="217" customWidth="1"/>
    <col min="4635" max="4864" width="7.69921875" style="217"/>
    <col min="4865" max="4865" width="2.5" style="217" customWidth="1"/>
    <col min="4866" max="4866" width="7.09765625" style="217" customWidth="1"/>
    <col min="4867" max="4869" width="3.09765625" style="217" customWidth="1"/>
    <col min="4870" max="4870" width="4" style="217" customWidth="1"/>
    <col min="4871" max="4873" width="3.09765625" style="217" customWidth="1"/>
    <col min="4874" max="4874" width="3.59765625" style="217" customWidth="1"/>
    <col min="4875" max="4875" width="4.8984375" style="217" customWidth="1"/>
    <col min="4876" max="4883" width="4.69921875" style="217" customWidth="1"/>
    <col min="4884" max="4884" width="3.09765625" style="217" customWidth="1"/>
    <col min="4885" max="4885" width="13.59765625" style="217" customWidth="1"/>
    <col min="4886" max="4886" width="26.69921875" style="217" customWidth="1"/>
    <col min="4887" max="4890" width="13.59765625" style="217" customWidth="1"/>
    <col min="4891" max="5120" width="7.69921875" style="217"/>
    <col min="5121" max="5121" width="2.5" style="217" customWidth="1"/>
    <col min="5122" max="5122" width="7.09765625" style="217" customWidth="1"/>
    <col min="5123" max="5125" width="3.09765625" style="217" customWidth="1"/>
    <col min="5126" max="5126" width="4" style="217" customWidth="1"/>
    <col min="5127" max="5129" width="3.09765625" style="217" customWidth="1"/>
    <col min="5130" max="5130" width="3.59765625" style="217" customWidth="1"/>
    <col min="5131" max="5131" width="4.8984375" style="217" customWidth="1"/>
    <col min="5132" max="5139" width="4.69921875" style="217" customWidth="1"/>
    <col min="5140" max="5140" width="3.09765625" style="217" customWidth="1"/>
    <col min="5141" max="5141" width="13.59765625" style="217" customWidth="1"/>
    <col min="5142" max="5142" width="26.69921875" style="217" customWidth="1"/>
    <col min="5143" max="5146" width="13.59765625" style="217" customWidth="1"/>
    <col min="5147" max="5376" width="7.69921875" style="217"/>
    <col min="5377" max="5377" width="2.5" style="217" customWidth="1"/>
    <col min="5378" max="5378" width="7.09765625" style="217" customWidth="1"/>
    <col min="5379" max="5381" width="3.09765625" style="217" customWidth="1"/>
    <col min="5382" max="5382" width="4" style="217" customWidth="1"/>
    <col min="5383" max="5385" width="3.09765625" style="217" customWidth="1"/>
    <col min="5386" max="5386" width="3.59765625" style="217" customWidth="1"/>
    <col min="5387" max="5387" width="4.8984375" style="217" customWidth="1"/>
    <col min="5388" max="5395" width="4.69921875" style="217" customWidth="1"/>
    <col min="5396" max="5396" width="3.09765625" style="217" customWidth="1"/>
    <col min="5397" max="5397" width="13.59765625" style="217" customWidth="1"/>
    <col min="5398" max="5398" width="26.69921875" style="217" customWidth="1"/>
    <col min="5399" max="5402" width="13.59765625" style="217" customWidth="1"/>
    <col min="5403" max="5632" width="7.69921875" style="217"/>
    <col min="5633" max="5633" width="2.5" style="217" customWidth="1"/>
    <col min="5634" max="5634" width="7.09765625" style="217" customWidth="1"/>
    <col min="5635" max="5637" width="3.09765625" style="217" customWidth="1"/>
    <col min="5638" max="5638" width="4" style="217" customWidth="1"/>
    <col min="5639" max="5641" width="3.09765625" style="217" customWidth="1"/>
    <col min="5642" max="5642" width="3.59765625" style="217" customWidth="1"/>
    <col min="5643" max="5643" width="4.8984375" style="217" customWidth="1"/>
    <col min="5644" max="5651" width="4.69921875" style="217" customWidth="1"/>
    <col min="5652" max="5652" width="3.09765625" style="217" customWidth="1"/>
    <col min="5653" max="5653" width="13.59765625" style="217" customWidth="1"/>
    <col min="5654" max="5654" width="26.69921875" style="217" customWidth="1"/>
    <col min="5655" max="5658" width="13.59765625" style="217" customWidth="1"/>
    <col min="5659" max="5888" width="7.69921875" style="217"/>
    <col min="5889" max="5889" width="2.5" style="217" customWidth="1"/>
    <col min="5890" max="5890" width="7.09765625" style="217" customWidth="1"/>
    <col min="5891" max="5893" width="3.09765625" style="217" customWidth="1"/>
    <col min="5894" max="5894" width="4" style="217" customWidth="1"/>
    <col min="5895" max="5897" width="3.09765625" style="217" customWidth="1"/>
    <col min="5898" max="5898" width="3.59765625" style="217" customWidth="1"/>
    <col min="5899" max="5899" width="4.8984375" style="217" customWidth="1"/>
    <col min="5900" max="5907" width="4.69921875" style="217" customWidth="1"/>
    <col min="5908" max="5908" width="3.09765625" style="217" customWidth="1"/>
    <col min="5909" max="5909" width="13.59765625" style="217" customWidth="1"/>
    <col min="5910" max="5910" width="26.69921875" style="217" customWidth="1"/>
    <col min="5911" max="5914" width="13.59765625" style="217" customWidth="1"/>
    <col min="5915" max="6144" width="7.69921875" style="217"/>
    <col min="6145" max="6145" width="2.5" style="217" customWidth="1"/>
    <col min="6146" max="6146" width="7.09765625" style="217" customWidth="1"/>
    <col min="6147" max="6149" width="3.09765625" style="217" customWidth="1"/>
    <col min="6150" max="6150" width="4" style="217" customWidth="1"/>
    <col min="6151" max="6153" width="3.09765625" style="217" customWidth="1"/>
    <col min="6154" max="6154" width="3.59765625" style="217" customWidth="1"/>
    <col min="6155" max="6155" width="4.8984375" style="217" customWidth="1"/>
    <col min="6156" max="6163" width="4.69921875" style="217" customWidth="1"/>
    <col min="6164" max="6164" width="3.09765625" style="217" customWidth="1"/>
    <col min="6165" max="6165" width="13.59765625" style="217" customWidth="1"/>
    <col min="6166" max="6166" width="26.69921875" style="217" customWidth="1"/>
    <col min="6167" max="6170" width="13.59765625" style="217" customWidth="1"/>
    <col min="6171" max="6400" width="7.69921875" style="217"/>
    <col min="6401" max="6401" width="2.5" style="217" customWidth="1"/>
    <col min="6402" max="6402" width="7.09765625" style="217" customWidth="1"/>
    <col min="6403" max="6405" width="3.09765625" style="217" customWidth="1"/>
    <col min="6406" max="6406" width="4" style="217" customWidth="1"/>
    <col min="6407" max="6409" width="3.09765625" style="217" customWidth="1"/>
    <col min="6410" max="6410" width="3.59765625" style="217" customWidth="1"/>
    <col min="6411" max="6411" width="4.8984375" style="217" customWidth="1"/>
    <col min="6412" max="6419" width="4.69921875" style="217" customWidth="1"/>
    <col min="6420" max="6420" width="3.09765625" style="217" customWidth="1"/>
    <col min="6421" max="6421" width="13.59765625" style="217" customWidth="1"/>
    <col min="6422" max="6422" width="26.69921875" style="217" customWidth="1"/>
    <col min="6423" max="6426" width="13.59765625" style="217" customWidth="1"/>
    <col min="6427" max="6656" width="7.69921875" style="217"/>
    <col min="6657" max="6657" width="2.5" style="217" customWidth="1"/>
    <col min="6658" max="6658" width="7.09765625" style="217" customWidth="1"/>
    <col min="6659" max="6661" width="3.09765625" style="217" customWidth="1"/>
    <col min="6662" max="6662" width="4" style="217" customWidth="1"/>
    <col min="6663" max="6665" width="3.09765625" style="217" customWidth="1"/>
    <col min="6666" max="6666" width="3.59765625" style="217" customWidth="1"/>
    <col min="6667" max="6667" width="4.8984375" style="217" customWidth="1"/>
    <col min="6668" max="6675" width="4.69921875" style="217" customWidth="1"/>
    <col min="6676" max="6676" width="3.09765625" style="217" customWidth="1"/>
    <col min="6677" max="6677" width="13.59765625" style="217" customWidth="1"/>
    <col min="6678" max="6678" width="26.69921875" style="217" customWidth="1"/>
    <col min="6679" max="6682" width="13.59765625" style="217" customWidth="1"/>
    <col min="6683" max="6912" width="7.69921875" style="217"/>
    <col min="6913" max="6913" width="2.5" style="217" customWidth="1"/>
    <col min="6914" max="6914" width="7.09765625" style="217" customWidth="1"/>
    <col min="6915" max="6917" width="3.09765625" style="217" customWidth="1"/>
    <col min="6918" max="6918" width="4" style="217" customWidth="1"/>
    <col min="6919" max="6921" width="3.09765625" style="217" customWidth="1"/>
    <col min="6922" max="6922" width="3.59765625" style="217" customWidth="1"/>
    <col min="6923" max="6923" width="4.8984375" style="217" customWidth="1"/>
    <col min="6924" max="6931" width="4.69921875" style="217" customWidth="1"/>
    <col min="6932" max="6932" width="3.09765625" style="217" customWidth="1"/>
    <col min="6933" max="6933" width="13.59765625" style="217" customWidth="1"/>
    <col min="6934" max="6934" width="26.69921875" style="217" customWidth="1"/>
    <col min="6935" max="6938" width="13.59765625" style="217" customWidth="1"/>
    <col min="6939" max="7168" width="7.69921875" style="217"/>
    <col min="7169" max="7169" width="2.5" style="217" customWidth="1"/>
    <col min="7170" max="7170" width="7.09765625" style="217" customWidth="1"/>
    <col min="7171" max="7173" width="3.09765625" style="217" customWidth="1"/>
    <col min="7174" max="7174" width="4" style="217" customWidth="1"/>
    <col min="7175" max="7177" width="3.09765625" style="217" customWidth="1"/>
    <col min="7178" max="7178" width="3.59765625" style="217" customWidth="1"/>
    <col min="7179" max="7179" width="4.8984375" style="217" customWidth="1"/>
    <col min="7180" max="7187" width="4.69921875" style="217" customWidth="1"/>
    <col min="7188" max="7188" width="3.09765625" style="217" customWidth="1"/>
    <col min="7189" max="7189" width="13.59765625" style="217" customWidth="1"/>
    <col min="7190" max="7190" width="26.69921875" style="217" customWidth="1"/>
    <col min="7191" max="7194" width="13.59765625" style="217" customWidth="1"/>
    <col min="7195" max="7424" width="7.69921875" style="217"/>
    <col min="7425" max="7425" width="2.5" style="217" customWidth="1"/>
    <col min="7426" max="7426" width="7.09765625" style="217" customWidth="1"/>
    <col min="7427" max="7429" width="3.09765625" style="217" customWidth="1"/>
    <col min="7430" max="7430" width="4" style="217" customWidth="1"/>
    <col min="7431" max="7433" width="3.09765625" style="217" customWidth="1"/>
    <col min="7434" max="7434" width="3.59765625" style="217" customWidth="1"/>
    <col min="7435" max="7435" width="4.8984375" style="217" customWidth="1"/>
    <col min="7436" max="7443" width="4.69921875" style="217" customWidth="1"/>
    <col min="7444" max="7444" width="3.09765625" style="217" customWidth="1"/>
    <col min="7445" max="7445" width="13.59765625" style="217" customWidth="1"/>
    <col min="7446" max="7446" width="26.69921875" style="217" customWidth="1"/>
    <col min="7447" max="7450" width="13.59765625" style="217" customWidth="1"/>
    <col min="7451" max="7680" width="7.69921875" style="217"/>
    <col min="7681" max="7681" width="2.5" style="217" customWidth="1"/>
    <col min="7682" max="7682" width="7.09765625" style="217" customWidth="1"/>
    <col min="7683" max="7685" width="3.09765625" style="217" customWidth="1"/>
    <col min="7686" max="7686" width="4" style="217" customWidth="1"/>
    <col min="7687" max="7689" width="3.09765625" style="217" customWidth="1"/>
    <col min="7690" max="7690" width="3.59765625" style="217" customWidth="1"/>
    <col min="7691" max="7691" width="4.8984375" style="217" customWidth="1"/>
    <col min="7692" max="7699" width="4.69921875" style="217" customWidth="1"/>
    <col min="7700" max="7700" width="3.09765625" style="217" customWidth="1"/>
    <col min="7701" max="7701" width="13.59765625" style="217" customWidth="1"/>
    <col min="7702" max="7702" width="26.69921875" style="217" customWidth="1"/>
    <col min="7703" max="7706" width="13.59765625" style="217" customWidth="1"/>
    <col min="7707" max="7936" width="7.69921875" style="217"/>
    <col min="7937" max="7937" width="2.5" style="217" customWidth="1"/>
    <col min="7938" max="7938" width="7.09765625" style="217" customWidth="1"/>
    <col min="7939" max="7941" width="3.09765625" style="217" customWidth="1"/>
    <col min="7942" max="7942" width="4" style="217" customWidth="1"/>
    <col min="7943" max="7945" width="3.09765625" style="217" customWidth="1"/>
    <col min="7946" max="7946" width="3.59765625" style="217" customWidth="1"/>
    <col min="7947" max="7947" width="4.8984375" style="217" customWidth="1"/>
    <col min="7948" max="7955" width="4.69921875" style="217" customWidth="1"/>
    <col min="7956" max="7956" width="3.09765625" style="217" customWidth="1"/>
    <col min="7957" max="7957" width="13.59765625" style="217" customWidth="1"/>
    <col min="7958" max="7958" width="26.69921875" style="217" customWidth="1"/>
    <col min="7959" max="7962" width="13.59765625" style="217" customWidth="1"/>
    <col min="7963" max="8192" width="7.69921875" style="217"/>
    <col min="8193" max="8193" width="2.5" style="217" customWidth="1"/>
    <col min="8194" max="8194" width="7.09765625" style="217" customWidth="1"/>
    <col min="8195" max="8197" width="3.09765625" style="217" customWidth="1"/>
    <col min="8198" max="8198" width="4" style="217" customWidth="1"/>
    <col min="8199" max="8201" width="3.09765625" style="217" customWidth="1"/>
    <col min="8202" max="8202" width="3.59765625" style="217" customWidth="1"/>
    <col min="8203" max="8203" width="4.8984375" style="217" customWidth="1"/>
    <col min="8204" max="8211" width="4.69921875" style="217" customWidth="1"/>
    <col min="8212" max="8212" width="3.09765625" style="217" customWidth="1"/>
    <col min="8213" max="8213" width="13.59765625" style="217" customWidth="1"/>
    <col min="8214" max="8214" width="26.69921875" style="217" customWidth="1"/>
    <col min="8215" max="8218" width="13.59765625" style="217" customWidth="1"/>
    <col min="8219" max="8448" width="7.69921875" style="217"/>
    <col min="8449" max="8449" width="2.5" style="217" customWidth="1"/>
    <col min="8450" max="8450" width="7.09765625" style="217" customWidth="1"/>
    <col min="8451" max="8453" width="3.09765625" style="217" customWidth="1"/>
    <col min="8454" max="8454" width="4" style="217" customWidth="1"/>
    <col min="8455" max="8457" width="3.09765625" style="217" customWidth="1"/>
    <col min="8458" max="8458" width="3.59765625" style="217" customWidth="1"/>
    <col min="8459" max="8459" width="4.8984375" style="217" customWidth="1"/>
    <col min="8460" max="8467" width="4.69921875" style="217" customWidth="1"/>
    <col min="8468" max="8468" width="3.09765625" style="217" customWidth="1"/>
    <col min="8469" max="8469" width="13.59765625" style="217" customWidth="1"/>
    <col min="8470" max="8470" width="26.69921875" style="217" customWidth="1"/>
    <col min="8471" max="8474" width="13.59765625" style="217" customWidth="1"/>
    <col min="8475" max="8704" width="7.69921875" style="217"/>
    <col min="8705" max="8705" width="2.5" style="217" customWidth="1"/>
    <col min="8706" max="8706" width="7.09765625" style="217" customWidth="1"/>
    <col min="8707" max="8709" width="3.09765625" style="217" customWidth="1"/>
    <col min="8710" max="8710" width="4" style="217" customWidth="1"/>
    <col min="8711" max="8713" width="3.09765625" style="217" customWidth="1"/>
    <col min="8714" max="8714" width="3.59765625" style="217" customWidth="1"/>
    <col min="8715" max="8715" width="4.8984375" style="217" customWidth="1"/>
    <col min="8716" max="8723" width="4.69921875" style="217" customWidth="1"/>
    <col min="8724" max="8724" width="3.09765625" style="217" customWidth="1"/>
    <col min="8725" max="8725" width="13.59765625" style="217" customWidth="1"/>
    <col min="8726" max="8726" width="26.69921875" style="217" customWidth="1"/>
    <col min="8727" max="8730" width="13.59765625" style="217" customWidth="1"/>
    <col min="8731" max="8960" width="7.69921875" style="217"/>
    <col min="8961" max="8961" width="2.5" style="217" customWidth="1"/>
    <col min="8962" max="8962" width="7.09765625" style="217" customWidth="1"/>
    <col min="8963" max="8965" width="3.09765625" style="217" customWidth="1"/>
    <col min="8966" max="8966" width="4" style="217" customWidth="1"/>
    <col min="8967" max="8969" width="3.09765625" style="217" customWidth="1"/>
    <col min="8970" max="8970" width="3.59765625" style="217" customWidth="1"/>
    <col min="8971" max="8971" width="4.8984375" style="217" customWidth="1"/>
    <col min="8972" max="8979" width="4.69921875" style="217" customWidth="1"/>
    <col min="8980" max="8980" width="3.09765625" style="217" customWidth="1"/>
    <col min="8981" max="8981" width="13.59765625" style="217" customWidth="1"/>
    <col min="8982" max="8982" width="26.69921875" style="217" customWidth="1"/>
    <col min="8983" max="8986" width="13.59765625" style="217" customWidth="1"/>
    <col min="8987" max="9216" width="7.69921875" style="217"/>
    <col min="9217" max="9217" width="2.5" style="217" customWidth="1"/>
    <col min="9218" max="9218" width="7.09765625" style="217" customWidth="1"/>
    <col min="9219" max="9221" width="3.09765625" style="217" customWidth="1"/>
    <col min="9222" max="9222" width="4" style="217" customWidth="1"/>
    <col min="9223" max="9225" width="3.09765625" style="217" customWidth="1"/>
    <col min="9226" max="9226" width="3.59765625" style="217" customWidth="1"/>
    <col min="9227" max="9227" width="4.8984375" style="217" customWidth="1"/>
    <col min="9228" max="9235" width="4.69921875" style="217" customWidth="1"/>
    <col min="9236" max="9236" width="3.09765625" style="217" customWidth="1"/>
    <col min="9237" max="9237" width="13.59765625" style="217" customWidth="1"/>
    <col min="9238" max="9238" width="26.69921875" style="217" customWidth="1"/>
    <col min="9239" max="9242" width="13.59765625" style="217" customWidth="1"/>
    <col min="9243" max="9472" width="7.69921875" style="217"/>
    <col min="9473" max="9473" width="2.5" style="217" customWidth="1"/>
    <col min="9474" max="9474" width="7.09765625" style="217" customWidth="1"/>
    <col min="9475" max="9477" width="3.09765625" style="217" customWidth="1"/>
    <col min="9478" max="9478" width="4" style="217" customWidth="1"/>
    <col min="9479" max="9481" width="3.09765625" style="217" customWidth="1"/>
    <col min="9482" max="9482" width="3.59765625" style="217" customWidth="1"/>
    <col min="9483" max="9483" width="4.8984375" style="217" customWidth="1"/>
    <col min="9484" max="9491" width="4.69921875" style="217" customWidth="1"/>
    <col min="9492" max="9492" width="3.09765625" style="217" customWidth="1"/>
    <col min="9493" max="9493" width="13.59765625" style="217" customWidth="1"/>
    <col min="9494" max="9494" width="26.69921875" style="217" customWidth="1"/>
    <col min="9495" max="9498" width="13.59765625" style="217" customWidth="1"/>
    <col min="9499" max="9728" width="7.69921875" style="217"/>
    <col min="9729" max="9729" width="2.5" style="217" customWidth="1"/>
    <col min="9730" max="9730" width="7.09765625" style="217" customWidth="1"/>
    <col min="9731" max="9733" width="3.09765625" style="217" customWidth="1"/>
    <col min="9734" max="9734" width="4" style="217" customWidth="1"/>
    <col min="9735" max="9737" width="3.09765625" style="217" customWidth="1"/>
    <col min="9738" max="9738" width="3.59765625" style="217" customWidth="1"/>
    <col min="9739" max="9739" width="4.8984375" style="217" customWidth="1"/>
    <col min="9740" max="9747" width="4.69921875" style="217" customWidth="1"/>
    <col min="9748" max="9748" width="3.09765625" style="217" customWidth="1"/>
    <col min="9749" max="9749" width="13.59765625" style="217" customWidth="1"/>
    <col min="9750" max="9750" width="26.69921875" style="217" customWidth="1"/>
    <col min="9751" max="9754" width="13.59765625" style="217" customWidth="1"/>
    <col min="9755" max="9984" width="7.69921875" style="217"/>
    <col min="9985" max="9985" width="2.5" style="217" customWidth="1"/>
    <col min="9986" max="9986" width="7.09765625" style="217" customWidth="1"/>
    <col min="9987" max="9989" width="3.09765625" style="217" customWidth="1"/>
    <col min="9990" max="9990" width="4" style="217" customWidth="1"/>
    <col min="9991" max="9993" width="3.09765625" style="217" customWidth="1"/>
    <col min="9994" max="9994" width="3.59765625" style="217" customWidth="1"/>
    <col min="9995" max="9995" width="4.8984375" style="217" customWidth="1"/>
    <col min="9996" max="10003" width="4.69921875" style="217" customWidth="1"/>
    <col min="10004" max="10004" width="3.09765625" style="217" customWidth="1"/>
    <col min="10005" max="10005" width="13.59765625" style="217" customWidth="1"/>
    <col min="10006" max="10006" width="26.69921875" style="217" customWidth="1"/>
    <col min="10007" max="10010" width="13.59765625" style="217" customWidth="1"/>
    <col min="10011" max="10240" width="7.69921875" style="217"/>
    <col min="10241" max="10241" width="2.5" style="217" customWidth="1"/>
    <col min="10242" max="10242" width="7.09765625" style="217" customWidth="1"/>
    <col min="10243" max="10245" width="3.09765625" style="217" customWidth="1"/>
    <col min="10246" max="10246" width="4" style="217" customWidth="1"/>
    <col min="10247" max="10249" width="3.09765625" style="217" customWidth="1"/>
    <col min="10250" max="10250" width="3.59765625" style="217" customWidth="1"/>
    <col min="10251" max="10251" width="4.8984375" style="217" customWidth="1"/>
    <col min="10252" max="10259" width="4.69921875" style="217" customWidth="1"/>
    <col min="10260" max="10260" width="3.09765625" style="217" customWidth="1"/>
    <col min="10261" max="10261" width="13.59765625" style="217" customWidth="1"/>
    <col min="10262" max="10262" width="26.69921875" style="217" customWidth="1"/>
    <col min="10263" max="10266" width="13.59765625" style="217" customWidth="1"/>
    <col min="10267" max="10496" width="7.69921875" style="217"/>
    <col min="10497" max="10497" width="2.5" style="217" customWidth="1"/>
    <col min="10498" max="10498" width="7.09765625" style="217" customWidth="1"/>
    <col min="10499" max="10501" width="3.09765625" style="217" customWidth="1"/>
    <col min="10502" max="10502" width="4" style="217" customWidth="1"/>
    <col min="10503" max="10505" width="3.09765625" style="217" customWidth="1"/>
    <col min="10506" max="10506" width="3.59765625" style="217" customWidth="1"/>
    <col min="10507" max="10507" width="4.8984375" style="217" customWidth="1"/>
    <col min="10508" max="10515" width="4.69921875" style="217" customWidth="1"/>
    <col min="10516" max="10516" width="3.09765625" style="217" customWidth="1"/>
    <col min="10517" max="10517" width="13.59765625" style="217" customWidth="1"/>
    <col min="10518" max="10518" width="26.69921875" style="217" customWidth="1"/>
    <col min="10519" max="10522" width="13.59765625" style="217" customWidth="1"/>
    <col min="10523" max="10752" width="7.69921875" style="217"/>
    <col min="10753" max="10753" width="2.5" style="217" customWidth="1"/>
    <col min="10754" max="10754" width="7.09765625" style="217" customWidth="1"/>
    <col min="10755" max="10757" width="3.09765625" style="217" customWidth="1"/>
    <col min="10758" max="10758" width="4" style="217" customWidth="1"/>
    <col min="10759" max="10761" width="3.09765625" style="217" customWidth="1"/>
    <col min="10762" max="10762" width="3.59765625" style="217" customWidth="1"/>
    <col min="10763" max="10763" width="4.8984375" style="217" customWidth="1"/>
    <col min="10764" max="10771" width="4.69921875" style="217" customWidth="1"/>
    <col min="10772" max="10772" width="3.09765625" style="217" customWidth="1"/>
    <col min="10773" max="10773" width="13.59765625" style="217" customWidth="1"/>
    <col min="10774" max="10774" width="26.69921875" style="217" customWidth="1"/>
    <col min="10775" max="10778" width="13.59765625" style="217" customWidth="1"/>
    <col min="10779" max="11008" width="7.69921875" style="217"/>
    <col min="11009" max="11009" width="2.5" style="217" customWidth="1"/>
    <col min="11010" max="11010" width="7.09765625" style="217" customWidth="1"/>
    <col min="11011" max="11013" width="3.09765625" style="217" customWidth="1"/>
    <col min="11014" max="11014" width="4" style="217" customWidth="1"/>
    <col min="11015" max="11017" width="3.09765625" style="217" customWidth="1"/>
    <col min="11018" max="11018" width="3.59765625" style="217" customWidth="1"/>
    <col min="11019" max="11019" width="4.8984375" style="217" customWidth="1"/>
    <col min="11020" max="11027" width="4.69921875" style="217" customWidth="1"/>
    <col min="11028" max="11028" width="3.09765625" style="217" customWidth="1"/>
    <col min="11029" max="11029" width="13.59765625" style="217" customWidth="1"/>
    <col min="11030" max="11030" width="26.69921875" style="217" customWidth="1"/>
    <col min="11031" max="11034" width="13.59765625" style="217" customWidth="1"/>
    <col min="11035" max="11264" width="7.69921875" style="217"/>
    <col min="11265" max="11265" width="2.5" style="217" customWidth="1"/>
    <col min="11266" max="11266" width="7.09765625" style="217" customWidth="1"/>
    <col min="11267" max="11269" width="3.09765625" style="217" customWidth="1"/>
    <col min="11270" max="11270" width="4" style="217" customWidth="1"/>
    <col min="11271" max="11273" width="3.09765625" style="217" customWidth="1"/>
    <col min="11274" max="11274" width="3.59765625" style="217" customWidth="1"/>
    <col min="11275" max="11275" width="4.8984375" style="217" customWidth="1"/>
    <col min="11276" max="11283" width="4.69921875" style="217" customWidth="1"/>
    <col min="11284" max="11284" width="3.09765625" style="217" customWidth="1"/>
    <col min="11285" max="11285" width="13.59765625" style="217" customWidth="1"/>
    <col min="11286" max="11286" width="26.69921875" style="217" customWidth="1"/>
    <col min="11287" max="11290" width="13.59765625" style="217" customWidth="1"/>
    <col min="11291" max="11520" width="7.69921875" style="217"/>
    <col min="11521" max="11521" width="2.5" style="217" customWidth="1"/>
    <col min="11522" max="11522" width="7.09765625" style="217" customWidth="1"/>
    <col min="11523" max="11525" width="3.09765625" style="217" customWidth="1"/>
    <col min="11526" max="11526" width="4" style="217" customWidth="1"/>
    <col min="11527" max="11529" width="3.09765625" style="217" customWidth="1"/>
    <col min="11530" max="11530" width="3.59765625" style="217" customWidth="1"/>
    <col min="11531" max="11531" width="4.8984375" style="217" customWidth="1"/>
    <col min="11532" max="11539" width="4.69921875" style="217" customWidth="1"/>
    <col min="11540" max="11540" width="3.09765625" style="217" customWidth="1"/>
    <col min="11541" max="11541" width="13.59765625" style="217" customWidth="1"/>
    <col min="11542" max="11542" width="26.69921875" style="217" customWidth="1"/>
    <col min="11543" max="11546" width="13.59765625" style="217" customWidth="1"/>
    <col min="11547" max="11776" width="7.69921875" style="217"/>
    <col min="11777" max="11777" width="2.5" style="217" customWidth="1"/>
    <col min="11778" max="11778" width="7.09765625" style="217" customWidth="1"/>
    <col min="11779" max="11781" width="3.09765625" style="217" customWidth="1"/>
    <col min="11782" max="11782" width="4" style="217" customWidth="1"/>
    <col min="11783" max="11785" width="3.09765625" style="217" customWidth="1"/>
    <col min="11786" max="11786" width="3.59765625" style="217" customWidth="1"/>
    <col min="11787" max="11787" width="4.8984375" style="217" customWidth="1"/>
    <col min="11788" max="11795" width="4.69921875" style="217" customWidth="1"/>
    <col min="11796" max="11796" width="3.09765625" style="217" customWidth="1"/>
    <col min="11797" max="11797" width="13.59765625" style="217" customWidth="1"/>
    <col min="11798" max="11798" width="26.69921875" style="217" customWidth="1"/>
    <col min="11799" max="11802" width="13.59765625" style="217" customWidth="1"/>
    <col min="11803" max="12032" width="7.69921875" style="217"/>
    <col min="12033" max="12033" width="2.5" style="217" customWidth="1"/>
    <col min="12034" max="12034" width="7.09765625" style="217" customWidth="1"/>
    <col min="12035" max="12037" width="3.09765625" style="217" customWidth="1"/>
    <col min="12038" max="12038" width="4" style="217" customWidth="1"/>
    <col min="12039" max="12041" width="3.09765625" style="217" customWidth="1"/>
    <col min="12042" max="12042" width="3.59765625" style="217" customWidth="1"/>
    <col min="12043" max="12043" width="4.8984375" style="217" customWidth="1"/>
    <col min="12044" max="12051" width="4.69921875" style="217" customWidth="1"/>
    <col min="12052" max="12052" width="3.09765625" style="217" customWidth="1"/>
    <col min="12053" max="12053" width="13.59765625" style="217" customWidth="1"/>
    <col min="12054" max="12054" width="26.69921875" style="217" customWidth="1"/>
    <col min="12055" max="12058" width="13.59765625" style="217" customWidth="1"/>
    <col min="12059" max="12288" width="7.69921875" style="217"/>
    <col min="12289" max="12289" width="2.5" style="217" customWidth="1"/>
    <col min="12290" max="12290" width="7.09765625" style="217" customWidth="1"/>
    <col min="12291" max="12293" width="3.09765625" style="217" customWidth="1"/>
    <col min="12294" max="12294" width="4" style="217" customWidth="1"/>
    <col min="12295" max="12297" width="3.09765625" style="217" customWidth="1"/>
    <col min="12298" max="12298" width="3.59765625" style="217" customWidth="1"/>
    <col min="12299" max="12299" width="4.8984375" style="217" customWidth="1"/>
    <col min="12300" max="12307" width="4.69921875" style="217" customWidth="1"/>
    <col min="12308" max="12308" width="3.09765625" style="217" customWidth="1"/>
    <col min="12309" max="12309" width="13.59765625" style="217" customWidth="1"/>
    <col min="12310" max="12310" width="26.69921875" style="217" customWidth="1"/>
    <col min="12311" max="12314" width="13.59765625" style="217" customWidth="1"/>
    <col min="12315" max="12544" width="7.69921875" style="217"/>
    <col min="12545" max="12545" width="2.5" style="217" customWidth="1"/>
    <col min="12546" max="12546" width="7.09765625" style="217" customWidth="1"/>
    <col min="12547" max="12549" width="3.09765625" style="217" customWidth="1"/>
    <col min="12550" max="12550" width="4" style="217" customWidth="1"/>
    <col min="12551" max="12553" width="3.09765625" style="217" customWidth="1"/>
    <col min="12554" max="12554" width="3.59765625" style="217" customWidth="1"/>
    <col min="12555" max="12555" width="4.8984375" style="217" customWidth="1"/>
    <col min="12556" max="12563" width="4.69921875" style="217" customWidth="1"/>
    <col min="12564" max="12564" width="3.09765625" style="217" customWidth="1"/>
    <col min="12565" max="12565" width="13.59765625" style="217" customWidth="1"/>
    <col min="12566" max="12566" width="26.69921875" style="217" customWidth="1"/>
    <col min="12567" max="12570" width="13.59765625" style="217" customWidth="1"/>
    <col min="12571" max="12800" width="7.69921875" style="217"/>
    <col min="12801" max="12801" width="2.5" style="217" customWidth="1"/>
    <col min="12802" max="12802" width="7.09765625" style="217" customWidth="1"/>
    <col min="12803" max="12805" width="3.09765625" style="217" customWidth="1"/>
    <col min="12806" max="12806" width="4" style="217" customWidth="1"/>
    <col min="12807" max="12809" width="3.09765625" style="217" customWidth="1"/>
    <col min="12810" max="12810" width="3.59765625" style="217" customWidth="1"/>
    <col min="12811" max="12811" width="4.8984375" style="217" customWidth="1"/>
    <col min="12812" max="12819" width="4.69921875" style="217" customWidth="1"/>
    <col min="12820" max="12820" width="3.09765625" style="217" customWidth="1"/>
    <col min="12821" max="12821" width="13.59765625" style="217" customWidth="1"/>
    <col min="12822" max="12822" width="26.69921875" style="217" customWidth="1"/>
    <col min="12823" max="12826" width="13.59765625" style="217" customWidth="1"/>
    <col min="12827" max="13056" width="7.69921875" style="217"/>
    <col min="13057" max="13057" width="2.5" style="217" customWidth="1"/>
    <col min="13058" max="13058" width="7.09765625" style="217" customWidth="1"/>
    <col min="13059" max="13061" width="3.09765625" style="217" customWidth="1"/>
    <col min="13062" max="13062" width="4" style="217" customWidth="1"/>
    <col min="13063" max="13065" width="3.09765625" style="217" customWidth="1"/>
    <col min="13066" max="13066" width="3.59765625" style="217" customWidth="1"/>
    <col min="13067" max="13067" width="4.8984375" style="217" customWidth="1"/>
    <col min="13068" max="13075" width="4.69921875" style="217" customWidth="1"/>
    <col min="13076" max="13076" width="3.09765625" style="217" customWidth="1"/>
    <col min="13077" max="13077" width="13.59765625" style="217" customWidth="1"/>
    <col min="13078" max="13078" width="26.69921875" style="217" customWidth="1"/>
    <col min="13079" max="13082" width="13.59765625" style="217" customWidth="1"/>
    <col min="13083" max="13312" width="7.69921875" style="217"/>
    <col min="13313" max="13313" width="2.5" style="217" customWidth="1"/>
    <col min="13314" max="13314" width="7.09765625" style="217" customWidth="1"/>
    <col min="13315" max="13317" width="3.09765625" style="217" customWidth="1"/>
    <col min="13318" max="13318" width="4" style="217" customWidth="1"/>
    <col min="13319" max="13321" width="3.09765625" style="217" customWidth="1"/>
    <col min="13322" max="13322" width="3.59765625" style="217" customWidth="1"/>
    <col min="13323" max="13323" width="4.8984375" style="217" customWidth="1"/>
    <col min="13324" max="13331" width="4.69921875" style="217" customWidth="1"/>
    <col min="13332" max="13332" width="3.09765625" style="217" customWidth="1"/>
    <col min="13333" max="13333" width="13.59765625" style="217" customWidth="1"/>
    <col min="13334" max="13334" width="26.69921875" style="217" customWidth="1"/>
    <col min="13335" max="13338" width="13.59765625" style="217" customWidth="1"/>
    <col min="13339" max="13568" width="7.69921875" style="217"/>
    <col min="13569" max="13569" width="2.5" style="217" customWidth="1"/>
    <col min="13570" max="13570" width="7.09765625" style="217" customWidth="1"/>
    <col min="13571" max="13573" width="3.09765625" style="217" customWidth="1"/>
    <col min="13574" max="13574" width="4" style="217" customWidth="1"/>
    <col min="13575" max="13577" width="3.09765625" style="217" customWidth="1"/>
    <col min="13578" max="13578" width="3.59765625" style="217" customWidth="1"/>
    <col min="13579" max="13579" width="4.8984375" style="217" customWidth="1"/>
    <col min="13580" max="13587" width="4.69921875" style="217" customWidth="1"/>
    <col min="13588" max="13588" width="3.09765625" style="217" customWidth="1"/>
    <col min="13589" max="13589" width="13.59765625" style="217" customWidth="1"/>
    <col min="13590" max="13590" width="26.69921875" style="217" customWidth="1"/>
    <col min="13591" max="13594" width="13.59765625" style="217" customWidth="1"/>
    <col min="13595" max="13824" width="7.69921875" style="217"/>
    <col min="13825" max="13825" width="2.5" style="217" customWidth="1"/>
    <col min="13826" max="13826" width="7.09765625" style="217" customWidth="1"/>
    <col min="13827" max="13829" width="3.09765625" style="217" customWidth="1"/>
    <col min="13830" max="13830" width="4" style="217" customWidth="1"/>
    <col min="13831" max="13833" width="3.09765625" style="217" customWidth="1"/>
    <col min="13834" max="13834" width="3.59765625" style="217" customWidth="1"/>
    <col min="13835" max="13835" width="4.8984375" style="217" customWidth="1"/>
    <col min="13836" max="13843" width="4.69921875" style="217" customWidth="1"/>
    <col min="13844" max="13844" width="3.09765625" style="217" customWidth="1"/>
    <col min="13845" max="13845" width="13.59765625" style="217" customWidth="1"/>
    <col min="13846" max="13846" width="26.69921875" style="217" customWidth="1"/>
    <col min="13847" max="13850" width="13.59765625" style="217" customWidth="1"/>
    <col min="13851" max="14080" width="7.69921875" style="217"/>
    <col min="14081" max="14081" width="2.5" style="217" customWidth="1"/>
    <col min="14082" max="14082" width="7.09765625" style="217" customWidth="1"/>
    <col min="14083" max="14085" width="3.09765625" style="217" customWidth="1"/>
    <col min="14086" max="14086" width="4" style="217" customWidth="1"/>
    <col min="14087" max="14089" width="3.09765625" style="217" customWidth="1"/>
    <col min="14090" max="14090" width="3.59765625" style="217" customWidth="1"/>
    <col min="14091" max="14091" width="4.8984375" style="217" customWidth="1"/>
    <col min="14092" max="14099" width="4.69921875" style="217" customWidth="1"/>
    <col min="14100" max="14100" width="3.09765625" style="217" customWidth="1"/>
    <col min="14101" max="14101" width="13.59765625" style="217" customWidth="1"/>
    <col min="14102" max="14102" width="26.69921875" style="217" customWidth="1"/>
    <col min="14103" max="14106" width="13.59765625" style="217" customWidth="1"/>
    <col min="14107" max="14336" width="7.69921875" style="217"/>
    <col min="14337" max="14337" width="2.5" style="217" customWidth="1"/>
    <col min="14338" max="14338" width="7.09765625" style="217" customWidth="1"/>
    <col min="14339" max="14341" width="3.09765625" style="217" customWidth="1"/>
    <col min="14342" max="14342" width="4" style="217" customWidth="1"/>
    <col min="14343" max="14345" width="3.09765625" style="217" customWidth="1"/>
    <col min="14346" max="14346" width="3.59765625" style="217" customWidth="1"/>
    <col min="14347" max="14347" width="4.8984375" style="217" customWidth="1"/>
    <col min="14348" max="14355" width="4.69921875" style="217" customWidth="1"/>
    <col min="14356" max="14356" width="3.09765625" style="217" customWidth="1"/>
    <col min="14357" max="14357" width="13.59765625" style="217" customWidth="1"/>
    <col min="14358" max="14358" width="26.69921875" style="217" customWidth="1"/>
    <col min="14359" max="14362" width="13.59765625" style="217" customWidth="1"/>
    <col min="14363" max="14592" width="7.69921875" style="217"/>
    <col min="14593" max="14593" width="2.5" style="217" customWidth="1"/>
    <col min="14594" max="14594" width="7.09765625" style="217" customWidth="1"/>
    <col min="14595" max="14597" width="3.09765625" style="217" customWidth="1"/>
    <col min="14598" max="14598" width="4" style="217" customWidth="1"/>
    <col min="14599" max="14601" width="3.09765625" style="217" customWidth="1"/>
    <col min="14602" max="14602" width="3.59765625" style="217" customWidth="1"/>
    <col min="14603" max="14603" width="4.8984375" style="217" customWidth="1"/>
    <col min="14604" max="14611" width="4.69921875" style="217" customWidth="1"/>
    <col min="14612" max="14612" width="3.09765625" style="217" customWidth="1"/>
    <col min="14613" max="14613" width="13.59765625" style="217" customWidth="1"/>
    <col min="14614" max="14614" width="26.69921875" style="217" customWidth="1"/>
    <col min="14615" max="14618" width="13.59765625" style="217" customWidth="1"/>
    <col min="14619" max="14848" width="7.69921875" style="217"/>
    <col min="14849" max="14849" width="2.5" style="217" customWidth="1"/>
    <col min="14850" max="14850" width="7.09765625" style="217" customWidth="1"/>
    <col min="14851" max="14853" width="3.09765625" style="217" customWidth="1"/>
    <col min="14854" max="14854" width="4" style="217" customWidth="1"/>
    <col min="14855" max="14857" width="3.09765625" style="217" customWidth="1"/>
    <col min="14858" max="14858" width="3.59765625" style="217" customWidth="1"/>
    <col min="14859" max="14859" width="4.8984375" style="217" customWidth="1"/>
    <col min="14860" max="14867" width="4.69921875" style="217" customWidth="1"/>
    <col min="14868" max="14868" width="3.09765625" style="217" customWidth="1"/>
    <col min="14869" max="14869" width="13.59765625" style="217" customWidth="1"/>
    <col min="14870" max="14870" width="26.69921875" style="217" customWidth="1"/>
    <col min="14871" max="14874" width="13.59765625" style="217" customWidth="1"/>
    <col min="14875" max="15104" width="7.69921875" style="217"/>
    <col min="15105" max="15105" width="2.5" style="217" customWidth="1"/>
    <col min="15106" max="15106" width="7.09765625" style="217" customWidth="1"/>
    <col min="15107" max="15109" width="3.09765625" style="217" customWidth="1"/>
    <col min="15110" max="15110" width="4" style="217" customWidth="1"/>
    <col min="15111" max="15113" width="3.09765625" style="217" customWidth="1"/>
    <col min="15114" max="15114" width="3.59765625" style="217" customWidth="1"/>
    <col min="15115" max="15115" width="4.8984375" style="217" customWidth="1"/>
    <col min="15116" max="15123" width="4.69921875" style="217" customWidth="1"/>
    <col min="15124" max="15124" width="3.09765625" style="217" customWidth="1"/>
    <col min="15125" max="15125" width="13.59765625" style="217" customWidth="1"/>
    <col min="15126" max="15126" width="26.69921875" style="217" customWidth="1"/>
    <col min="15127" max="15130" width="13.59765625" style="217" customWidth="1"/>
    <col min="15131" max="15360" width="7.69921875" style="217"/>
    <col min="15361" max="15361" width="2.5" style="217" customWidth="1"/>
    <col min="15362" max="15362" width="7.09765625" style="217" customWidth="1"/>
    <col min="15363" max="15365" width="3.09765625" style="217" customWidth="1"/>
    <col min="15366" max="15366" width="4" style="217" customWidth="1"/>
    <col min="15367" max="15369" width="3.09765625" style="217" customWidth="1"/>
    <col min="15370" max="15370" width="3.59765625" style="217" customWidth="1"/>
    <col min="15371" max="15371" width="4.8984375" style="217" customWidth="1"/>
    <col min="15372" max="15379" width="4.69921875" style="217" customWidth="1"/>
    <col min="15380" max="15380" width="3.09765625" style="217" customWidth="1"/>
    <col min="15381" max="15381" width="13.59765625" style="217" customWidth="1"/>
    <col min="15382" max="15382" width="26.69921875" style="217" customWidth="1"/>
    <col min="15383" max="15386" width="13.59765625" style="217" customWidth="1"/>
    <col min="15387" max="15616" width="7.69921875" style="217"/>
    <col min="15617" max="15617" width="2.5" style="217" customWidth="1"/>
    <col min="15618" max="15618" width="7.09765625" style="217" customWidth="1"/>
    <col min="15619" max="15621" width="3.09765625" style="217" customWidth="1"/>
    <col min="15622" max="15622" width="4" style="217" customWidth="1"/>
    <col min="15623" max="15625" width="3.09765625" style="217" customWidth="1"/>
    <col min="15626" max="15626" width="3.59765625" style="217" customWidth="1"/>
    <col min="15627" max="15627" width="4.8984375" style="217" customWidth="1"/>
    <col min="15628" max="15635" width="4.69921875" style="217" customWidth="1"/>
    <col min="15636" max="15636" width="3.09765625" style="217" customWidth="1"/>
    <col min="15637" max="15637" width="13.59765625" style="217" customWidth="1"/>
    <col min="15638" max="15638" width="26.69921875" style="217" customWidth="1"/>
    <col min="15639" max="15642" width="13.59765625" style="217" customWidth="1"/>
    <col min="15643" max="15872" width="7.69921875" style="217"/>
    <col min="15873" max="15873" width="2.5" style="217" customWidth="1"/>
    <col min="15874" max="15874" width="7.09765625" style="217" customWidth="1"/>
    <col min="15875" max="15877" width="3.09765625" style="217" customWidth="1"/>
    <col min="15878" max="15878" width="4" style="217" customWidth="1"/>
    <col min="15879" max="15881" width="3.09765625" style="217" customWidth="1"/>
    <col min="15882" max="15882" width="3.59765625" style="217" customWidth="1"/>
    <col min="15883" max="15883" width="4.8984375" style="217" customWidth="1"/>
    <col min="15884" max="15891" width="4.69921875" style="217" customWidth="1"/>
    <col min="15892" max="15892" width="3.09765625" style="217" customWidth="1"/>
    <col min="15893" max="15893" width="13.59765625" style="217" customWidth="1"/>
    <col min="15894" max="15894" width="26.69921875" style="217" customWidth="1"/>
    <col min="15895" max="15898" width="13.59765625" style="217" customWidth="1"/>
    <col min="15899" max="16128" width="7.69921875" style="217"/>
    <col min="16129" max="16129" width="2.5" style="217" customWidth="1"/>
    <col min="16130" max="16130" width="7.09765625" style="217" customWidth="1"/>
    <col min="16131" max="16133" width="3.09765625" style="217" customWidth="1"/>
    <col min="16134" max="16134" width="4" style="217" customWidth="1"/>
    <col min="16135" max="16137" width="3.09765625" style="217" customWidth="1"/>
    <col min="16138" max="16138" width="3.59765625" style="217" customWidth="1"/>
    <col min="16139" max="16139" width="4.8984375" style="217" customWidth="1"/>
    <col min="16140" max="16147" width="4.69921875" style="217" customWidth="1"/>
    <col min="16148" max="16148" width="3.09765625" style="217" customWidth="1"/>
    <col min="16149" max="16149" width="13.59765625" style="217" customWidth="1"/>
    <col min="16150" max="16150" width="26.69921875" style="217" customWidth="1"/>
    <col min="16151" max="16154" width="13.59765625" style="217" customWidth="1"/>
    <col min="16155" max="16384" width="7.69921875" style="217"/>
  </cols>
  <sheetData>
    <row r="1" spans="1:26" s="212" customFormat="1" ht="15" customHeight="1">
      <c r="B1" s="247"/>
      <c r="C1" s="247"/>
      <c r="T1" s="247"/>
      <c r="V1" s="213" t="s">
        <v>368</v>
      </c>
    </row>
    <row r="2" spans="1:26" ht="15" customHeight="1">
      <c r="A2" s="214" t="s">
        <v>728</v>
      </c>
      <c r="B2" s="218"/>
      <c r="C2" s="218"/>
      <c r="D2" s="213"/>
      <c r="E2" s="213"/>
      <c r="F2" s="213"/>
      <c r="G2" s="213"/>
      <c r="H2" s="213"/>
      <c r="I2" s="213"/>
      <c r="J2" s="213"/>
      <c r="K2" s="213"/>
      <c r="L2" s="213"/>
      <c r="M2" s="213"/>
      <c r="N2" s="213"/>
      <c r="O2" s="213"/>
      <c r="P2" s="213"/>
      <c r="Q2" s="215" t="str">
        <f>'SP5-1'!L2</f>
        <v>Spreadsheet May 2025</v>
      </c>
      <c r="R2" s="213"/>
      <c r="S2" s="213"/>
      <c r="T2" s="219"/>
      <c r="V2" s="216" t="s">
        <v>369</v>
      </c>
      <c r="W2" s="213"/>
      <c r="X2" s="213"/>
      <c r="Y2" s="213"/>
    </row>
    <row r="3" spans="1:26" s="212" customFormat="1" ht="15" customHeight="1">
      <c r="A3" s="218" t="s">
        <v>756</v>
      </c>
      <c r="B3" s="218"/>
      <c r="C3" s="213"/>
      <c r="D3" s="213"/>
      <c r="E3" s="213"/>
      <c r="F3" s="213"/>
      <c r="G3" s="213"/>
      <c r="H3" s="213"/>
      <c r="I3" s="213"/>
      <c r="J3" s="213"/>
      <c r="K3" s="213"/>
      <c r="L3" s="213"/>
      <c r="M3" s="213"/>
      <c r="N3" s="213"/>
      <c r="O3" s="213"/>
      <c r="P3" s="213"/>
      <c r="Q3" s="213"/>
      <c r="R3" s="213"/>
      <c r="S3" s="213"/>
      <c r="T3" s="213"/>
      <c r="U3" s="213"/>
      <c r="V3" s="213"/>
      <c r="W3" s="213"/>
      <c r="X3" s="213"/>
      <c r="Y3" s="213"/>
    </row>
    <row r="4" spans="1:26" s="212" customFormat="1" ht="15" customHeight="1">
      <c r="A4" s="218"/>
      <c r="B4" s="494" t="s">
        <v>757</v>
      </c>
      <c r="C4" s="495"/>
      <c r="D4" s="495"/>
      <c r="E4" s="495"/>
      <c r="F4" s="495"/>
      <c r="G4" s="495"/>
      <c r="H4" s="495"/>
      <c r="I4" s="495"/>
      <c r="J4" s="495"/>
      <c r="K4" s="495"/>
      <c r="L4" s="495"/>
      <c r="M4" s="495"/>
      <c r="N4" s="495"/>
      <c r="O4" s="495"/>
      <c r="P4" s="495"/>
      <c r="Q4" s="495"/>
      <c r="R4" s="495"/>
      <c r="S4" s="495"/>
      <c r="T4" s="496"/>
      <c r="U4" s="213"/>
      <c r="V4" s="213"/>
      <c r="W4" s="213"/>
      <c r="X4" s="213"/>
      <c r="Y4" s="213"/>
    </row>
    <row r="5" spans="1:26" s="212" customFormat="1" ht="11.25" customHeight="1" thickBot="1">
      <c r="A5" s="219"/>
      <c r="B5" s="219"/>
      <c r="C5" s="213"/>
      <c r="D5" s="213"/>
      <c r="E5" s="213"/>
      <c r="F5" s="213"/>
      <c r="G5" s="213"/>
      <c r="H5" s="213"/>
      <c r="I5" s="213"/>
      <c r="J5" s="213"/>
      <c r="K5" s="213"/>
      <c r="L5" s="213"/>
      <c r="M5" s="213"/>
      <c r="N5" s="213"/>
      <c r="O5" s="213"/>
      <c r="P5" s="213"/>
      <c r="Q5" s="213"/>
      <c r="R5" s="213"/>
      <c r="S5" s="213"/>
      <c r="T5" s="213"/>
      <c r="U5" s="213"/>
      <c r="V5" s="213"/>
      <c r="W5" s="213"/>
      <c r="X5" s="213"/>
      <c r="Y5" s="213"/>
    </row>
    <row r="6" spans="1:26" s="251" customFormat="1" ht="19.5" customHeight="1" thickBot="1">
      <c r="A6" s="220">
        <v>1</v>
      </c>
      <c r="B6" s="488" t="s">
        <v>758</v>
      </c>
      <c r="C6" s="488"/>
      <c r="D6" s="488"/>
      <c r="E6" s="488"/>
      <c r="F6" s="488"/>
      <c r="G6" s="488"/>
      <c r="H6" s="488"/>
      <c r="I6" s="488"/>
      <c r="J6" s="488"/>
      <c r="K6" s="488"/>
      <c r="L6" s="488"/>
      <c r="M6" s="488"/>
      <c r="N6" s="488"/>
      <c r="O6" s="488"/>
      <c r="P6" s="221"/>
      <c r="Q6" s="221"/>
      <c r="R6" s="221"/>
      <c r="S6" s="221"/>
      <c r="T6" s="221"/>
      <c r="U6" s="213"/>
      <c r="V6" s="213"/>
      <c r="W6" s="213"/>
      <c r="X6" s="213"/>
      <c r="Y6" s="213"/>
    </row>
    <row r="7" spans="1:26" s="251" customFormat="1" ht="19.5" customHeight="1" thickBot="1">
      <c r="A7" s="222"/>
      <c r="B7" s="221"/>
      <c r="C7" s="221"/>
      <c r="D7" s="221"/>
      <c r="E7" s="221"/>
      <c r="F7" s="221"/>
      <c r="G7" s="221"/>
      <c r="H7" s="221"/>
      <c r="I7" s="221"/>
      <c r="J7" s="229" t="s">
        <v>264</v>
      </c>
      <c r="K7" s="536"/>
      <c r="L7" s="536"/>
      <c r="M7" s="536"/>
      <c r="N7" s="222" t="s">
        <v>412</v>
      </c>
      <c r="O7" s="221">
        <f>Tables!T6</f>
        <v>0.98039215686274506</v>
      </c>
      <c r="P7" s="229" t="s">
        <v>425</v>
      </c>
      <c r="Q7" s="505">
        <f>K7*O7</f>
        <v>0</v>
      </c>
      <c r="R7" s="505"/>
      <c r="S7" s="505"/>
      <c r="T7" s="223" t="s">
        <v>413</v>
      </c>
      <c r="U7" s="213"/>
      <c r="V7" s="213"/>
      <c r="W7" s="213"/>
      <c r="X7" s="213"/>
      <c r="Y7" s="213"/>
    </row>
    <row r="8" spans="1:26" s="251" customFormat="1" ht="19.5" customHeight="1" thickBot="1">
      <c r="A8" s="220">
        <v>2</v>
      </c>
      <c r="B8" s="488" t="s">
        <v>759</v>
      </c>
      <c r="C8" s="488"/>
      <c r="D8" s="488"/>
      <c r="E8" s="488"/>
      <c r="F8" s="488"/>
      <c r="G8" s="488"/>
      <c r="H8" s="488"/>
      <c r="I8" s="221"/>
      <c r="J8" s="221"/>
      <c r="K8" s="221"/>
      <c r="L8" s="221"/>
      <c r="M8" s="221"/>
      <c r="N8" s="221"/>
      <c r="O8" s="221"/>
      <c r="P8" s="229" t="s">
        <v>760</v>
      </c>
      <c r="Q8" s="536"/>
      <c r="R8" s="536"/>
      <c r="S8" s="536"/>
      <c r="T8" s="223" t="s">
        <v>422</v>
      </c>
      <c r="U8" s="213"/>
      <c r="V8" s="213"/>
      <c r="W8" s="213"/>
      <c r="X8" s="213"/>
      <c r="Y8" s="213"/>
    </row>
    <row r="9" spans="1:26" s="251" customFormat="1" ht="19.5" customHeight="1" thickBot="1">
      <c r="A9" s="220">
        <v>3</v>
      </c>
      <c r="B9" s="488" t="s">
        <v>761</v>
      </c>
      <c r="C9" s="488"/>
      <c r="D9" s="488"/>
      <c r="E9" s="488"/>
      <c r="F9" s="488"/>
      <c r="G9" s="488"/>
      <c r="H9" s="488"/>
      <c r="I9" s="488"/>
      <c r="J9" s="488"/>
      <c r="K9" s="488"/>
      <c r="L9" s="488"/>
      <c r="M9" s="488"/>
      <c r="N9" s="221"/>
      <c r="O9" s="221"/>
      <c r="P9" s="221"/>
      <c r="Q9" s="221"/>
      <c r="R9" s="221"/>
      <c r="S9" s="221"/>
      <c r="T9" s="223"/>
      <c r="U9" s="213"/>
      <c r="V9" s="213"/>
      <c r="W9" s="213"/>
      <c r="X9" s="213"/>
      <c r="Y9" s="213"/>
    </row>
    <row r="10" spans="1:26" s="251" customFormat="1" ht="19.5" customHeight="1" thickBot="1">
      <c r="A10" s="222"/>
      <c r="B10" s="221"/>
      <c r="C10" s="221"/>
      <c r="D10" s="221"/>
      <c r="E10" s="221"/>
      <c r="F10" s="229" t="s">
        <v>426</v>
      </c>
      <c r="G10" s="221">
        <f>'SP5-1'!I23</f>
        <v>0</v>
      </c>
      <c r="H10" s="221"/>
      <c r="I10" s="221"/>
      <c r="J10" s="229" t="s">
        <v>762</v>
      </c>
      <c r="K10" s="536"/>
      <c r="L10" s="536"/>
      <c r="M10" s="536"/>
      <c r="N10" s="222" t="s">
        <v>412</v>
      </c>
      <c r="O10" s="248">
        <f>Tables!O12-Tables!O11</f>
        <v>-0.99016372140870601</v>
      </c>
      <c r="P10" s="229" t="s">
        <v>425</v>
      </c>
      <c r="Q10" s="505">
        <f>K10*O10</f>
        <v>0</v>
      </c>
      <c r="R10" s="505"/>
      <c r="S10" s="505"/>
      <c r="T10" s="223" t="s">
        <v>423</v>
      </c>
      <c r="U10" s="213"/>
      <c r="V10" s="487" t="s">
        <v>853</v>
      </c>
      <c r="W10" s="487"/>
      <c r="X10" s="487"/>
      <c r="Y10" s="487"/>
      <c r="Z10" s="487"/>
    </row>
    <row r="11" spans="1:26" s="251" customFormat="1" ht="19.5" customHeight="1" thickBot="1">
      <c r="A11" s="220">
        <v>4</v>
      </c>
      <c r="B11" s="488" t="s">
        <v>428</v>
      </c>
      <c r="C11" s="488"/>
      <c r="D11" s="488"/>
      <c r="E11" s="488"/>
      <c r="F11" s="488"/>
      <c r="G11" s="488"/>
      <c r="H11" s="488"/>
      <c r="I11" s="221"/>
      <c r="J11" s="221"/>
      <c r="K11" s="221"/>
      <c r="L11" s="221"/>
      <c r="M11" s="221"/>
      <c r="N11" s="221"/>
      <c r="O11" s="221"/>
      <c r="P11" s="221"/>
      <c r="Q11" s="221"/>
      <c r="R11" s="221"/>
      <c r="S11" s="221"/>
      <c r="T11" s="221"/>
      <c r="U11" s="213"/>
      <c r="V11" s="213"/>
      <c r="W11" s="213"/>
      <c r="X11" s="213"/>
      <c r="Y11" s="213"/>
    </row>
    <row r="12" spans="1:26" s="251" customFormat="1" ht="19.5" customHeight="1" thickBot="1">
      <c r="A12" s="222"/>
      <c r="B12" s="221" t="s">
        <v>414</v>
      </c>
      <c r="C12" s="221"/>
      <c r="D12" s="221"/>
      <c r="E12" s="221"/>
      <c r="F12" s="221"/>
      <c r="G12" s="221"/>
      <c r="H12" s="221"/>
      <c r="I12" s="221"/>
      <c r="J12" s="221"/>
      <c r="K12" s="221"/>
      <c r="L12" s="221"/>
      <c r="M12" s="221"/>
      <c r="N12" s="221"/>
      <c r="O12" s="221"/>
      <c r="P12" s="229" t="s">
        <v>415</v>
      </c>
      <c r="Q12" s="541">
        <f>'SP5-1'!I21</f>
        <v>0</v>
      </c>
      <c r="R12" s="541"/>
      <c r="S12" s="541"/>
      <c r="T12" s="221"/>
      <c r="U12" s="213"/>
      <c r="V12" s="213"/>
      <c r="W12" s="213"/>
      <c r="X12" s="213"/>
      <c r="Y12" s="213"/>
    </row>
    <row r="13" spans="1:26" s="251" customFormat="1" ht="19.5" customHeight="1" thickBot="1">
      <c r="A13" s="222"/>
      <c r="B13" s="249" t="s">
        <v>417</v>
      </c>
      <c r="C13" s="542" t="s">
        <v>418</v>
      </c>
      <c r="D13" s="542"/>
      <c r="E13" s="542"/>
      <c r="F13" s="542"/>
      <c r="G13" s="542"/>
      <c r="H13" s="542"/>
      <c r="I13" s="542"/>
      <c r="J13" s="542"/>
      <c r="K13" s="542" t="s">
        <v>419</v>
      </c>
      <c r="L13" s="542"/>
      <c r="M13" s="542"/>
      <c r="N13" s="542" t="s">
        <v>420</v>
      </c>
      <c r="O13" s="542"/>
      <c r="P13" s="542"/>
      <c r="Q13" s="542" t="s">
        <v>752</v>
      </c>
      <c r="R13" s="542"/>
      <c r="S13" s="542"/>
      <c r="T13" s="221"/>
      <c r="U13" s="213"/>
      <c r="V13" s="213"/>
      <c r="W13" s="213"/>
      <c r="X13" s="213"/>
      <c r="Y13" s="213"/>
    </row>
    <row r="14" spans="1:26" s="251" customFormat="1" ht="19.5" customHeight="1" thickBot="1">
      <c r="A14" s="222"/>
      <c r="B14" s="250"/>
      <c r="C14" s="544"/>
      <c r="D14" s="544"/>
      <c r="E14" s="544"/>
      <c r="F14" s="544"/>
      <c r="G14" s="544"/>
      <c r="H14" s="544"/>
      <c r="I14" s="544"/>
      <c r="J14" s="544"/>
      <c r="K14" s="545"/>
      <c r="L14" s="545"/>
      <c r="M14" s="545"/>
      <c r="N14" s="522" t="str">
        <f>Tables!P24</f>
        <v/>
      </c>
      <c r="O14" s="522"/>
      <c r="P14" s="522"/>
      <c r="Q14" s="505" t="str">
        <f>IF(N14="","",K14*N14)</f>
        <v/>
      </c>
      <c r="R14" s="505"/>
      <c r="S14" s="505"/>
      <c r="T14" s="221"/>
      <c r="U14" s="213"/>
      <c r="V14" s="487" t="s">
        <v>848</v>
      </c>
      <c r="W14" s="487"/>
      <c r="X14" s="487"/>
      <c r="Y14" s="487"/>
      <c r="Z14" s="487"/>
    </row>
    <row r="15" spans="1:26" s="251" customFormat="1" ht="19.5" customHeight="1" thickBot="1">
      <c r="A15" s="222"/>
      <c r="B15" s="250"/>
      <c r="C15" s="544"/>
      <c r="D15" s="544"/>
      <c r="E15" s="544"/>
      <c r="F15" s="544"/>
      <c r="G15" s="544"/>
      <c r="H15" s="544"/>
      <c r="I15" s="544"/>
      <c r="J15" s="544"/>
      <c r="K15" s="545"/>
      <c r="L15" s="545"/>
      <c r="M15" s="545"/>
      <c r="N15" s="522" t="str">
        <f>Tables!P25</f>
        <v/>
      </c>
      <c r="O15" s="522"/>
      <c r="P15" s="522"/>
      <c r="Q15" s="505" t="str">
        <f t="shared" ref="Q15:Q22" si="0">IF(N15="","",K15*N15)</f>
        <v/>
      </c>
      <c r="R15" s="505"/>
      <c r="S15" s="505"/>
      <c r="T15" s="221"/>
      <c r="U15" s="213"/>
      <c r="V15" s="487"/>
      <c r="W15" s="487"/>
      <c r="X15" s="487"/>
      <c r="Y15" s="487"/>
      <c r="Z15" s="487"/>
    </row>
    <row r="16" spans="1:26" s="251" customFormat="1" ht="19.5" customHeight="1" thickBot="1">
      <c r="A16" s="222"/>
      <c r="B16" s="250"/>
      <c r="C16" s="544"/>
      <c r="D16" s="544"/>
      <c r="E16" s="544"/>
      <c r="F16" s="544"/>
      <c r="G16" s="544"/>
      <c r="H16" s="544"/>
      <c r="I16" s="544"/>
      <c r="J16" s="544"/>
      <c r="K16" s="545"/>
      <c r="L16" s="545"/>
      <c r="M16" s="545"/>
      <c r="N16" s="522" t="str">
        <f>Tables!P26</f>
        <v/>
      </c>
      <c r="O16" s="522"/>
      <c r="P16" s="522"/>
      <c r="Q16" s="505" t="str">
        <f t="shared" si="0"/>
        <v/>
      </c>
      <c r="R16" s="505"/>
      <c r="S16" s="505"/>
      <c r="T16" s="221"/>
      <c r="U16" s="213"/>
      <c r="V16" s="487"/>
      <c r="W16" s="487"/>
      <c r="X16" s="487"/>
      <c r="Y16" s="487"/>
      <c r="Z16" s="487"/>
    </row>
    <row r="17" spans="1:26" s="251" customFormat="1" ht="19.5" customHeight="1" thickBot="1">
      <c r="A17" s="222"/>
      <c r="B17" s="250"/>
      <c r="C17" s="546"/>
      <c r="D17" s="547"/>
      <c r="E17" s="547"/>
      <c r="F17" s="547"/>
      <c r="G17" s="547"/>
      <c r="H17" s="547"/>
      <c r="I17" s="547"/>
      <c r="J17" s="548"/>
      <c r="K17" s="545"/>
      <c r="L17" s="545"/>
      <c r="M17" s="545"/>
      <c r="N17" s="522" t="str">
        <f>Tables!P27</f>
        <v/>
      </c>
      <c r="O17" s="522"/>
      <c r="P17" s="522"/>
      <c r="Q17" s="505" t="str">
        <f t="shared" si="0"/>
        <v/>
      </c>
      <c r="R17" s="505"/>
      <c r="S17" s="505"/>
      <c r="T17" s="221"/>
      <c r="U17" s="213"/>
      <c r="V17" s="487"/>
      <c r="W17" s="487"/>
      <c r="X17" s="487"/>
      <c r="Y17" s="487"/>
      <c r="Z17" s="487"/>
    </row>
    <row r="18" spans="1:26" s="251" customFormat="1" ht="19.5" customHeight="1" thickBot="1">
      <c r="A18" s="222"/>
      <c r="B18" s="250"/>
      <c r="C18" s="544"/>
      <c r="D18" s="544"/>
      <c r="E18" s="544"/>
      <c r="F18" s="544"/>
      <c r="G18" s="544"/>
      <c r="H18" s="544"/>
      <c r="I18" s="544"/>
      <c r="J18" s="544"/>
      <c r="K18" s="545"/>
      <c r="L18" s="545"/>
      <c r="M18" s="545"/>
      <c r="N18" s="522" t="str">
        <f>Tables!P28</f>
        <v/>
      </c>
      <c r="O18" s="522"/>
      <c r="P18" s="522"/>
      <c r="Q18" s="505" t="str">
        <f>IF(N18="","",K18*N18)</f>
        <v/>
      </c>
      <c r="R18" s="505"/>
      <c r="S18" s="505"/>
      <c r="T18" s="221"/>
      <c r="U18" s="213"/>
      <c r="V18" s="487"/>
      <c r="W18" s="487"/>
      <c r="X18" s="487"/>
      <c r="Y18" s="487"/>
      <c r="Z18" s="487"/>
    </row>
    <row r="19" spans="1:26" s="251" customFormat="1" ht="19.5" customHeight="1" thickBot="1">
      <c r="A19" s="222"/>
      <c r="B19" s="250"/>
      <c r="C19" s="544"/>
      <c r="D19" s="544"/>
      <c r="E19" s="544"/>
      <c r="F19" s="544"/>
      <c r="G19" s="544"/>
      <c r="H19" s="544"/>
      <c r="I19" s="544"/>
      <c r="J19" s="544"/>
      <c r="K19" s="545"/>
      <c r="L19" s="545"/>
      <c r="M19" s="545"/>
      <c r="N19" s="522" t="str">
        <f>Tables!P29</f>
        <v/>
      </c>
      <c r="O19" s="522"/>
      <c r="P19" s="522"/>
      <c r="Q19" s="505" t="str">
        <f>IF(N19="","",K19*N19)</f>
        <v/>
      </c>
      <c r="R19" s="505"/>
      <c r="S19" s="505"/>
      <c r="T19" s="221"/>
      <c r="U19" s="213"/>
      <c r="V19" s="487"/>
      <c r="W19" s="487"/>
      <c r="X19" s="487"/>
      <c r="Y19" s="487"/>
      <c r="Z19" s="487"/>
    </row>
    <row r="20" spans="1:26" s="251" customFormat="1" ht="19.5" customHeight="1" thickBot="1">
      <c r="A20" s="222"/>
      <c r="B20" s="250"/>
      <c r="C20" s="544"/>
      <c r="D20" s="544"/>
      <c r="E20" s="544"/>
      <c r="F20" s="544"/>
      <c r="G20" s="544"/>
      <c r="H20" s="544"/>
      <c r="I20" s="544"/>
      <c r="J20" s="544"/>
      <c r="K20" s="545"/>
      <c r="L20" s="545"/>
      <c r="M20" s="545"/>
      <c r="N20" s="522" t="str">
        <f>Tables!P30</f>
        <v/>
      </c>
      <c r="O20" s="522"/>
      <c r="P20" s="522"/>
      <c r="Q20" s="505" t="str">
        <f t="shared" si="0"/>
        <v/>
      </c>
      <c r="R20" s="505"/>
      <c r="S20" s="505"/>
      <c r="T20" s="221"/>
      <c r="U20" s="213"/>
      <c r="V20" s="487"/>
      <c r="W20" s="487"/>
      <c r="X20" s="487"/>
      <c r="Y20" s="487"/>
      <c r="Z20" s="487"/>
    </row>
    <row r="21" spans="1:26" s="251" customFormat="1" ht="19.5" customHeight="1" thickBot="1">
      <c r="A21" s="222"/>
      <c r="B21" s="250"/>
      <c r="C21" s="544"/>
      <c r="D21" s="544"/>
      <c r="E21" s="544"/>
      <c r="F21" s="544"/>
      <c r="G21" s="544"/>
      <c r="H21" s="544"/>
      <c r="I21" s="544"/>
      <c r="J21" s="544"/>
      <c r="K21" s="545"/>
      <c r="L21" s="545"/>
      <c r="M21" s="545"/>
      <c r="N21" s="522" t="str">
        <f>Tables!P31</f>
        <v/>
      </c>
      <c r="O21" s="522"/>
      <c r="P21" s="522"/>
      <c r="Q21" s="505" t="str">
        <f t="shared" si="0"/>
        <v/>
      </c>
      <c r="R21" s="505"/>
      <c r="S21" s="505"/>
      <c r="T21" s="221"/>
      <c r="U21" s="213"/>
      <c r="V21" s="487"/>
      <c r="W21" s="487"/>
      <c r="X21" s="487"/>
      <c r="Y21" s="487"/>
      <c r="Z21" s="487"/>
    </row>
    <row r="22" spans="1:26" s="251" customFormat="1" ht="19.5" customHeight="1" thickBot="1">
      <c r="A22" s="222"/>
      <c r="B22" s="250"/>
      <c r="C22" s="544"/>
      <c r="D22" s="544"/>
      <c r="E22" s="544"/>
      <c r="F22" s="544"/>
      <c r="G22" s="544"/>
      <c r="H22" s="544"/>
      <c r="I22" s="544"/>
      <c r="J22" s="544"/>
      <c r="K22" s="545"/>
      <c r="L22" s="545"/>
      <c r="M22" s="545"/>
      <c r="N22" s="522" t="str">
        <f>Tables!P32</f>
        <v/>
      </c>
      <c r="O22" s="522"/>
      <c r="P22" s="522"/>
      <c r="Q22" s="505" t="str">
        <f t="shared" si="0"/>
        <v/>
      </c>
      <c r="R22" s="505"/>
      <c r="S22" s="505"/>
      <c r="T22" s="221"/>
      <c r="U22" s="213"/>
      <c r="V22" s="487"/>
      <c r="W22" s="487"/>
      <c r="X22" s="487"/>
      <c r="Y22" s="487"/>
      <c r="Z22" s="487"/>
    </row>
    <row r="23" spans="1:26" s="251" customFormat="1" ht="19.5" customHeight="1" thickBot="1">
      <c r="A23" s="222"/>
      <c r="B23" s="221"/>
      <c r="C23" s="221"/>
      <c r="D23" s="221"/>
      <c r="E23" s="221"/>
      <c r="F23" s="221"/>
      <c r="G23" s="221"/>
      <c r="H23" s="221"/>
      <c r="I23" s="221"/>
      <c r="J23" s="221"/>
      <c r="K23" s="221"/>
      <c r="L23" s="221"/>
      <c r="M23" s="221"/>
      <c r="N23" s="221"/>
      <c r="O23" s="221"/>
      <c r="P23" s="229" t="s">
        <v>763</v>
      </c>
      <c r="Q23" s="549">
        <f>SUM(Q14:S22)</f>
        <v>0</v>
      </c>
      <c r="R23" s="549"/>
      <c r="S23" s="549"/>
      <c r="T23" s="223" t="s">
        <v>429</v>
      </c>
      <c r="U23" s="213"/>
      <c r="V23" s="213"/>
      <c r="W23" s="213"/>
      <c r="X23" s="213"/>
      <c r="Y23" s="213"/>
    </row>
    <row r="24" spans="1:26" s="251" customFormat="1" ht="19.5" customHeight="1" thickBot="1">
      <c r="A24" s="220">
        <v>5</v>
      </c>
      <c r="B24" s="488" t="s">
        <v>764</v>
      </c>
      <c r="C24" s="488"/>
      <c r="D24" s="488"/>
      <c r="E24" s="488"/>
      <c r="F24" s="488"/>
      <c r="G24" s="488"/>
      <c r="H24" s="488"/>
      <c r="I24" s="488"/>
      <c r="J24" s="488"/>
      <c r="K24" s="488"/>
      <c r="L24" s="488"/>
      <c r="M24" s="488"/>
      <c r="N24" s="488"/>
      <c r="O24" s="221"/>
      <c r="P24" s="221"/>
      <c r="Q24" s="221"/>
      <c r="R24" s="221"/>
      <c r="S24" s="221"/>
      <c r="T24" s="221"/>
      <c r="U24" s="213"/>
      <c r="V24" s="213"/>
      <c r="W24" s="213"/>
      <c r="X24" s="213"/>
      <c r="Y24" s="213"/>
    </row>
    <row r="25" spans="1:26" s="251" customFormat="1" ht="24.9" customHeight="1" thickBot="1">
      <c r="A25" s="222"/>
      <c r="B25" s="221"/>
      <c r="C25" s="221"/>
      <c r="D25" s="221"/>
      <c r="E25" s="221"/>
      <c r="F25" s="229" t="s">
        <v>426</v>
      </c>
      <c r="G25" s="221">
        <f>'SP5-1'!I23</f>
        <v>0</v>
      </c>
      <c r="H25" s="221"/>
      <c r="I25" s="221"/>
      <c r="J25" s="229" t="s">
        <v>427</v>
      </c>
      <c r="K25" s="536"/>
      <c r="L25" s="536"/>
      <c r="M25" s="536"/>
      <c r="N25" s="222" t="s">
        <v>412</v>
      </c>
      <c r="O25" s="248">
        <f>O10</f>
        <v>-0.99016372140870601</v>
      </c>
      <c r="P25" s="229" t="s">
        <v>425</v>
      </c>
      <c r="Q25" s="505">
        <f>K25*O25</f>
        <v>0</v>
      </c>
      <c r="R25" s="505"/>
      <c r="S25" s="505"/>
      <c r="T25" s="223" t="s">
        <v>430</v>
      </c>
      <c r="U25" s="213"/>
      <c r="V25" s="491" t="s">
        <v>849</v>
      </c>
      <c r="W25" s="492"/>
      <c r="X25" s="492"/>
      <c r="Y25" s="492"/>
      <c r="Z25" s="493"/>
    </row>
    <row r="26" spans="1:26" s="251" customFormat="1" ht="19.5" customHeight="1" thickBot="1">
      <c r="A26" s="220">
        <v>6</v>
      </c>
      <c r="B26" s="488" t="s">
        <v>765</v>
      </c>
      <c r="C26" s="488"/>
      <c r="D26" s="488"/>
      <c r="E26" s="488"/>
      <c r="F26" s="488"/>
      <c r="G26" s="488"/>
      <c r="H26" s="488"/>
      <c r="I26" s="488"/>
      <c r="J26" s="221"/>
      <c r="K26" s="221"/>
      <c r="L26" s="221"/>
      <c r="M26" s="221"/>
      <c r="N26" s="221"/>
      <c r="O26" s="221"/>
      <c r="P26" s="221"/>
      <c r="Q26" s="221"/>
      <c r="R26" s="221"/>
      <c r="S26" s="221"/>
      <c r="T26" s="221"/>
      <c r="U26" s="213"/>
      <c r="V26" s="213"/>
      <c r="W26" s="213"/>
      <c r="X26" s="213"/>
      <c r="Y26" s="213"/>
    </row>
    <row r="27" spans="1:26" s="251" customFormat="1" ht="19.5" customHeight="1" thickBot="1">
      <c r="A27" s="222"/>
      <c r="B27" s="221"/>
      <c r="C27" s="221"/>
      <c r="D27" s="221"/>
      <c r="E27" s="221"/>
      <c r="F27" s="221"/>
      <c r="G27" s="221"/>
      <c r="H27" s="221"/>
      <c r="I27" s="221"/>
      <c r="J27" s="221"/>
      <c r="K27" s="252"/>
      <c r="L27" s="221"/>
      <c r="M27" s="221"/>
      <c r="N27" s="221"/>
      <c r="O27" s="221"/>
      <c r="P27" s="229" t="s">
        <v>766</v>
      </c>
      <c r="Q27" s="505">
        <f>Q7+Q8+Q10+Q23+Q25</f>
        <v>0</v>
      </c>
      <c r="R27" s="505"/>
      <c r="S27" s="505"/>
      <c r="T27" s="220" t="s">
        <v>395</v>
      </c>
      <c r="U27" s="213"/>
      <c r="V27" s="487" t="s">
        <v>431</v>
      </c>
      <c r="W27" s="487"/>
      <c r="X27" s="487"/>
      <c r="Y27" s="487"/>
      <c r="Z27" s="487"/>
    </row>
    <row r="28" spans="1:26" s="251" customFormat="1" ht="19.5" customHeight="1" thickBot="1">
      <c r="A28" s="222"/>
      <c r="B28" s="221"/>
      <c r="C28" s="221"/>
      <c r="D28" s="221"/>
      <c r="E28" s="221"/>
      <c r="F28" s="221"/>
      <c r="G28" s="221"/>
      <c r="H28" s="221"/>
      <c r="I28" s="221"/>
      <c r="J28" s="221"/>
      <c r="K28" s="221"/>
      <c r="L28" s="221"/>
      <c r="M28" s="221"/>
      <c r="N28" s="221"/>
      <c r="O28" s="221"/>
      <c r="P28" s="221"/>
      <c r="Q28" s="221"/>
      <c r="R28" s="221"/>
      <c r="S28" s="221"/>
      <c r="T28" s="221"/>
      <c r="U28" s="213"/>
      <c r="V28" s="213"/>
      <c r="W28" s="213"/>
      <c r="X28" s="213"/>
      <c r="Y28" s="213"/>
    </row>
    <row r="29" spans="1:26" s="212" customFormat="1" ht="11.4">
      <c r="A29" s="213"/>
      <c r="B29" s="213"/>
      <c r="C29" s="213"/>
      <c r="D29" s="213"/>
      <c r="E29" s="213"/>
      <c r="F29" s="213"/>
      <c r="G29" s="213"/>
      <c r="H29" s="213"/>
      <c r="I29" s="213"/>
      <c r="J29" s="213"/>
      <c r="K29" s="213"/>
      <c r="L29" s="213"/>
      <c r="M29" s="213"/>
      <c r="N29" s="213"/>
      <c r="O29" s="213"/>
      <c r="P29" s="213"/>
      <c r="Q29" s="213"/>
      <c r="R29" s="213"/>
      <c r="S29" s="213"/>
      <c r="T29" s="213"/>
      <c r="U29" s="213"/>
      <c r="V29" s="213"/>
      <c r="W29" s="213"/>
      <c r="X29" s="213"/>
      <c r="Y29" s="213"/>
    </row>
    <row r="30" spans="1:26">
      <c r="A30" s="213"/>
      <c r="B30" s="213"/>
      <c r="C30" s="213"/>
      <c r="D30" s="213"/>
      <c r="E30" s="213"/>
      <c r="F30" s="213"/>
      <c r="G30" s="213"/>
      <c r="H30" s="213"/>
      <c r="I30" s="213"/>
      <c r="J30" s="213"/>
      <c r="K30" s="213"/>
      <c r="L30" s="213"/>
      <c r="M30" s="213"/>
      <c r="N30" s="213"/>
      <c r="O30" s="213"/>
      <c r="P30" s="213"/>
      <c r="Q30" s="213"/>
      <c r="R30" s="213"/>
      <c r="S30" s="213"/>
      <c r="T30" s="213"/>
      <c r="U30" s="213"/>
      <c r="V30" s="213"/>
      <c r="W30" s="213"/>
      <c r="X30" s="213"/>
      <c r="Y30" s="213"/>
    </row>
    <row r="31" spans="1:26" hidden="1">
      <c r="A31" s="213">
        <v>0</v>
      </c>
      <c r="B31" s="213"/>
      <c r="C31" s="213"/>
      <c r="D31" s="213"/>
      <c r="E31" s="213"/>
      <c r="F31" s="213"/>
      <c r="G31" s="213"/>
      <c r="H31" s="213"/>
      <c r="I31" s="213"/>
      <c r="J31" s="213"/>
      <c r="K31" s="213"/>
      <c r="L31" s="213"/>
      <c r="M31" s="213"/>
      <c r="N31" s="213"/>
      <c r="O31" s="213"/>
      <c r="P31" s="213"/>
      <c r="Q31" s="213"/>
      <c r="R31" s="213"/>
      <c r="S31" s="213"/>
      <c r="T31" s="213"/>
      <c r="U31" s="213"/>
      <c r="V31" s="213"/>
      <c r="W31" s="213"/>
      <c r="X31" s="213"/>
      <c r="Y31" s="213"/>
    </row>
    <row r="32" spans="1:26" hidden="1">
      <c r="A32" s="213">
        <v>1</v>
      </c>
      <c r="B32" s="213"/>
      <c r="C32" s="213"/>
      <c r="D32" s="213"/>
      <c r="E32" s="213"/>
      <c r="F32" s="213"/>
      <c r="G32" s="213"/>
      <c r="H32" s="213"/>
      <c r="I32" s="213"/>
      <c r="J32" s="213"/>
      <c r="K32" s="213"/>
      <c r="L32" s="213"/>
      <c r="M32" s="213"/>
      <c r="N32" s="213"/>
      <c r="O32" s="213"/>
      <c r="P32" s="213"/>
      <c r="Q32" s="213"/>
      <c r="R32" s="213"/>
      <c r="S32" s="213"/>
      <c r="T32" s="213"/>
      <c r="U32" s="213"/>
      <c r="V32" s="213"/>
      <c r="W32" s="213"/>
      <c r="X32" s="213"/>
      <c r="Y32" s="213"/>
    </row>
    <row r="33" spans="1:25" hidden="1">
      <c r="A33" s="213">
        <v>2</v>
      </c>
      <c r="B33" s="213"/>
      <c r="C33" s="213"/>
      <c r="D33" s="213"/>
      <c r="E33" s="213"/>
      <c r="F33" s="213"/>
      <c r="G33" s="213"/>
      <c r="H33" s="213"/>
      <c r="I33" s="213"/>
      <c r="J33" s="213"/>
      <c r="K33" s="213"/>
      <c r="L33" s="213"/>
      <c r="M33" s="213"/>
      <c r="N33" s="213"/>
      <c r="O33" s="213"/>
      <c r="P33" s="213"/>
      <c r="Q33" s="213"/>
      <c r="R33" s="213"/>
      <c r="S33" s="213"/>
      <c r="T33" s="213"/>
      <c r="U33" s="213"/>
      <c r="V33" s="213"/>
      <c r="W33" s="213"/>
      <c r="X33" s="213"/>
      <c r="Y33" s="213"/>
    </row>
    <row r="34" spans="1:25" hidden="1">
      <c r="A34" s="213">
        <v>3</v>
      </c>
      <c r="B34" s="213"/>
      <c r="C34" s="213"/>
      <c r="D34" s="213"/>
      <c r="E34" s="213"/>
      <c r="F34" s="213"/>
      <c r="G34" s="213"/>
      <c r="H34" s="213"/>
      <c r="I34" s="213"/>
      <c r="J34" s="213"/>
      <c r="K34" s="213"/>
      <c r="L34" s="213"/>
      <c r="M34" s="213"/>
      <c r="N34" s="213"/>
      <c r="O34" s="213"/>
      <c r="P34" s="213"/>
      <c r="Q34" s="213"/>
      <c r="R34" s="213"/>
      <c r="S34" s="213"/>
      <c r="T34" s="213"/>
      <c r="U34" s="213"/>
      <c r="V34" s="213"/>
      <c r="W34" s="213"/>
      <c r="X34" s="213"/>
      <c r="Y34" s="213"/>
    </row>
    <row r="35" spans="1:25" hidden="1">
      <c r="A35" s="213">
        <v>4</v>
      </c>
      <c r="B35" s="213"/>
      <c r="C35" s="213"/>
      <c r="D35" s="213"/>
      <c r="E35" s="213"/>
      <c r="F35" s="213"/>
      <c r="G35" s="213"/>
      <c r="H35" s="213"/>
      <c r="I35" s="213"/>
      <c r="J35" s="213"/>
      <c r="K35" s="213"/>
      <c r="L35" s="213"/>
      <c r="M35" s="213"/>
      <c r="N35" s="213"/>
      <c r="O35" s="213"/>
      <c r="P35" s="213"/>
      <c r="Q35" s="213"/>
      <c r="R35" s="213"/>
      <c r="S35" s="213"/>
      <c r="T35" s="213"/>
      <c r="U35" s="213"/>
      <c r="V35" s="213"/>
      <c r="W35" s="213"/>
      <c r="X35" s="213"/>
      <c r="Y35" s="213"/>
    </row>
    <row r="36" spans="1:25" hidden="1">
      <c r="A36" s="213">
        <v>5</v>
      </c>
      <c r="B36" s="213"/>
      <c r="C36" s="213"/>
      <c r="D36" s="213"/>
      <c r="E36" s="213"/>
      <c r="F36" s="213"/>
      <c r="G36" s="213"/>
      <c r="H36" s="213"/>
      <c r="I36" s="213"/>
      <c r="J36" s="213"/>
      <c r="K36" s="213"/>
      <c r="L36" s="213"/>
      <c r="M36" s="213"/>
      <c r="N36" s="213"/>
      <c r="O36" s="213"/>
      <c r="P36" s="213"/>
      <c r="Q36" s="213"/>
      <c r="R36" s="213"/>
      <c r="S36" s="213"/>
      <c r="T36" s="213"/>
      <c r="U36" s="213"/>
      <c r="V36" s="213"/>
      <c r="W36" s="213"/>
      <c r="X36" s="213"/>
      <c r="Y36" s="213"/>
    </row>
    <row r="37" spans="1:25" hidden="1">
      <c r="A37" s="213">
        <v>6</v>
      </c>
      <c r="B37" s="213"/>
      <c r="C37" s="213"/>
      <c r="D37" s="213"/>
      <c r="E37" s="213"/>
      <c r="F37" s="213"/>
      <c r="G37" s="213"/>
      <c r="H37" s="213"/>
      <c r="I37" s="213"/>
      <c r="J37" s="213"/>
      <c r="K37" s="213"/>
      <c r="L37" s="213"/>
      <c r="M37" s="213"/>
      <c r="N37" s="213"/>
      <c r="O37" s="213"/>
      <c r="P37" s="213"/>
      <c r="Q37" s="213"/>
      <c r="R37" s="213"/>
      <c r="S37" s="213"/>
      <c r="T37" s="213"/>
      <c r="U37" s="213"/>
      <c r="V37" s="213"/>
      <c r="W37" s="213"/>
      <c r="X37" s="213"/>
      <c r="Y37" s="213"/>
    </row>
    <row r="38" spans="1:25" hidden="1">
      <c r="A38" s="213">
        <v>7</v>
      </c>
      <c r="B38" s="213"/>
      <c r="C38" s="213"/>
      <c r="D38" s="213"/>
      <c r="E38" s="213"/>
      <c r="F38" s="213"/>
      <c r="G38" s="213"/>
      <c r="H38" s="213"/>
      <c r="I38" s="213"/>
      <c r="J38" s="213"/>
      <c r="K38" s="213"/>
      <c r="L38" s="213"/>
      <c r="M38" s="213"/>
      <c r="N38" s="213"/>
      <c r="O38" s="213"/>
      <c r="P38" s="213"/>
      <c r="Q38" s="213"/>
      <c r="R38" s="213"/>
      <c r="S38" s="213"/>
      <c r="T38" s="213"/>
      <c r="U38" s="213"/>
      <c r="V38" s="213"/>
      <c r="W38" s="213"/>
      <c r="X38" s="213"/>
      <c r="Y38" s="213"/>
    </row>
    <row r="39" spans="1:25" hidden="1">
      <c r="A39" s="213">
        <v>8</v>
      </c>
      <c r="B39" s="213"/>
      <c r="C39" s="213"/>
      <c r="D39" s="213"/>
      <c r="E39" s="213"/>
      <c r="F39" s="213"/>
      <c r="G39" s="213"/>
      <c r="H39" s="213"/>
      <c r="I39" s="213"/>
      <c r="J39" s="213"/>
      <c r="K39" s="213"/>
      <c r="L39" s="213"/>
      <c r="M39" s="213"/>
      <c r="N39" s="213"/>
      <c r="O39" s="213"/>
      <c r="P39" s="213"/>
      <c r="Q39" s="213"/>
      <c r="R39" s="213"/>
      <c r="S39" s="213"/>
      <c r="T39" s="213"/>
      <c r="U39" s="213"/>
      <c r="V39" s="213"/>
      <c r="W39" s="213"/>
      <c r="X39" s="213"/>
      <c r="Y39" s="213"/>
    </row>
    <row r="40" spans="1:25" hidden="1">
      <c r="A40" s="213">
        <v>9</v>
      </c>
      <c r="B40" s="213"/>
      <c r="C40" s="213"/>
      <c r="D40" s="213"/>
      <c r="E40" s="213"/>
      <c r="F40" s="213"/>
      <c r="G40" s="213"/>
      <c r="H40" s="213"/>
      <c r="I40" s="213"/>
      <c r="J40" s="213"/>
      <c r="K40" s="213"/>
      <c r="L40" s="213"/>
      <c r="M40" s="213"/>
      <c r="N40" s="213"/>
      <c r="O40" s="213"/>
      <c r="P40" s="213"/>
      <c r="Q40" s="213"/>
      <c r="R40" s="213"/>
      <c r="S40" s="213"/>
      <c r="T40" s="213"/>
      <c r="U40" s="213"/>
      <c r="V40" s="213"/>
      <c r="W40" s="213"/>
      <c r="X40" s="213"/>
      <c r="Y40" s="213"/>
    </row>
    <row r="41" spans="1:25" hidden="1">
      <c r="A41" s="213">
        <v>10</v>
      </c>
      <c r="B41" s="213"/>
      <c r="C41" s="213"/>
      <c r="D41" s="213"/>
      <c r="E41" s="213"/>
      <c r="F41" s="213"/>
      <c r="G41" s="213"/>
      <c r="H41" s="213"/>
      <c r="I41" s="213"/>
      <c r="J41" s="213"/>
      <c r="K41" s="213"/>
      <c r="L41" s="213"/>
      <c r="M41" s="213"/>
      <c r="N41" s="213"/>
      <c r="O41" s="213"/>
      <c r="P41" s="213"/>
      <c r="Q41" s="213"/>
      <c r="R41" s="213"/>
      <c r="S41" s="213"/>
      <c r="T41" s="213"/>
      <c r="U41" s="213"/>
      <c r="V41" s="213"/>
      <c r="W41" s="213"/>
      <c r="X41" s="213"/>
      <c r="Y41" s="213"/>
    </row>
    <row r="42" spans="1:25" hidden="1">
      <c r="A42" s="213">
        <v>11</v>
      </c>
      <c r="B42" s="213"/>
      <c r="C42" s="213"/>
      <c r="D42" s="213"/>
      <c r="E42" s="213"/>
      <c r="F42" s="213"/>
      <c r="G42" s="213"/>
      <c r="H42" s="213"/>
      <c r="I42" s="213"/>
      <c r="J42" s="213"/>
      <c r="K42" s="213"/>
      <c r="L42" s="213"/>
      <c r="M42" s="213"/>
      <c r="N42" s="213"/>
      <c r="O42" s="213"/>
      <c r="P42" s="213"/>
      <c r="Q42" s="213"/>
      <c r="R42" s="213"/>
      <c r="S42" s="213"/>
      <c r="T42" s="213"/>
      <c r="U42" s="213"/>
      <c r="V42" s="213"/>
      <c r="W42" s="213"/>
      <c r="X42" s="213"/>
      <c r="Y42" s="213"/>
    </row>
    <row r="43" spans="1:25" hidden="1">
      <c r="A43" s="213">
        <v>12</v>
      </c>
      <c r="B43" s="213"/>
      <c r="C43" s="213"/>
      <c r="D43" s="213"/>
      <c r="E43" s="213"/>
      <c r="F43" s="213"/>
      <c r="G43" s="213"/>
      <c r="H43" s="213"/>
      <c r="I43" s="213"/>
      <c r="J43" s="213"/>
      <c r="K43" s="213"/>
      <c r="L43" s="213"/>
      <c r="M43" s="213"/>
      <c r="N43" s="213"/>
      <c r="O43" s="213"/>
      <c r="P43" s="213"/>
      <c r="Q43" s="213"/>
      <c r="R43" s="213"/>
      <c r="S43" s="213"/>
      <c r="T43" s="213"/>
      <c r="U43" s="213"/>
      <c r="V43" s="213"/>
      <c r="W43" s="213"/>
      <c r="X43" s="213"/>
      <c r="Y43" s="213"/>
    </row>
    <row r="44" spans="1:25" hidden="1">
      <c r="A44" s="213">
        <v>13</v>
      </c>
      <c r="B44" s="213"/>
      <c r="C44" s="213"/>
      <c r="D44" s="213"/>
      <c r="E44" s="213"/>
      <c r="F44" s="213"/>
      <c r="G44" s="213"/>
      <c r="H44" s="213"/>
      <c r="I44" s="213"/>
      <c r="J44" s="213"/>
      <c r="K44" s="213"/>
      <c r="L44" s="213"/>
      <c r="M44" s="213"/>
      <c r="N44" s="213"/>
      <c r="O44" s="213"/>
      <c r="P44" s="213"/>
      <c r="Q44" s="213"/>
      <c r="R44" s="213"/>
      <c r="S44" s="213"/>
      <c r="T44" s="213"/>
      <c r="U44" s="213"/>
      <c r="V44" s="213"/>
      <c r="W44" s="213"/>
      <c r="X44" s="213"/>
      <c r="Y44" s="213"/>
    </row>
    <row r="45" spans="1:25" hidden="1">
      <c r="A45" s="213">
        <v>14</v>
      </c>
      <c r="B45" s="213"/>
      <c r="C45" s="213"/>
      <c r="D45" s="213"/>
      <c r="E45" s="213"/>
      <c r="F45" s="213"/>
      <c r="G45" s="213"/>
      <c r="H45" s="213"/>
      <c r="I45" s="213"/>
      <c r="J45" s="213"/>
      <c r="K45" s="213"/>
      <c r="L45" s="213"/>
      <c r="M45" s="213"/>
      <c r="N45" s="213"/>
      <c r="O45" s="213"/>
      <c r="P45" s="213"/>
      <c r="Q45" s="213"/>
      <c r="R45" s="213"/>
      <c r="S45" s="213"/>
      <c r="T45" s="213"/>
      <c r="U45" s="213"/>
      <c r="V45" s="213"/>
      <c r="W45" s="213"/>
      <c r="X45" s="213"/>
      <c r="Y45" s="213"/>
    </row>
    <row r="46" spans="1:25" hidden="1">
      <c r="A46" s="213">
        <v>15</v>
      </c>
      <c r="B46" s="213"/>
      <c r="C46" s="213"/>
      <c r="D46" s="213"/>
      <c r="E46" s="213"/>
      <c r="F46" s="213"/>
      <c r="G46" s="213"/>
      <c r="H46" s="213"/>
      <c r="I46" s="213"/>
      <c r="J46" s="213"/>
      <c r="K46" s="213"/>
      <c r="L46" s="213"/>
      <c r="M46" s="213"/>
      <c r="N46" s="213"/>
      <c r="O46" s="213"/>
      <c r="P46" s="213"/>
      <c r="Q46" s="213"/>
      <c r="R46" s="213"/>
      <c r="S46" s="213"/>
      <c r="T46" s="213"/>
      <c r="U46" s="213"/>
      <c r="V46" s="213"/>
      <c r="W46" s="213"/>
      <c r="X46" s="213"/>
      <c r="Y46" s="213"/>
    </row>
    <row r="47" spans="1:25" hidden="1">
      <c r="A47" s="213">
        <v>16</v>
      </c>
      <c r="B47" s="213"/>
      <c r="C47" s="213"/>
      <c r="D47" s="213"/>
      <c r="E47" s="213"/>
      <c r="F47" s="213"/>
      <c r="G47" s="213"/>
      <c r="H47" s="213"/>
      <c r="I47" s="213"/>
      <c r="J47" s="213"/>
      <c r="K47" s="213"/>
      <c r="L47" s="213"/>
      <c r="M47" s="213"/>
      <c r="N47" s="213"/>
      <c r="O47" s="213"/>
      <c r="P47" s="213"/>
      <c r="Q47" s="213"/>
      <c r="R47" s="213"/>
      <c r="S47" s="213"/>
      <c r="T47" s="213"/>
      <c r="U47" s="213"/>
      <c r="V47" s="213"/>
      <c r="W47" s="213"/>
      <c r="X47" s="213"/>
      <c r="Y47" s="213"/>
    </row>
    <row r="48" spans="1:25" hidden="1">
      <c r="A48" s="213">
        <v>17</v>
      </c>
      <c r="B48" s="213"/>
      <c r="C48" s="213"/>
      <c r="D48" s="213"/>
      <c r="E48" s="213"/>
      <c r="F48" s="213"/>
      <c r="G48" s="213"/>
      <c r="H48" s="213"/>
      <c r="I48" s="213"/>
      <c r="J48" s="213"/>
      <c r="K48" s="213"/>
      <c r="L48" s="213"/>
      <c r="M48" s="213"/>
      <c r="N48" s="213"/>
      <c r="O48" s="213"/>
      <c r="P48" s="213"/>
      <c r="Q48" s="213"/>
      <c r="R48" s="213"/>
      <c r="S48" s="213"/>
      <c r="T48" s="213"/>
      <c r="U48" s="213"/>
      <c r="V48" s="213"/>
      <c r="W48" s="213"/>
      <c r="X48" s="213"/>
      <c r="Y48" s="213"/>
    </row>
    <row r="49" spans="1:25" hidden="1">
      <c r="A49" s="213">
        <v>18</v>
      </c>
      <c r="B49" s="213"/>
      <c r="C49" s="213"/>
      <c r="D49" s="213"/>
      <c r="E49" s="213"/>
      <c r="F49" s="213"/>
      <c r="G49" s="213"/>
      <c r="H49" s="213"/>
      <c r="I49" s="213"/>
      <c r="J49" s="213"/>
      <c r="K49" s="213"/>
      <c r="L49" s="213"/>
      <c r="M49" s="213"/>
      <c r="N49" s="213"/>
      <c r="O49" s="213"/>
      <c r="P49" s="213"/>
      <c r="Q49" s="213"/>
      <c r="R49" s="213"/>
      <c r="S49" s="213"/>
      <c r="T49" s="213"/>
      <c r="U49" s="213"/>
      <c r="V49" s="213"/>
      <c r="W49" s="213"/>
      <c r="X49" s="213"/>
      <c r="Y49" s="213"/>
    </row>
    <row r="50" spans="1:25" hidden="1">
      <c r="A50" s="213">
        <v>19</v>
      </c>
      <c r="B50" s="213"/>
      <c r="C50" s="213"/>
      <c r="D50" s="213"/>
      <c r="E50" s="213"/>
      <c r="F50" s="213"/>
      <c r="G50" s="213"/>
      <c r="H50" s="213"/>
      <c r="I50" s="213"/>
      <c r="J50" s="213"/>
      <c r="K50" s="213"/>
      <c r="L50" s="213"/>
      <c r="M50" s="213"/>
      <c r="N50" s="213"/>
      <c r="O50" s="213"/>
      <c r="P50" s="213"/>
      <c r="Q50" s="213"/>
      <c r="R50" s="213"/>
      <c r="S50" s="213"/>
      <c r="T50" s="213"/>
      <c r="U50" s="213"/>
      <c r="V50" s="213"/>
      <c r="W50" s="213"/>
      <c r="X50" s="213"/>
      <c r="Y50" s="213"/>
    </row>
    <row r="51" spans="1:25" hidden="1">
      <c r="A51" s="213">
        <v>20</v>
      </c>
      <c r="B51" s="213"/>
      <c r="C51" s="213"/>
      <c r="D51" s="213"/>
      <c r="E51" s="213"/>
      <c r="F51" s="213"/>
      <c r="G51" s="213"/>
      <c r="H51" s="213"/>
      <c r="I51" s="213"/>
      <c r="J51" s="213"/>
      <c r="K51" s="213"/>
      <c r="L51" s="213"/>
      <c r="M51" s="213"/>
      <c r="N51" s="213"/>
      <c r="O51" s="213"/>
      <c r="P51" s="213"/>
      <c r="Q51" s="213"/>
      <c r="R51" s="213"/>
      <c r="S51" s="213"/>
      <c r="T51" s="213"/>
      <c r="U51" s="213"/>
      <c r="V51" s="213"/>
      <c r="W51" s="213"/>
      <c r="X51" s="213"/>
      <c r="Y51" s="213"/>
    </row>
    <row r="52" spans="1:25" hidden="1">
      <c r="A52" s="213">
        <v>21</v>
      </c>
      <c r="B52" s="213"/>
      <c r="C52" s="213"/>
      <c r="D52" s="213"/>
      <c r="E52" s="213"/>
      <c r="F52" s="213"/>
      <c r="G52" s="213"/>
      <c r="H52" s="213"/>
      <c r="I52" s="213"/>
      <c r="J52" s="213"/>
      <c r="K52" s="213"/>
      <c r="L52" s="213"/>
      <c r="M52" s="213"/>
      <c r="N52" s="213"/>
      <c r="O52" s="213"/>
      <c r="P52" s="213"/>
      <c r="Q52" s="213"/>
      <c r="R52" s="213"/>
      <c r="S52" s="213"/>
      <c r="T52" s="213"/>
      <c r="U52" s="213"/>
      <c r="V52" s="213"/>
      <c r="W52" s="213"/>
      <c r="X52" s="213"/>
      <c r="Y52" s="213"/>
    </row>
    <row r="53" spans="1:25" hidden="1">
      <c r="A53" s="213">
        <v>22</v>
      </c>
      <c r="B53" s="213"/>
      <c r="C53" s="213"/>
      <c r="D53" s="213"/>
      <c r="E53" s="213"/>
      <c r="F53" s="213"/>
      <c r="G53" s="213"/>
      <c r="H53" s="213"/>
      <c r="I53" s="213"/>
      <c r="J53" s="213"/>
      <c r="K53" s="213"/>
      <c r="L53" s="213"/>
      <c r="M53" s="213"/>
      <c r="N53" s="213"/>
      <c r="O53" s="213"/>
      <c r="P53" s="213"/>
      <c r="Q53" s="213"/>
      <c r="R53" s="213"/>
      <c r="S53" s="213"/>
      <c r="T53" s="213"/>
      <c r="U53" s="213"/>
      <c r="V53" s="213"/>
      <c r="W53" s="213"/>
      <c r="X53" s="213"/>
      <c r="Y53" s="213"/>
    </row>
    <row r="54" spans="1:25" hidden="1">
      <c r="A54" s="213">
        <v>23</v>
      </c>
      <c r="B54" s="213"/>
      <c r="C54" s="213"/>
      <c r="D54" s="213"/>
      <c r="E54" s="213"/>
      <c r="F54" s="213"/>
      <c r="G54" s="213"/>
      <c r="H54" s="213"/>
      <c r="I54" s="213"/>
      <c r="J54" s="213"/>
      <c r="K54" s="213"/>
      <c r="L54" s="213"/>
      <c r="M54" s="213"/>
      <c r="N54" s="213"/>
      <c r="O54" s="213"/>
      <c r="P54" s="213"/>
      <c r="Q54" s="213"/>
      <c r="R54" s="213"/>
      <c r="S54" s="213"/>
      <c r="T54" s="213"/>
      <c r="U54" s="213"/>
      <c r="V54" s="213"/>
      <c r="W54" s="213"/>
      <c r="X54" s="213"/>
      <c r="Y54" s="213"/>
    </row>
    <row r="55" spans="1:25" hidden="1">
      <c r="A55" s="213">
        <v>24</v>
      </c>
      <c r="B55" s="213"/>
      <c r="C55" s="213"/>
      <c r="D55" s="213"/>
      <c r="E55" s="213"/>
      <c r="F55" s="213"/>
      <c r="G55" s="213"/>
      <c r="H55" s="213"/>
      <c r="I55" s="213"/>
      <c r="J55" s="213"/>
      <c r="K55" s="213"/>
      <c r="L55" s="213"/>
      <c r="M55" s="213"/>
      <c r="N55" s="213"/>
      <c r="O55" s="213"/>
      <c r="P55" s="213"/>
      <c r="Q55" s="213"/>
      <c r="R55" s="213"/>
      <c r="S55" s="213"/>
      <c r="T55" s="213"/>
      <c r="U55" s="213"/>
      <c r="V55" s="213"/>
      <c r="W55" s="213"/>
      <c r="X55" s="213"/>
      <c r="Y55" s="213"/>
    </row>
    <row r="56" spans="1:25" hidden="1">
      <c r="A56" s="213">
        <v>25</v>
      </c>
      <c r="B56" s="213"/>
      <c r="C56" s="213"/>
      <c r="D56" s="213"/>
      <c r="E56" s="213"/>
      <c r="F56" s="213"/>
      <c r="G56" s="213"/>
      <c r="H56" s="213"/>
      <c r="I56" s="213"/>
      <c r="J56" s="213"/>
      <c r="K56" s="213"/>
      <c r="L56" s="213"/>
      <c r="M56" s="213"/>
      <c r="N56" s="213"/>
      <c r="O56" s="213"/>
      <c r="P56" s="213"/>
      <c r="Q56" s="213"/>
      <c r="R56" s="213"/>
      <c r="S56" s="213"/>
      <c r="T56" s="213"/>
      <c r="U56" s="213"/>
      <c r="V56" s="213"/>
      <c r="W56" s="213"/>
      <c r="X56" s="213"/>
      <c r="Y56" s="213"/>
    </row>
    <row r="57" spans="1:25" hidden="1">
      <c r="A57" s="213">
        <v>26</v>
      </c>
      <c r="B57" s="213"/>
      <c r="C57" s="213"/>
      <c r="D57" s="213"/>
      <c r="E57" s="213"/>
      <c r="F57" s="213"/>
      <c r="G57" s="213"/>
      <c r="H57" s="213"/>
      <c r="I57" s="213"/>
      <c r="J57" s="213"/>
      <c r="K57" s="213"/>
      <c r="L57" s="213"/>
      <c r="M57" s="213"/>
      <c r="N57" s="213"/>
      <c r="O57" s="213"/>
      <c r="P57" s="213"/>
      <c r="Q57" s="213"/>
      <c r="R57" s="213"/>
      <c r="S57" s="213"/>
      <c r="T57" s="213"/>
      <c r="U57" s="213"/>
      <c r="V57" s="213"/>
      <c r="W57" s="213"/>
      <c r="X57" s="213"/>
      <c r="Y57" s="213"/>
    </row>
    <row r="58" spans="1:25" hidden="1">
      <c r="A58" s="213">
        <v>27</v>
      </c>
      <c r="B58" s="213"/>
      <c r="C58" s="213"/>
      <c r="D58" s="213"/>
      <c r="E58" s="213"/>
      <c r="F58" s="213"/>
      <c r="G58" s="213"/>
      <c r="H58" s="213"/>
      <c r="I58" s="213"/>
      <c r="J58" s="213"/>
      <c r="K58" s="213"/>
      <c r="L58" s="213"/>
      <c r="M58" s="213"/>
      <c r="N58" s="213"/>
      <c r="O58" s="213"/>
      <c r="P58" s="213"/>
      <c r="Q58" s="213"/>
      <c r="R58" s="213"/>
      <c r="S58" s="213"/>
      <c r="T58" s="213"/>
      <c r="U58" s="213"/>
      <c r="V58" s="213"/>
      <c r="W58" s="213"/>
      <c r="X58" s="213"/>
      <c r="Y58" s="213"/>
    </row>
    <row r="59" spans="1:25" hidden="1">
      <c r="A59" s="213">
        <v>28</v>
      </c>
      <c r="B59" s="213"/>
      <c r="C59" s="213"/>
      <c r="D59" s="213"/>
      <c r="E59" s="213"/>
      <c r="F59" s="213"/>
      <c r="G59" s="213"/>
      <c r="H59" s="213"/>
      <c r="I59" s="213"/>
      <c r="J59" s="213"/>
      <c r="K59" s="213"/>
      <c r="L59" s="213"/>
      <c r="M59" s="213"/>
      <c r="N59" s="213"/>
      <c r="O59" s="213"/>
      <c r="P59" s="213"/>
      <c r="Q59" s="213"/>
      <c r="R59" s="213"/>
      <c r="S59" s="213"/>
      <c r="T59" s="213"/>
      <c r="U59" s="213"/>
      <c r="V59" s="213"/>
      <c r="W59" s="213"/>
      <c r="X59" s="213"/>
      <c r="Y59" s="213"/>
    </row>
    <row r="60" spans="1:25" hidden="1">
      <c r="A60" s="213">
        <v>29</v>
      </c>
      <c r="B60" s="213"/>
      <c r="C60" s="213"/>
      <c r="D60" s="213"/>
      <c r="E60" s="213"/>
      <c r="F60" s="213"/>
      <c r="G60" s="213"/>
      <c r="H60" s="213"/>
      <c r="I60" s="213"/>
      <c r="J60" s="213"/>
      <c r="K60" s="213"/>
      <c r="L60" s="213"/>
      <c r="M60" s="213"/>
      <c r="N60" s="213"/>
      <c r="O60" s="213"/>
      <c r="P60" s="213"/>
      <c r="Q60" s="213"/>
      <c r="R60" s="213"/>
      <c r="S60" s="213"/>
      <c r="T60" s="213"/>
      <c r="U60" s="213"/>
      <c r="V60" s="213"/>
      <c r="W60" s="213"/>
      <c r="X60" s="213"/>
      <c r="Y60" s="213"/>
    </row>
    <row r="61" spans="1:25" hidden="1">
      <c r="A61" s="213">
        <v>30</v>
      </c>
      <c r="B61" s="213"/>
      <c r="C61" s="213"/>
      <c r="D61" s="213"/>
      <c r="E61" s="213"/>
      <c r="F61" s="213"/>
      <c r="G61" s="213"/>
      <c r="H61" s="213"/>
      <c r="I61" s="213"/>
      <c r="J61" s="213"/>
      <c r="K61" s="213"/>
      <c r="L61" s="213"/>
      <c r="M61" s="213"/>
      <c r="N61" s="213"/>
      <c r="O61" s="213"/>
      <c r="P61" s="213"/>
      <c r="Q61" s="213"/>
      <c r="R61" s="213"/>
      <c r="S61" s="213"/>
      <c r="T61" s="213"/>
      <c r="U61" s="213"/>
      <c r="V61" s="213"/>
      <c r="W61" s="213"/>
      <c r="X61" s="213"/>
      <c r="Y61" s="213"/>
    </row>
    <row r="62" spans="1:25" hidden="1">
      <c r="A62" s="213">
        <v>31</v>
      </c>
      <c r="B62" s="213"/>
      <c r="C62" s="213"/>
      <c r="D62" s="213"/>
      <c r="E62" s="213"/>
      <c r="F62" s="213"/>
      <c r="G62" s="213"/>
      <c r="H62" s="213"/>
      <c r="I62" s="213"/>
      <c r="J62" s="213"/>
      <c r="K62" s="213"/>
      <c r="L62" s="213"/>
      <c r="M62" s="213"/>
      <c r="N62" s="213"/>
      <c r="O62" s="213"/>
      <c r="P62" s="213"/>
      <c r="Q62" s="213"/>
      <c r="R62" s="213"/>
      <c r="S62" s="213"/>
      <c r="T62" s="213"/>
      <c r="U62" s="213"/>
      <c r="V62" s="213"/>
      <c r="W62" s="213"/>
      <c r="X62" s="213"/>
      <c r="Y62" s="213"/>
    </row>
    <row r="63" spans="1:25" hidden="1">
      <c r="A63" s="213">
        <v>32</v>
      </c>
      <c r="B63" s="213"/>
      <c r="C63" s="213"/>
      <c r="D63" s="213"/>
      <c r="E63" s="213"/>
      <c r="F63" s="213"/>
      <c r="G63" s="213"/>
      <c r="H63" s="213"/>
      <c r="I63" s="213"/>
      <c r="J63" s="213"/>
      <c r="K63" s="213"/>
      <c r="L63" s="213"/>
      <c r="M63" s="213"/>
      <c r="N63" s="213"/>
      <c r="O63" s="213"/>
      <c r="P63" s="213"/>
      <c r="Q63" s="213"/>
      <c r="R63" s="213"/>
      <c r="S63" s="213"/>
      <c r="T63" s="213"/>
      <c r="U63" s="213"/>
      <c r="V63" s="213"/>
      <c r="W63" s="213"/>
      <c r="X63" s="213"/>
      <c r="Y63" s="213"/>
    </row>
    <row r="64" spans="1:25" hidden="1">
      <c r="A64" s="213">
        <v>33</v>
      </c>
      <c r="B64" s="213"/>
      <c r="C64" s="213"/>
      <c r="D64" s="213"/>
      <c r="E64" s="213"/>
      <c r="F64" s="213"/>
      <c r="G64" s="213"/>
      <c r="H64" s="213"/>
      <c r="I64" s="213"/>
      <c r="J64" s="213"/>
      <c r="K64" s="213"/>
      <c r="L64" s="213"/>
      <c r="M64" s="213"/>
      <c r="N64" s="213"/>
      <c r="O64" s="213"/>
      <c r="P64" s="213"/>
      <c r="Q64" s="213"/>
      <c r="R64" s="213"/>
      <c r="S64" s="213"/>
      <c r="T64" s="213"/>
      <c r="U64" s="213"/>
      <c r="V64" s="213"/>
      <c r="W64" s="213"/>
      <c r="X64" s="213"/>
      <c r="Y64" s="213"/>
    </row>
    <row r="65" spans="1:25" hidden="1">
      <c r="A65" s="213">
        <v>34</v>
      </c>
      <c r="B65" s="213"/>
      <c r="C65" s="213"/>
      <c r="D65" s="213"/>
      <c r="E65" s="213"/>
      <c r="F65" s="213"/>
      <c r="G65" s="213"/>
      <c r="H65" s="213"/>
      <c r="I65" s="213"/>
      <c r="J65" s="213"/>
      <c r="K65" s="213"/>
      <c r="L65" s="213"/>
      <c r="M65" s="213"/>
      <c r="N65" s="213"/>
      <c r="O65" s="213"/>
      <c r="P65" s="213"/>
      <c r="Q65" s="213"/>
      <c r="R65" s="213"/>
      <c r="S65" s="213"/>
      <c r="T65" s="213"/>
      <c r="U65" s="213"/>
      <c r="V65" s="213"/>
      <c r="W65" s="213"/>
      <c r="X65" s="213"/>
      <c r="Y65" s="213"/>
    </row>
    <row r="66" spans="1:25" hidden="1">
      <c r="A66" s="213">
        <v>35</v>
      </c>
      <c r="B66" s="213"/>
      <c r="C66" s="213"/>
      <c r="D66" s="213"/>
      <c r="E66" s="213"/>
      <c r="F66" s="213"/>
      <c r="G66" s="213"/>
      <c r="H66" s="213"/>
      <c r="I66" s="213"/>
      <c r="J66" s="213"/>
      <c r="K66" s="213"/>
      <c r="L66" s="213"/>
      <c r="M66" s="213"/>
      <c r="N66" s="213"/>
      <c r="O66" s="213"/>
      <c r="P66" s="213"/>
      <c r="Q66" s="213"/>
      <c r="R66" s="213"/>
      <c r="S66" s="213"/>
      <c r="T66" s="213"/>
      <c r="U66" s="213"/>
      <c r="V66" s="213"/>
      <c r="W66" s="213"/>
      <c r="X66" s="213"/>
      <c r="Y66" s="213"/>
    </row>
    <row r="67" spans="1:25" hidden="1">
      <c r="A67" s="213">
        <v>36</v>
      </c>
      <c r="B67" s="213"/>
      <c r="C67" s="213"/>
      <c r="D67" s="213"/>
      <c r="E67" s="213"/>
      <c r="F67" s="213"/>
      <c r="G67" s="213"/>
      <c r="H67" s="213"/>
      <c r="I67" s="213"/>
      <c r="J67" s="213"/>
      <c r="K67" s="213"/>
      <c r="L67" s="213"/>
      <c r="M67" s="213"/>
      <c r="N67" s="213"/>
      <c r="O67" s="213"/>
      <c r="P67" s="213"/>
      <c r="Q67" s="213"/>
      <c r="R67" s="213"/>
      <c r="S67" s="213"/>
      <c r="T67" s="213"/>
      <c r="U67" s="213"/>
      <c r="V67" s="213"/>
      <c r="W67" s="213"/>
      <c r="X67" s="213"/>
      <c r="Y67" s="213"/>
    </row>
    <row r="68" spans="1:25" hidden="1">
      <c r="A68" s="213">
        <v>37</v>
      </c>
      <c r="B68" s="213"/>
      <c r="C68" s="213"/>
      <c r="D68" s="213"/>
      <c r="E68" s="213"/>
      <c r="F68" s="213"/>
      <c r="G68" s="213"/>
      <c r="H68" s="213"/>
      <c r="I68" s="213"/>
      <c r="J68" s="213"/>
      <c r="K68" s="213"/>
      <c r="L68" s="213"/>
      <c r="M68" s="213"/>
      <c r="N68" s="213"/>
      <c r="O68" s="213"/>
      <c r="P68" s="213"/>
      <c r="Q68" s="213"/>
      <c r="R68" s="213"/>
      <c r="S68" s="213"/>
      <c r="T68" s="213"/>
      <c r="U68" s="213"/>
      <c r="V68" s="213"/>
      <c r="W68" s="213"/>
      <c r="X68" s="213"/>
      <c r="Y68" s="213"/>
    </row>
    <row r="69" spans="1:25" hidden="1">
      <c r="A69" s="213">
        <v>38</v>
      </c>
      <c r="B69" s="213"/>
      <c r="C69" s="213"/>
      <c r="D69" s="213"/>
      <c r="E69" s="213"/>
      <c r="F69" s="213"/>
      <c r="G69" s="213"/>
      <c r="H69" s="213"/>
      <c r="I69" s="213"/>
      <c r="J69" s="213"/>
      <c r="K69" s="213"/>
      <c r="L69" s="213"/>
      <c r="M69" s="213"/>
      <c r="N69" s="213"/>
      <c r="O69" s="213"/>
      <c r="P69" s="213"/>
      <c r="Q69" s="213"/>
      <c r="R69" s="213"/>
      <c r="S69" s="213"/>
      <c r="T69" s="213"/>
      <c r="U69" s="213"/>
      <c r="V69" s="213"/>
      <c r="W69" s="213"/>
      <c r="X69" s="213"/>
      <c r="Y69" s="213"/>
    </row>
    <row r="70" spans="1:25" hidden="1">
      <c r="A70" s="213">
        <v>39</v>
      </c>
      <c r="B70" s="213"/>
      <c r="C70" s="213"/>
      <c r="D70" s="213"/>
      <c r="E70" s="213"/>
      <c r="F70" s="213"/>
      <c r="G70" s="213"/>
      <c r="H70" s="213"/>
      <c r="I70" s="213"/>
      <c r="J70" s="213"/>
      <c r="K70" s="213"/>
      <c r="L70" s="213"/>
      <c r="M70" s="213"/>
      <c r="N70" s="213"/>
      <c r="O70" s="213"/>
      <c r="P70" s="213"/>
      <c r="Q70" s="213"/>
      <c r="R70" s="213"/>
      <c r="S70" s="213"/>
      <c r="T70" s="213"/>
      <c r="U70" s="213"/>
      <c r="V70" s="213"/>
      <c r="W70" s="213"/>
      <c r="X70" s="213"/>
      <c r="Y70" s="213"/>
    </row>
    <row r="71" spans="1:25" hidden="1">
      <c r="A71" s="213">
        <v>40</v>
      </c>
      <c r="B71" s="213"/>
      <c r="C71" s="213"/>
      <c r="D71" s="213"/>
      <c r="E71" s="213"/>
      <c r="F71" s="213"/>
      <c r="G71" s="213"/>
      <c r="H71" s="213"/>
      <c r="I71" s="213"/>
      <c r="J71" s="213"/>
      <c r="K71" s="213"/>
      <c r="L71" s="213"/>
      <c r="M71" s="213"/>
      <c r="N71" s="213"/>
      <c r="O71" s="213"/>
      <c r="P71" s="213"/>
      <c r="Q71" s="213"/>
      <c r="R71" s="213"/>
      <c r="S71" s="213"/>
      <c r="T71" s="213"/>
      <c r="U71" s="213"/>
      <c r="V71" s="213"/>
      <c r="W71" s="213"/>
      <c r="X71" s="213"/>
      <c r="Y71" s="213"/>
    </row>
  </sheetData>
  <sheetProtection algorithmName="SHA-512" hashValue="Q7ABAnnyssxGTNkjwuMpEfjYUHJKpdNO9eB/3nZCn3ZGvVlPpKzYhDyirYZyQJbY8scbnX5yuUBTA286kfToRA==" saltValue="mzJ5n5VC9IDYO28RGNiASA==" spinCount="100000" sheet="1" selectLockedCells="1"/>
  <protectedRanges>
    <protectedRange sqref="T25 P7:Q7 T23 P25 R6:S7 N6:N7 O6:Q6 J7:M7 E6:M6 P10 T6:T10 C6:D7" name="Range1"/>
    <protectedRange sqref="T15:T16" name="Range3"/>
    <protectedRange sqref="H23:O23 T20:T22" name="Range5"/>
    <protectedRange sqref="K28" name="Range8"/>
    <protectedRange sqref="P23" name="Range5_4"/>
    <protectedRange sqref="Q14:S22" name="Range5_1"/>
    <protectedRange sqref="N14:P22" name="Range5_2"/>
  </protectedRanges>
  <mergeCells count="61">
    <mergeCell ref="Q27:S27"/>
    <mergeCell ref="V27:Z27"/>
    <mergeCell ref="Q23:S23"/>
    <mergeCell ref="B24:N24"/>
    <mergeCell ref="K25:M25"/>
    <mergeCell ref="Q25:S25"/>
    <mergeCell ref="V25:Z25"/>
    <mergeCell ref="B26:I26"/>
    <mergeCell ref="C21:J21"/>
    <mergeCell ref="K21:M21"/>
    <mergeCell ref="N21:P21"/>
    <mergeCell ref="Q21:S21"/>
    <mergeCell ref="C22:J22"/>
    <mergeCell ref="K22:M22"/>
    <mergeCell ref="N22:P22"/>
    <mergeCell ref="Q22:S22"/>
    <mergeCell ref="C19:J19"/>
    <mergeCell ref="K19:M19"/>
    <mergeCell ref="N19:P19"/>
    <mergeCell ref="Q19:S19"/>
    <mergeCell ref="C20:J20"/>
    <mergeCell ref="K20:M20"/>
    <mergeCell ref="N20:P20"/>
    <mergeCell ref="Q20:S20"/>
    <mergeCell ref="Q17:S17"/>
    <mergeCell ref="C18:J18"/>
    <mergeCell ref="K18:M18"/>
    <mergeCell ref="N18:P18"/>
    <mergeCell ref="Q18:S18"/>
    <mergeCell ref="C14:J14"/>
    <mergeCell ref="K14:M14"/>
    <mergeCell ref="N14:P14"/>
    <mergeCell ref="Q14:S14"/>
    <mergeCell ref="V14:Z22"/>
    <mergeCell ref="C15:J15"/>
    <mergeCell ref="K15:M15"/>
    <mergeCell ref="N15:P15"/>
    <mergeCell ref="Q15:S15"/>
    <mergeCell ref="C16:J16"/>
    <mergeCell ref="K16:M16"/>
    <mergeCell ref="N16:P16"/>
    <mergeCell ref="Q16:S16"/>
    <mergeCell ref="C17:J17"/>
    <mergeCell ref="K17:M17"/>
    <mergeCell ref="N17:P17"/>
    <mergeCell ref="V10:Z10"/>
    <mergeCell ref="B11:H11"/>
    <mergeCell ref="C13:J13"/>
    <mergeCell ref="K13:M13"/>
    <mergeCell ref="N13:P13"/>
    <mergeCell ref="Q13:S13"/>
    <mergeCell ref="Q12:S12"/>
    <mergeCell ref="B9:M9"/>
    <mergeCell ref="K10:M10"/>
    <mergeCell ref="Q10:S10"/>
    <mergeCell ref="B4:T4"/>
    <mergeCell ref="B6:O6"/>
    <mergeCell ref="K7:M7"/>
    <mergeCell ref="Q7:S7"/>
    <mergeCell ref="B8:H8"/>
    <mergeCell ref="Q8:S8"/>
  </mergeCells>
  <dataValidations count="1">
    <dataValidation type="list" allowBlank="1" showInputMessage="1" showErrorMessage="1" sqref="B14:B22 IX14:IX22 ST14:ST22 ACP14:ACP22 AML14:AML22 AWH14:AWH22 BGD14:BGD22 BPZ14:BPZ22 BZV14:BZV22 CJR14:CJR22 CTN14:CTN22 DDJ14:DDJ22 DNF14:DNF22 DXB14:DXB22 EGX14:EGX22 EQT14:EQT22 FAP14:FAP22 FKL14:FKL22 FUH14:FUH22 GED14:GED22 GNZ14:GNZ22 GXV14:GXV22 HHR14:HHR22 HRN14:HRN22 IBJ14:IBJ22 ILF14:ILF22 IVB14:IVB22 JEX14:JEX22 JOT14:JOT22 JYP14:JYP22 KIL14:KIL22 KSH14:KSH22 LCD14:LCD22 LLZ14:LLZ22 LVV14:LVV22 MFR14:MFR22 MPN14:MPN22 MZJ14:MZJ22 NJF14:NJF22 NTB14:NTB22 OCX14:OCX22 OMT14:OMT22 OWP14:OWP22 PGL14:PGL22 PQH14:PQH22 QAD14:QAD22 QJZ14:QJZ22 QTV14:QTV22 RDR14:RDR22 RNN14:RNN22 RXJ14:RXJ22 SHF14:SHF22 SRB14:SRB22 TAX14:TAX22 TKT14:TKT22 TUP14:TUP22 UEL14:UEL22 UOH14:UOH22 UYD14:UYD22 VHZ14:VHZ22 VRV14:VRV22 WBR14:WBR22 WLN14:WLN22 WVJ14:WVJ22 B65550:B65558 IX65550:IX65558 ST65550:ST65558 ACP65550:ACP65558 AML65550:AML65558 AWH65550:AWH65558 BGD65550:BGD65558 BPZ65550:BPZ65558 BZV65550:BZV65558 CJR65550:CJR65558 CTN65550:CTN65558 DDJ65550:DDJ65558 DNF65550:DNF65558 DXB65550:DXB65558 EGX65550:EGX65558 EQT65550:EQT65558 FAP65550:FAP65558 FKL65550:FKL65558 FUH65550:FUH65558 GED65550:GED65558 GNZ65550:GNZ65558 GXV65550:GXV65558 HHR65550:HHR65558 HRN65550:HRN65558 IBJ65550:IBJ65558 ILF65550:ILF65558 IVB65550:IVB65558 JEX65550:JEX65558 JOT65550:JOT65558 JYP65550:JYP65558 KIL65550:KIL65558 KSH65550:KSH65558 LCD65550:LCD65558 LLZ65550:LLZ65558 LVV65550:LVV65558 MFR65550:MFR65558 MPN65550:MPN65558 MZJ65550:MZJ65558 NJF65550:NJF65558 NTB65550:NTB65558 OCX65550:OCX65558 OMT65550:OMT65558 OWP65550:OWP65558 PGL65550:PGL65558 PQH65550:PQH65558 QAD65550:QAD65558 QJZ65550:QJZ65558 QTV65550:QTV65558 RDR65550:RDR65558 RNN65550:RNN65558 RXJ65550:RXJ65558 SHF65550:SHF65558 SRB65550:SRB65558 TAX65550:TAX65558 TKT65550:TKT65558 TUP65550:TUP65558 UEL65550:UEL65558 UOH65550:UOH65558 UYD65550:UYD65558 VHZ65550:VHZ65558 VRV65550:VRV65558 WBR65550:WBR65558 WLN65550:WLN65558 WVJ65550:WVJ65558 B131086:B131094 IX131086:IX131094 ST131086:ST131094 ACP131086:ACP131094 AML131086:AML131094 AWH131086:AWH131094 BGD131086:BGD131094 BPZ131086:BPZ131094 BZV131086:BZV131094 CJR131086:CJR131094 CTN131086:CTN131094 DDJ131086:DDJ131094 DNF131086:DNF131094 DXB131086:DXB131094 EGX131086:EGX131094 EQT131086:EQT131094 FAP131086:FAP131094 FKL131086:FKL131094 FUH131086:FUH131094 GED131086:GED131094 GNZ131086:GNZ131094 GXV131086:GXV131094 HHR131086:HHR131094 HRN131086:HRN131094 IBJ131086:IBJ131094 ILF131086:ILF131094 IVB131086:IVB131094 JEX131086:JEX131094 JOT131086:JOT131094 JYP131086:JYP131094 KIL131086:KIL131094 KSH131086:KSH131094 LCD131086:LCD131094 LLZ131086:LLZ131094 LVV131086:LVV131094 MFR131086:MFR131094 MPN131086:MPN131094 MZJ131086:MZJ131094 NJF131086:NJF131094 NTB131086:NTB131094 OCX131086:OCX131094 OMT131086:OMT131094 OWP131086:OWP131094 PGL131086:PGL131094 PQH131086:PQH131094 QAD131086:QAD131094 QJZ131086:QJZ131094 QTV131086:QTV131094 RDR131086:RDR131094 RNN131086:RNN131094 RXJ131086:RXJ131094 SHF131086:SHF131094 SRB131086:SRB131094 TAX131086:TAX131094 TKT131086:TKT131094 TUP131086:TUP131094 UEL131086:UEL131094 UOH131086:UOH131094 UYD131086:UYD131094 VHZ131086:VHZ131094 VRV131086:VRV131094 WBR131086:WBR131094 WLN131086:WLN131094 WVJ131086:WVJ131094 B196622:B196630 IX196622:IX196630 ST196622:ST196630 ACP196622:ACP196630 AML196622:AML196630 AWH196622:AWH196630 BGD196622:BGD196630 BPZ196622:BPZ196630 BZV196622:BZV196630 CJR196622:CJR196630 CTN196622:CTN196630 DDJ196622:DDJ196630 DNF196622:DNF196630 DXB196622:DXB196630 EGX196622:EGX196630 EQT196622:EQT196630 FAP196622:FAP196630 FKL196622:FKL196630 FUH196622:FUH196630 GED196622:GED196630 GNZ196622:GNZ196630 GXV196622:GXV196630 HHR196622:HHR196630 HRN196622:HRN196630 IBJ196622:IBJ196630 ILF196622:ILF196630 IVB196622:IVB196630 JEX196622:JEX196630 JOT196622:JOT196630 JYP196622:JYP196630 KIL196622:KIL196630 KSH196622:KSH196630 LCD196622:LCD196630 LLZ196622:LLZ196630 LVV196622:LVV196630 MFR196622:MFR196630 MPN196622:MPN196630 MZJ196622:MZJ196630 NJF196622:NJF196630 NTB196622:NTB196630 OCX196622:OCX196630 OMT196622:OMT196630 OWP196622:OWP196630 PGL196622:PGL196630 PQH196622:PQH196630 QAD196622:QAD196630 QJZ196622:QJZ196630 QTV196622:QTV196630 RDR196622:RDR196630 RNN196622:RNN196630 RXJ196622:RXJ196630 SHF196622:SHF196630 SRB196622:SRB196630 TAX196622:TAX196630 TKT196622:TKT196630 TUP196622:TUP196630 UEL196622:UEL196630 UOH196622:UOH196630 UYD196622:UYD196630 VHZ196622:VHZ196630 VRV196622:VRV196630 WBR196622:WBR196630 WLN196622:WLN196630 WVJ196622:WVJ196630 B262158:B262166 IX262158:IX262166 ST262158:ST262166 ACP262158:ACP262166 AML262158:AML262166 AWH262158:AWH262166 BGD262158:BGD262166 BPZ262158:BPZ262166 BZV262158:BZV262166 CJR262158:CJR262166 CTN262158:CTN262166 DDJ262158:DDJ262166 DNF262158:DNF262166 DXB262158:DXB262166 EGX262158:EGX262166 EQT262158:EQT262166 FAP262158:FAP262166 FKL262158:FKL262166 FUH262158:FUH262166 GED262158:GED262166 GNZ262158:GNZ262166 GXV262158:GXV262166 HHR262158:HHR262166 HRN262158:HRN262166 IBJ262158:IBJ262166 ILF262158:ILF262166 IVB262158:IVB262166 JEX262158:JEX262166 JOT262158:JOT262166 JYP262158:JYP262166 KIL262158:KIL262166 KSH262158:KSH262166 LCD262158:LCD262166 LLZ262158:LLZ262166 LVV262158:LVV262166 MFR262158:MFR262166 MPN262158:MPN262166 MZJ262158:MZJ262166 NJF262158:NJF262166 NTB262158:NTB262166 OCX262158:OCX262166 OMT262158:OMT262166 OWP262158:OWP262166 PGL262158:PGL262166 PQH262158:PQH262166 QAD262158:QAD262166 QJZ262158:QJZ262166 QTV262158:QTV262166 RDR262158:RDR262166 RNN262158:RNN262166 RXJ262158:RXJ262166 SHF262158:SHF262166 SRB262158:SRB262166 TAX262158:TAX262166 TKT262158:TKT262166 TUP262158:TUP262166 UEL262158:UEL262166 UOH262158:UOH262166 UYD262158:UYD262166 VHZ262158:VHZ262166 VRV262158:VRV262166 WBR262158:WBR262166 WLN262158:WLN262166 WVJ262158:WVJ262166 B327694:B327702 IX327694:IX327702 ST327694:ST327702 ACP327694:ACP327702 AML327694:AML327702 AWH327694:AWH327702 BGD327694:BGD327702 BPZ327694:BPZ327702 BZV327694:BZV327702 CJR327694:CJR327702 CTN327694:CTN327702 DDJ327694:DDJ327702 DNF327694:DNF327702 DXB327694:DXB327702 EGX327694:EGX327702 EQT327694:EQT327702 FAP327694:FAP327702 FKL327694:FKL327702 FUH327694:FUH327702 GED327694:GED327702 GNZ327694:GNZ327702 GXV327694:GXV327702 HHR327694:HHR327702 HRN327694:HRN327702 IBJ327694:IBJ327702 ILF327694:ILF327702 IVB327694:IVB327702 JEX327694:JEX327702 JOT327694:JOT327702 JYP327694:JYP327702 KIL327694:KIL327702 KSH327694:KSH327702 LCD327694:LCD327702 LLZ327694:LLZ327702 LVV327694:LVV327702 MFR327694:MFR327702 MPN327694:MPN327702 MZJ327694:MZJ327702 NJF327694:NJF327702 NTB327694:NTB327702 OCX327694:OCX327702 OMT327694:OMT327702 OWP327694:OWP327702 PGL327694:PGL327702 PQH327694:PQH327702 QAD327694:QAD327702 QJZ327694:QJZ327702 QTV327694:QTV327702 RDR327694:RDR327702 RNN327694:RNN327702 RXJ327694:RXJ327702 SHF327694:SHF327702 SRB327694:SRB327702 TAX327694:TAX327702 TKT327694:TKT327702 TUP327694:TUP327702 UEL327694:UEL327702 UOH327694:UOH327702 UYD327694:UYD327702 VHZ327694:VHZ327702 VRV327694:VRV327702 WBR327694:WBR327702 WLN327694:WLN327702 WVJ327694:WVJ327702 B393230:B393238 IX393230:IX393238 ST393230:ST393238 ACP393230:ACP393238 AML393230:AML393238 AWH393230:AWH393238 BGD393230:BGD393238 BPZ393230:BPZ393238 BZV393230:BZV393238 CJR393230:CJR393238 CTN393230:CTN393238 DDJ393230:DDJ393238 DNF393230:DNF393238 DXB393230:DXB393238 EGX393230:EGX393238 EQT393230:EQT393238 FAP393230:FAP393238 FKL393230:FKL393238 FUH393230:FUH393238 GED393230:GED393238 GNZ393230:GNZ393238 GXV393230:GXV393238 HHR393230:HHR393238 HRN393230:HRN393238 IBJ393230:IBJ393238 ILF393230:ILF393238 IVB393230:IVB393238 JEX393230:JEX393238 JOT393230:JOT393238 JYP393230:JYP393238 KIL393230:KIL393238 KSH393230:KSH393238 LCD393230:LCD393238 LLZ393230:LLZ393238 LVV393230:LVV393238 MFR393230:MFR393238 MPN393230:MPN393238 MZJ393230:MZJ393238 NJF393230:NJF393238 NTB393230:NTB393238 OCX393230:OCX393238 OMT393230:OMT393238 OWP393230:OWP393238 PGL393230:PGL393238 PQH393230:PQH393238 QAD393230:QAD393238 QJZ393230:QJZ393238 QTV393230:QTV393238 RDR393230:RDR393238 RNN393230:RNN393238 RXJ393230:RXJ393238 SHF393230:SHF393238 SRB393230:SRB393238 TAX393230:TAX393238 TKT393230:TKT393238 TUP393230:TUP393238 UEL393230:UEL393238 UOH393230:UOH393238 UYD393230:UYD393238 VHZ393230:VHZ393238 VRV393230:VRV393238 WBR393230:WBR393238 WLN393230:WLN393238 WVJ393230:WVJ393238 B458766:B458774 IX458766:IX458774 ST458766:ST458774 ACP458766:ACP458774 AML458766:AML458774 AWH458766:AWH458774 BGD458766:BGD458774 BPZ458766:BPZ458774 BZV458766:BZV458774 CJR458766:CJR458774 CTN458766:CTN458774 DDJ458766:DDJ458774 DNF458766:DNF458774 DXB458766:DXB458774 EGX458766:EGX458774 EQT458766:EQT458774 FAP458766:FAP458774 FKL458766:FKL458774 FUH458766:FUH458774 GED458766:GED458774 GNZ458766:GNZ458774 GXV458766:GXV458774 HHR458766:HHR458774 HRN458766:HRN458774 IBJ458766:IBJ458774 ILF458766:ILF458774 IVB458766:IVB458774 JEX458766:JEX458774 JOT458766:JOT458774 JYP458766:JYP458774 KIL458766:KIL458774 KSH458766:KSH458774 LCD458766:LCD458774 LLZ458766:LLZ458774 LVV458766:LVV458774 MFR458766:MFR458774 MPN458766:MPN458774 MZJ458766:MZJ458774 NJF458766:NJF458774 NTB458766:NTB458774 OCX458766:OCX458774 OMT458766:OMT458774 OWP458766:OWP458774 PGL458766:PGL458774 PQH458766:PQH458774 QAD458766:QAD458774 QJZ458766:QJZ458774 QTV458766:QTV458774 RDR458766:RDR458774 RNN458766:RNN458774 RXJ458766:RXJ458774 SHF458766:SHF458774 SRB458766:SRB458774 TAX458766:TAX458774 TKT458766:TKT458774 TUP458766:TUP458774 UEL458766:UEL458774 UOH458766:UOH458774 UYD458766:UYD458774 VHZ458766:VHZ458774 VRV458766:VRV458774 WBR458766:WBR458774 WLN458766:WLN458774 WVJ458766:WVJ458774 B524302:B524310 IX524302:IX524310 ST524302:ST524310 ACP524302:ACP524310 AML524302:AML524310 AWH524302:AWH524310 BGD524302:BGD524310 BPZ524302:BPZ524310 BZV524302:BZV524310 CJR524302:CJR524310 CTN524302:CTN524310 DDJ524302:DDJ524310 DNF524302:DNF524310 DXB524302:DXB524310 EGX524302:EGX524310 EQT524302:EQT524310 FAP524302:FAP524310 FKL524302:FKL524310 FUH524302:FUH524310 GED524302:GED524310 GNZ524302:GNZ524310 GXV524302:GXV524310 HHR524302:HHR524310 HRN524302:HRN524310 IBJ524302:IBJ524310 ILF524302:ILF524310 IVB524302:IVB524310 JEX524302:JEX524310 JOT524302:JOT524310 JYP524302:JYP524310 KIL524302:KIL524310 KSH524302:KSH524310 LCD524302:LCD524310 LLZ524302:LLZ524310 LVV524302:LVV524310 MFR524302:MFR524310 MPN524302:MPN524310 MZJ524302:MZJ524310 NJF524302:NJF524310 NTB524302:NTB524310 OCX524302:OCX524310 OMT524302:OMT524310 OWP524302:OWP524310 PGL524302:PGL524310 PQH524302:PQH524310 QAD524302:QAD524310 QJZ524302:QJZ524310 QTV524302:QTV524310 RDR524302:RDR524310 RNN524302:RNN524310 RXJ524302:RXJ524310 SHF524302:SHF524310 SRB524302:SRB524310 TAX524302:TAX524310 TKT524302:TKT524310 TUP524302:TUP524310 UEL524302:UEL524310 UOH524302:UOH524310 UYD524302:UYD524310 VHZ524302:VHZ524310 VRV524302:VRV524310 WBR524302:WBR524310 WLN524302:WLN524310 WVJ524302:WVJ524310 B589838:B589846 IX589838:IX589846 ST589838:ST589846 ACP589838:ACP589846 AML589838:AML589846 AWH589838:AWH589846 BGD589838:BGD589846 BPZ589838:BPZ589846 BZV589838:BZV589846 CJR589838:CJR589846 CTN589838:CTN589846 DDJ589838:DDJ589846 DNF589838:DNF589846 DXB589838:DXB589846 EGX589838:EGX589846 EQT589838:EQT589846 FAP589838:FAP589846 FKL589838:FKL589846 FUH589838:FUH589846 GED589838:GED589846 GNZ589838:GNZ589846 GXV589838:GXV589846 HHR589838:HHR589846 HRN589838:HRN589846 IBJ589838:IBJ589846 ILF589838:ILF589846 IVB589838:IVB589846 JEX589838:JEX589846 JOT589838:JOT589846 JYP589838:JYP589846 KIL589838:KIL589846 KSH589838:KSH589846 LCD589838:LCD589846 LLZ589838:LLZ589846 LVV589838:LVV589846 MFR589838:MFR589846 MPN589838:MPN589846 MZJ589838:MZJ589846 NJF589838:NJF589846 NTB589838:NTB589846 OCX589838:OCX589846 OMT589838:OMT589846 OWP589838:OWP589846 PGL589838:PGL589846 PQH589838:PQH589846 QAD589838:QAD589846 QJZ589838:QJZ589846 QTV589838:QTV589846 RDR589838:RDR589846 RNN589838:RNN589846 RXJ589838:RXJ589846 SHF589838:SHF589846 SRB589838:SRB589846 TAX589838:TAX589846 TKT589838:TKT589846 TUP589838:TUP589846 UEL589838:UEL589846 UOH589838:UOH589846 UYD589838:UYD589846 VHZ589838:VHZ589846 VRV589838:VRV589846 WBR589838:WBR589846 WLN589838:WLN589846 WVJ589838:WVJ589846 B655374:B655382 IX655374:IX655382 ST655374:ST655382 ACP655374:ACP655382 AML655374:AML655382 AWH655374:AWH655382 BGD655374:BGD655382 BPZ655374:BPZ655382 BZV655374:BZV655382 CJR655374:CJR655382 CTN655374:CTN655382 DDJ655374:DDJ655382 DNF655374:DNF655382 DXB655374:DXB655382 EGX655374:EGX655382 EQT655374:EQT655382 FAP655374:FAP655382 FKL655374:FKL655382 FUH655374:FUH655382 GED655374:GED655382 GNZ655374:GNZ655382 GXV655374:GXV655382 HHR655374:HHR655382 HRN655374:HRN655382 IBJ655374:IBJ655382 ILF655374:ILF655382 IVB655374:IVB655382 JEX655374:JEX655382 JOT655374:JOT655382 JYP655374:JYP655382 KIL655374:KIL655382 KSH655374:KSH655382 LCD655374:LCD655382 LLZ655374:LLZ655382 LVV655374:LVV655382 MFR655374:MFR655382 MPN655374:MPN655382 MZJ655374:MZJ655382 NJF655374:NJF655382 NTB655374:NTB655382 OCX655374:OCX655382 OMT655374:OMT655382 OWP655374:OWP655382 PGL655374:PGL655382 PQH655374:PQH655382 QAD655374:QAD655382 QJZ655374:QJZ655382 QTV655374:QTV655382 RDR655374:RDR655382 RNN655374:RNN655382 RXJ655374:RXJ655382 SHF655374:SHF655382 SRB655374:SRB655382 TAX655374:TAX655382 TKT655374:TKT655382 TUP655374:TUP655382 UEL655374:UEL655382 UOH655374:UOH655382 UYD655374:UYD655382 VHZ655374:VHZ655382 VRV655374:VRV655382 WBR655374:WBR655382 WLN655374:WLN655382 WVJ655374:WVJ655382 B720910:B720918 IX720910:IX720918 ST720910:ST720918 ACP720910:ACP720918 AML720910:AML720918 AWH720910:AWH720918 BGD720910:BGD720918 BPZ720910:BPZ720918 BZV720910:BZV720918 CJR720910:CJR720918 CTN720910:CTN720918 DDJ720910:DDJ720918 DNF720910:DNF720918 DXB720910:DXB720918 EGX720910:EGX720918 EQT720910:EQT720918 FAP720910:FAP720918 FKL720910:FKL720918 FUH720910:FUH720918 GED720910:GED720918 GNZ720910:GNZ720918 GXV720910:GXV720918 HHR720910:HHR720918 HRN720910:HRN720918 IBJ720910:IBJ720918 ILF720910:ILF720918 IVB720910:IVB720918 JEX720910:JEX720918 JOT720910:JOT720918 JYP720910:JYP720918 KIL720910:KIL720918 KSH720910:KSH720918 LCD720910:LCD720918 LLZ720910:LLZ720918 LVV720910:LVV720918 MFR720910:MFR720918 MPN720910:MPN720918 MZJ720910:MZJ720918 NJF720910:NJF720918 NTB720910:NTB720918 OCX720910:OCX720918 OMT720910:OMT720918 OWP720910:OWP720918 PGL720910:PGL720918 PQH720910:PQH720918 QAD720910:QAD720918 QJZ720910:QJZ720918 QTV720910:QTV720918 RDR720910:RDR720918 RNN720910:RNN720918 RXJ720910:RXJ720918 SHF720910:SHF720918 SRB720910:SRB720918 TAX720910:TAX720918 TKT720910:TKT720918 TUP720910:TUP720918 UEL720910:UEL720918 UOH720910:UOH720918 UYD720910:UYD720918 VHZ720910:VHZ720918 VRV720910:VRV720918 WBR720910:WBR720918 WLN720910:WLN720918 WVJ720910:WVJ720918 B786446:B786454 IX786446:IX786454 ST786446:ST786454 ACP786446:ACP786454 AML786446:AML786454 AWH786446:AWH786454 BGD786446:BGD786454 BPZ786446:BPZ786454 BZV786446:BZV786454 CJR786446:CJR786454 CTN786446:CTN786454 DDJ786446:DDJ786454 DNF786446:DNF786454 DXB786446:DXB786454 EGX786446:EGX786454 EQT786446:EQT786454 FAP786446:FAP786454 FKL786446:FKL786454 FUH786446:FUH786454 GED786446:GED786454 GNZ786446:GNZ786454 GXV786446:GXV786454 HHR786446:HHR786454 HRN786446:HRN786454 IBJ786446:IBJ786454 ILF786446:ILF786454 IVB786446:IVB786454 JEX786446:JEX786454 JOT786446:JOT786454 JYP786446:JYP786454 KIL786446:KIL786454 KSH786446:KSH786454 LCD786446:LCD786454 LLZ786446:LLZ786454 LVV786446:LVV786454 MFR786446:MFR786454 MPN786446:MPN786454 MZJ786446:MZJ786454 NJF786446:NJF786454 NTB786446:NTB786454 OCX786446:OCX786454 OMT786446:OMT786454 OWP786446:OWP786454 PGL786446:PGL786454 PQH786446:PQH786454 QAD786446:QAD786454 QJZ786446:QJZ786454 QTV786446:QTV786454 RDR786446:RDR786454 RNN786446:RNN786454 RXJ786446:RXJ786454 SHF786446:SHF786454 SRB786446:SRB786454 TAX786446:TAX786454 TKT786446:TKT786454 TUP786446:TUP786454 UEL786446:UEL786454 UOH786446:UOH786454 UYD786446:UYD786454 VHZ786446:VHZ786454 VRV786446:VRV786454 WBR786446:WBR786454 WLN786446:WLN786454 WVJ786446:WVJ786454 B851982:B851990 IX851982:IX851990 ST851982:ST851990 ACP851982:ACP851990 AML851982:AML851990 AWH851982:AWH851990 BGD851982:BGD851990 BPZ851982:BPZ851990 BZV851982:BZV851990 CJR851982:CJR851990 CTN851982:CTN851990 DDJ851982:DDJ851990 DNF851982:DNF851990 DXB851982:DXB851990 EGX851982:EGX851990 EQT851982:EQT851990 FAP851982:FAP851990 FKL851982:FKL851990 FUH851982:FUH851990 GED851982:GED851990 GNZ851982:GNZ851990 GXV851982:GXV851990 HHR851982:HHR851990 HRN851982:HRN851990 IBJ851982:IBJ851990 ILF851982:ILF851990 IVB851982:IVB851990 JEX851982:JEX851990 JOT851982:JOT851990 JYP851982:JYP851990 KIL851982:KIL851990 KSH851982:KSH851990 LCD851982:LCD851990 LLZ851982:LLZ851990 LVV851982:LVV851990 MFR851982:MFR851990 MPN851982:MPN851990 MZJ851982:MZJ851990 NJF851982:NJF851990 NTB851982:NTB851990 OCX851982:OCX851990 OMT851982:OMT851990 OWP851982:OWP851990 PGL851982:PGL851990 PQH851982:PQH851990 QAD851982:QAD851990 QJZ851982:QJZ851990 QTV851982:QTV851990 RDR851982:RDR851990 RNN851982:RNN851990 RXJ851982:RXJ851990 SHF851982:SHF851990 SRB851982:SRB851990 TAX851982:TAX851990 TKT851982:TKT851990 TUP851982:TUP851990 UEL851982:UEL851990 UOH851982:UOH851990 UYD851982:UYD851990 VHZ851982:VHZ851990 VRV851982:VRV851990 WBR851982:WBR851990 WLN851982:WLN851990 WVJ851982:WVJ851990 B917518:B917526 IX917518:IX917526 ST917518:ST917526 ACP917518:ACP917526 AML917518:AML917526 AWH917518:AWH917526 BGD917518:BGD917526 BPZ917518:BPZ917526 BZV917518:BZV917526 CJR917518:CJR917526 CTN917518:CTN917526 DDJ917518:DDJ917526 DNF917518:DNF917526 DXB917518:DXB917526 EGX917518:EGX917526 EQT917518:EQT917526 FAP917518:FAP917526 FKL917518:FKL917526 FUH917518:FUH917526 GED917518:GED917526 GNZ917518:GNZ917526 GXV917518:GXV917526 HHR917518:HHR917526 HRN917518:HRN917526 IBJ917518:IBJ917526 ILF917518:ILF917526 IVB917518:IVB917526 JEX917518:JEX917526 JOT917518:JOT917526 JYP917518:JYP917526 KIL917518:KIL917526 KSH917518:KSH917526 LCD917518:LCD917526 LLZ917518:LLZ917526 LVV917518:LVV917526 MFR917518:MFR917526 MPN917518:MPN917526 MZJ917518:MZJ917526 NJF917518:NJF917526 NTB917518:NTB917526 OCX917518:OCX917526 OMT917518:OMT917526 OWP917518:OWP917526 PGL917518:PGL917526 PQH917518:PQH917526 QAD917518:QAD917526 QJZ917518:QJZ917526 QTV917518:QTV917526 RDR917518:RDR917526 RNN917518:RNN917526 RXJ917518:RXJ917526 SHF917518:SHF917526 SRB917518:SRB917526 TAX917518:TAX917526 TKT917518:TKT917526 TUP917518:TUP917526 UEL917518:UEL917526 UOH917518:UOH917526 UYD917518:UYD917526 VHZ917518:VHZ917526 VRV917518:VRV917526 WBR917518:WBR917526 WLN917518:WLN917526 WVJ917518:WVJ917526 B983054:B983062 IX983054:IX983062 ST983054:ST983062 ACP983054:ACP983062 AML983054:AML983062 AWH983054:AWH983062 BGD983054:BGD983062 BPZ983054:BPZ983062 BZV983054:BZV983062 CJR983054:CJR983062 CTN983054:CTN983062 DDJ983054:DDJ983062 DNF983054:DNF983062 DXB983054:DXB983062 EGX983054:EGX983062 EQT983054:EQT983062 FAP983054:FAP983062 FKL983054:FKL983062 FUH983054:FUH983062 GED983054:GED983062 GNZ983054:GNZ983062 GXV983054:GXV983062 HHR983054:HHR983062 HRN983054:HRN983062 IBJ983054:IBJ983062 ILF983054:ILF983062 IVB983054:IVB983062 JEX983054:JEX983062 JOT983054:JOT983062 JYP983054:JYP983062 KIL983054:KIL983062 KSH983054:KSH983062 LCD983054:LCD983062 LLZ983054:LLZ983062 LVV983054:LVV983062 MFR983054:MFR983062 MPN983054:MPN983062 MZJ983054:MZJ983062 NJF983054:NJF983062 NTB983054:NTB983062 OCX983054:OCX983062 OMT983054:OMT983062 OWP983054:OWP983062 PGL983054:PGL983062 PQH983054:PQH983062 QAD983054:QAD983062 QJZ983054:QJZ983062 QTV983054:QTV983062 RDR983054:RDR983062 RNN983054:RNN983062 RXJ983054:RXJ983062 SHF983054:SHF983062 SRB983054:SRB983062 TAX983054:TAX983062 TKT983054:TKT983062 TUP983054:TUP983062 UEL983054:UEL983062 UOH983054:UOH983062 UYD983054:UYD983062 VHZ983054:VHZ983062 VRV983054:VRV983062 WBR983054:WBR983062 WLN983054:WLN983062 WVJ983054:WVJ983062" xr:uid="{4B050DD3-35CF-422B-AEE5-E4F37450CC0B}">
      <formula1>$A$31:$A$71</formula1>
    </dataValidation>
  </dataValidations>
  <printOptions horizontalCentered="1"/>
  <pageMargins left="0.74803149606299213" right="0.70866141732283472" top="0.74803149606299213" bottom="0.9055118110236221" header="0.39370078740157483" footer="0.39370078740157483"/>
  <pageSetup paperSize="9" scale="94" orientation="portrait" r:id="rId1"/>
  <headerFooter scaleWithDoc="0" alignWithMargins="0">
    <oddHeader xml:space="preserve">&amp;L&amp;"-,Regular"&amp;8&amp;F&amp;R&amp;"-,Regular"&amp;8&amp;A
__________________________________________________________________________________________________
</oddHeader>
    <oddFooter>&amp;L&amp;"-,Regular"&amp;8__________________________________________________________________________________________
NZ Transport Agency’s Economic evaluation manual 
Effective from Jul 2013</oddFooter>
  </headerFooter>
  <drawing r:id="rId2"/>
  <legacyDrawing r:id="rId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7BF917-E494-4B3D-BB49-AFBF0AAE3FB2}">
  <sheetPr codeName="Sheet8">
    <pageSetUpPr fitToPage="1"/>
  </sheetPr>
  <dimension ref="A1:Z71"/>
  <sheetViews>
    <sheetView zoomScaleNormal="100" workbookViewId="0">
      <selection activeCell="K7" sqref="K7:M7"/>
    </sheetView>
  </sheetViews>
  <sheetFormatPr defaultColWidth="7.69921875" defaultRowHeight="12.6"/>
  <cols>
    <col min="1" max="1" width="2.5" style="217" customWidth="1"/>
    <col min="2" max="2" width="7.09765625" style="217" customWidth="1"/>
    <col min="3" max="5" width="3.09765625" style="217" customWidth="1"/>
    <col min="6" max="6" width="4" style="217" customWidth="1"/>
    <col min="7" max="9" width="3.09765625" style="217" customWidth="1"/>
    <col min="10" max="10" width="3.59765625" style="217" customWidth="1"/>
    <col min="11" max="11" width="4.8984375" style="217" customWidth="1"/>
    <col min="12" max="19" width="4.69921875" style="217" customWidth="1"/>
    <col min="20" max="20" width="3.09765625" style="217" customWidth="1"/>
    <col min="21" max="21" width="13.59765625" style="217" customWidth="1"/>
    <col min="22" max="22" width="26.69921875" style="217" customWidth="1"/>
    <col min="23" max="26" width="13.59765625" style="217" customWidth="1"/>
    <col min="27" max="256" width="7.69921875" style="217"/>
    <col min="257" max="257" width="2.5" style="217" customWidth="1"/>
    <col min="258" max="258" width="7.09765625" style="217" customWidth="1"/>
    <col min="259" max="261" width="3.09765625" style="217" customWidth="1"/>
    <col min="262" max="262" width="4" style="217" customWidth="1"/>
    <col min="263" max="265" width="3.09765625" style="217" customWidth="1"/>
    <col min="266" max="266" width="3.59765625" style="217" customWidth="1"/>
    <col min="267" max="267" width="4.8984375" style="217" customWidth="1"/>
    <col min="268" max="275" width="4.69921875" style="217" customWidth="1"/>
    <col min="276" max="276" width="3.09765625" style="217" customWidth="1"/>
    <col min="277" max="277" width="13.59765625" style="217" customWidth="1"/>
    <col min="278" max="278" width="26.69921875" style="217" customWidth="1"/>
    <col min="279" max="282" width="13.59765625" style="217" customWidth="1"/>
    <col min="283" max="512" width="7.69921875" style="217"/>
    <col min="513" max="513" width="2.5" style="217" customWidth="1"/>
    <col min="514" max="514" width="7.09765625" style="217" customWidth="1"/>
    <col min="515" max="517" width="3.09765625" style="217" customWidth="1"/>
    <col min="518" max="518" width="4" style="217" customWidth="1"/>
    <col min="519" max="521" width="3.09765625" style="217" customWidth="1"/>
    <col min="522" max="522" width="3.59765625" style="217" customWidth="1"/>
    <col min="523" max="523" width="4.8984375" style="217" customWidth="1"/>
    <col min="524" max="531" width="4.69921875" style="217" customWidth="1"/>
    <col min="532" max="532" width="3.09765625" style="217" customWidth="1"/>
    <col min="533" max="533" width="13.59765625" style="217" customWidth="1"/>
    <col min="534" max="534" width="26.69921875" style="217" customWidth="1"/>
    <col min="535" max="538" width="13.59765625" style="217" customWidth="1"/>
    <col min="539" max="768" width="7.69921875" style="217"/>
    <col min="769" max="769" width="2.5" style="217" customWidth="1"/>
    <col min="770" max="770" width="7.09765625" style="217" customWidth="1"/>
    <col min="771" max="773" width="3.09765625" style="217" customWidth="1"/>
    <col min="774" max="774" width="4" style="217" customWidth="1"/>
    <col min="775" max="777" width="3.09765625" style="217" customWidth="1"/>
    <col min="778" max="778" width="3.59765625" style="217" customWidth="1"/>
    <col min="779" max="779" width="4.8984375" style="217" customWidth="1"/>
    <col min="780" max="787" width="4.69921875" style="217" customWidth="1"/>
    <col min="788" max="788" width="3.09765625" style="217" customWidth="1"/>
    <col min="789" max="789" width="13.59765625" style="217" customWidth="1"/>
    <col min="790" max="790" width="26.69921875" style="217" customWidth="1"/>
    <col min="791" max="794" width="13.59765625" style="217" customWidth="1"/>
    <col min="795" max="1024" width="7.69921875" style="217"/>
    <col min="1025" max="1025" width="2.5" style="217" customWidth="1"/>
    <col min="1026" max="1026" width="7.09765625" style="217" customWidth="1"/>
    <col min="1027" max="1029" width="3.09765625" style="217" customWidth="1"/>
    <col min="1030" max="1030" width="4" style="217" customWidth="1"/>
    <col min="1031" max="1033" width="3.09765625" style="217" customWidth="1"/>
    <col min="1034" max="1034" width="3.59765625" style="217" customWidth="1"/>
    <col min="1035" max="1035" width="4.8984375" style="217" customWidth="1"/>
    <col min="1036" max="1043" width="4.69921875" style="217" customWidth="1"/>
    <col min="1044" max="1044" width="3.09765625" style="217" customWidth="1"/>
    <col min="1045" max="1045" width="13.59765625" style="217" customWidth="1"/>
    <col min="1046" max="1046" width="26.69921875" style="217" customWidth="1"/>
    <col min="1047" max="1050" width="13.59765625" style="217" customWidth="1"/>
    <col min="1051" max="1280" width="7.69921875" style="217"/>
    <col min="1281" max="1281" width="2.5" style="217" customWidth="1"/>
    <col min="1282" max="1282" width="7.09765625" style="217" customWidth="1"/>
    <col min="1283" max="1285" width="3.09765625" style="217" customWidth="1"/>
    <col min="1286" max="1286" width="4" style="217" customWidth="1"/>
    <col min="1287" max="1289" width="3.09765625" style="217" customWidth="1"/>
    <col min="1290" max="1290" width="3.59765625" style="217" customWidth="1"/>
    <col min="1291" max="1291" width="4.8984375" style="217" customWidth="1"/>
    <col min="1292" max="1299" width="4.69921875" style="217" customWidth="1"/>
    <col min="1300" max="1300" width="3.09765625" style="217" customWidth="1"/>
    <col min="1301" max="1301" width="13.59765625" style="217" customWidth="1"/>
    <col min="1302" max="1302" width="26.69921875" style="217" customWidth="1"/>
    <col min="1303" max="1306" width="13.59765625" style="217" customWidth="1"/>
    <col min="1307" max="1536" width="7.69921875" style="217"/>
    <col min="1537" max="1537" width="2.5" style="217" customWidth="1"/>
    <col min="1538" max="1538" width="7.09765625" style="217" customWidth="1"/>
    <col min="1539" max="1541" width="3.09765625" style="217" customWidth="1"/>
    <col min="1542" max="1542" width="4" style="217" customWidth="1"/>
    <col min="1543" max="1545" width="3.09765625" style="217" customWidth="1"/>
    <col min="1546" max="1546" width="3.59765625" style="217" customWidth="1"/>
    <col min="1547" max="1547" width="4.8984375" style="217" customWidth="1"/>
    <col min="1548" max="1555" width="4.69921875" style="217" customWidth="1"/>
    <col min="1556" max="1556" width="3.09765625" style="217" customWidth="1"/>
    <col min="1557" max="1557" width="13.59765625" style="217" customWidth="1"/>
    <col min="1558" max="1558" width="26.69921875" style="217" customWidth="1"/>
    <col min="1559" max="1562" width="13.59765625" style="217" customWidth="1"/>
    <col min="1563" max="1792" width="7.69921875" style="217"/>
    <col min="1793" max="1793" width="2.5" style="217" customWidth="1"/>
    <col min="1794" max="1794" width="7.09765625" style="217" customWidth="1"/>
    <col min="1795" max="1797" width="3.09765625" style="217" customWidth="1"/>
    <col min="1798" max="1798" width="4" style="217" customWidth="1"/>
    <col min="1799" max="1801" width="3.09765625" style="217" customWidth="1"/>
    <col min="1802" max="1802" width="3.59765625" style="217" customWidth="1"/>
    <col min="1803" max="1803" width="4.8984375" style="217" customWidth="1"/>
    <col min="1804" max="1811" width="4.69921875" style="217" customWidth="1"/>
    <col min="1812" max="1812" width="3.09765625" style="217" customWidth="1"/>
    <col min="1813" max="1813" width="13.59765625" style="217" customWidth="1"/>
    <col min="1814" max="1814" width="26.69921875" style="217" customWidth="1"/>
    <col min="1815" max="1818" width="13.59765625" style="217" customWidth="1"/>
    <col min="1819" max="2048" width="7.69921875" style="217"/>
    <col min="2049" max="2049" width="2.5" style="217" customWidth="1"/>
    <col min="2050" max="2050" width="7.09765625" style="217" customWidth="1"/>
    <col min="2051" max="2053" width="3.09765625" style="217" customWidth="1"/>
    <col min="2054" max="2054" width="4" style="217" customWidth="1"/>
    <col min="2055" max="2057" width="3.09765625" style="217" customWidth="1"/>
    <col min="2058" max="2058" width="3.59765625" style="217" customWidth="1"/>
    <col min="2059" max="2059" width="4.8984375" style="217" customWidth="1"/>
    <col min="2060" max="2067" width="4.69921875" style="217" customWidth="1"/>
    <col min="2068" max="2068" width="3.09765625" style="217" customWidth="1"/>
    <col min="2069" max="2069" width="13.59765625" style="217" customWidth="1"/>
    <col min="2070" max="2070" width="26.69921875" style="217" customWidth="1"/>
    <col min="2071" max="2074" width="13.59765625" style="217" customWidth="1"/>
    <col min="2075" max="2304" width="7.69921875" style="217"/>
    <col min="2305" max="2305" width="2.5" style="217" customWidth="1"/>
    <col min="2306" max="2306" width="7.09765625" style="217" customWidth="1"/>
    <col min="2307" max="2309" width="3.09765625" style="217" customWidth="1"/>
    <col min="2310" max="2310" width="4" style="217" customWidth="1"/>
    <col min="2311" max="2313" width="3.09765625" style="217" customWidth="1"/>
    <col min="2314" max="2314" width="3.59765625" style="217" customWidth="1"/>
    <col min="2315" max="2315" width="4.8984375" style="217" customWidth="1"/>
    <col min="2316" max="2323" width="4.69921875" style="217" customWidth="1"/>
    <col min="2324" max="2324" width="3.09765625" style="217" customWidth="1"/>
    <col min="2325" max="2325" width="13.59765625" style="217" customWidth="1"/>
    <col min="2326" max="2326" width="26.69921875" style="217" customWidth="1"/>
    <col min="2327" max="2330" width="13.59765625" style="217" customWidth="1"/>
    <col min="2331" max="2560" width="7.69921875" style="217"/>
    <col min="2561" max="2561" width="2.5" style="217" customWidth="1"/>
    <col min="2562" max="2562" width="7.09765625" style="217" customWidth="1"/>
    <col min="2563" max="2565" width="3.09765625" style="217" customWidth="1"/>
    <col min="2566" max="2566" width="4" style="217" customWidth="1"/>
    <col min="2567" max="2569" width="3.09765625" style="217" customWidth="1"/>
    <col min="2570" max="2570" width="3.59765625" style="217" customWidth="1"/>
    <col min="2571" max="2571" width="4.8984375" style="217" customWidth="1"/>
    <col min="2572" max="2579" width="4.69921875" style="217" customWidth="1"/>
    <col min="2580" max="2580" width="3.09765625" style="217" customWidth="1"/>
    <col min="2581" max="2581" width="13.59765625" style="217" customWidth="1"/>
    <col min="2582" max="2582" width="26.69921875" style="217" customWidth="1"/>
    <col min="2583" max="2586" width="13.59765625" style="217" customWidth="1"/>
    <col min="2587" max="2816" width="7.69921875" style="217"/>
    <col min="2817" max="2817" width="2.5" style="217" customWidth="1"/>
    <col min="2818" max="2818" width="7.09765625" style="217" customWidth="1"/>
    <col min="2819" max="2821" width="3.09765625" style="217" customWidth="1"/>
    <col min="2822" max="2822" width="4" style="217" customWidth="1"/>
    <col min="2823" max="2825" width="3.09765625" style="217" customWidth="1"/>
    <col min="2826" max="2826" width="3.59765625" style="217" customWidth="1"/>
    <col min="2827" max="2827" width="4.8984375" style="217" customWidth="1"/>
    <col min="2828" max="2835" width="4.69921875" style="217" customWidth="1"/>
    <col min="2836" max="2836" width="3.09765625" style="217" customWidth="1"/>
    <col min="2837" max="2837" width="13.59765625" style="217" customWidth="1"/>
    <col min="2838" max="2838" width="26.69921875" style="217" customWidth="1"/>
    <col min="2839" max="2842" width="13.59765625" style="217" customWidth="1"/>
    <col min="2843" max="3072" width="7.69921875" style="217"/>
    <col min="3073" max="3073" width="2.5" style="217" customWidth="1"/>
    <col min="3074" max="3074" width="7.09765625" style="217" customWidth="1"/>
    <col min="3075" max="3077" width="3.09765625" style="217" customWidth="1"/>
    <col min="3078" max="3078" width="4" style="217" customWidth="1"/>
    <col min="3079" max="3081" width="3.09765625" style="217" customWidth="1"/>
    <col min="3082" max="3082" width="3.59765625" style="217" customWidth="1"/>
    <col min="3083" max="3083" width="4.8984375" style="217" customWidth="1"/>
    <col min="3084" max="3091" width="4.69921875" style="217" customWidth="1"/>
    <col min="3092" max="3092" width="3.09765625" style="217" customWidth="1"/>
    <col min="3093" max="3093" width="13.59765625" style="217" customWidth="1"/>
    <col min="3094" max="3094" width="26.69921875" style="217" customWidth="1"/>
    <col min="3095" max="3098" width="13.59765625" style="217" customWidth="1"/>
    <col min="3099" max="3328" width="7.69921875" style="217"/>
    <col min="3329" max="3329" width="2.5" style="217" customWidth="1"/>
    <col min="3330" max="3330" width="7.09765625" style="217" customWidth="1"/>
    <col min="3331" max="3333" width="3.09765625" style="217" customWidth="1"/>
    <col min="3334" max="3334" width="4" style="217" customWidth="1"/>
    <col min="3335" max="3337" width="3.09765625" style="217" customWidth="1"/>
    <col min="3338" max="3338" width="3.59765625" style="217" customWidth="1"/>
    <col min="3339" max="3339" width="4.8984375" style="217" customWidth="1"/>
    <col min="3340" max="3347" width="4.69921875" style="217" customWidth="1"/>
    <col min="3348" max="3348" width="3.09765625" style="217" customWidth="1"/>
    <col min="3349" max="3349" width="13.59765625" style="217" customWidth="1"/>
    <col min="3350" max="3350" width="26.69921875" style="217" customWidth="1"/>
    <col min="3351" max="3354" width="13.59765625" style="217" customWidth="1"/>
    <col min="3355" max="3584" width="7.69921875" style="217"/>
    <col min="3585" max="3585" width="2.5" style="217" customWidth="1"/>
    <col min="3586" max="3586" width="7.09765625" style="217" customWidth="1"/>
    <col min="3587" max="3589" width="3.09765625" style="217" customWidth="1"/>
    <col min="3590" max="3590" width="4" style="217" customWidth="1"/>
    <col min="3591" max="3593" width="3.09765625" style="217" customWidth="1"/>
    <col min="3594" max="3594" width="3.59765625" style="217" customWidth="1"/>
    <col min="3595" max="3595" width="4.8984375" style="217" customWidth="1"/>
    <col min="3596" max="3603" width="4.69921875" style="217" customWidth="1"/>
    <col min="3604" max="3604" width="3.09765625" style="217" customWidth="1"/>
    <col min="3605" max="3605" width="13.59765625" style="217" customWidth="1"/>
    <col min="3606" max="3606" width="26.69921875" style="217" customWidth="1"/>
    <col min="3607" max="3610" width="13.59765625" style="217" customWidth="1"/>
    <col min="3611" max="3840" width="7.69921875" style="217"/>
    <col min="3841" max="3841" width="2.5" style="217" customWidth="1"/>
    <col min="3842" max="3842" width="7.09765625" style="217" customWidth="1"/>
    <col min="3843" max="3845" width="3.09765625" style="217" customWidth="1"/>
    <col min="3846" max="3846" width="4" style="217" customWidth="1"/>
    <col min="3847" max="3849" width="3.09765625" style="217" customWidth="1"/>
    <col min="3850" max="3850" width="3.59765625" style="217" customWidth="1"/>
    <col min="3851" max="3851" width="4.8984375" style="217" customWidth="1"/>
    <col min="3852" max="3859" width="4.69921875" style="217" customWidth="1"/>
    <col min="3860" max="3860" width="3.09765625" style="217" customWidth="1"/>
    <col min="3861" max="3861" width="13.59765625" style="217" customWidth="1"/>
    <col min="3862" max="3862" width="26.69921875" style="217" customWidth="1"/>
    <col min="3863" max="3866" width="13.59765625" style="217" customWidth="1"/>
    <col min="3867" max="4096" width="7.69921875" style="217"/>
    <col min="4097" max="4097" width="2.5" style="217" customWidth="1"/>
    <col min="4098" max="4098" width="7.09765625" style="217" customWidth="1"/>
    <col min="4099" max="4101" width="3.09765625" style="217" customWidth="1"/>
    <col min="4102" max="4102" width="4" style="217" customWidth="1"/>
    <col min="4103" max="4105" width="3.09765625" style="217" customWidth="1"/>
    <col min="4106" max="4106" width="3.59765625" style="217" customWidth="1"/>
    <col min="4107" max="4107" width="4.8984375" style="217" customWidth="1"/>
    <col min="4108" max="4115" width="4.69921875" style="217" customWidth="1"/>
    <col min="4116" max="4116" width="3.09765625" style="217" customWidth="1"/>
    <col min="4117" max="4117" width="13.59765625" style="217" customWidth="1"/>
    <col min="4118" max="4118" width="26.69921875" style="217" customWidth="1"/>
    <col min="4119" max="4122" width="13.59765625" style="217" customWidth="1"/>
    <col min="4123" max="4352" width="7.69921875" style="217"/>
    <col min="4353" max="4353" width="2.5" style="217" customWidth="1"/>
    <col min="4354" max="4354" width="7.09765625" style="217" customWidth="1"/>
    <col min="4355" max="4357" width="3.09765625" style="217" customWidth="1"/>
    <col min="4358" max="4358" width="4" style="217" customWidth="1"/>
    <col min="4359" max="4361" width="3.09765625" style="217" customWidth="1"/>
    <col min="4362" max="4362" width="3.59765625" style="217" customWidth="1"/>
    <col min="4363" max="4363" width="4.8984375" style="217" customWidth="1"/>
    <col min="4364" max="4371" width="4.69921875" style="217" customWidth="1"/>
    <col min="4372" max="4372" width="3.09765625" style="217" customWidth="1"/>
    <col min="4373" max="4373" width="13.59765625" style="217" customWidth="1"/>
    <col min="4374" max="4374" width="26.69921875" style="217" customWidth="1"/>
    <col min="4375" max="4378" width="13.59765625" style="217" customWidth="1"/>
    <col min="4379" max="4608" width="7.69921875" style="217"/>
    <col min="4609" max="4609" width="2.5" style="217" customWidth="1"/>
    <col min="4610" max="4610" width="7.09765625" style="217" customWidth="1"/>
    <col min="4611" max="4613" width="3.09765625" style="217" customWidth="1"/>
    <col min="4614" max="4614" width="4" style="217" customWidth="1"/>
    <col min="4615" max="4617" width="3.09765625" style="217" customWidth="1"/>
    <col min="4618" max="4618" width="3.59765625" style="217" customWidth="1"/>
    <col min="4619" max="4619" width="4.8984375" style="217" customWidth="1"/>
    <col min="4620" max="4627" width="4.69921875" style="217" customWidth="1"/>
    <col min="4628" max="4628" width="3.09765625" style="217" customWidth="1"/>
    <col min="4629" max="4629" width="13.59765625" style="217" customWidth="1"/>
    <col min="4630" max="4630" width="26.69921875" style="217" customWidth="1"/>
    <col min="4631" max="4634" width="13.59765625" style="217" customWidth="1"/>
    <col min="4635" max="4864" width="7.69921875" style="217"/>
    <col min="4865" max="4865" width="2.5" style="217" customWidth="1"/>
    <col min="4866" max="4866" width="7.09765625" style="217" customWidth="1"/>
    <col min="4867" max="4869" width="3.09765625" style="217" customWidth="1"/>
    <col min="4870" max="4870" width="4" style="217" customWidth="1"/>
    <col min="4871" max="4873" width="3.09765625" style="217" customWidth="1"/>
    <col min="4874" max="4874" width="3.59765625" style="217" customWidth="1"/>
    <col min="4875" max="4875" width="4.8984375" style="217" customWidth="1"/>
    <col min="4876" max="4883" width="4.69921875" style="217" customWidth="1"/>
    <col min="4884" max="4884" width="3.09765625" style="217" customWidth="1"/>
    <col min="4885" max="4885" width="13.59765625" style="217" customWidth="1"/>
    <col min="4886" max="4886" width="26.69921875" style="217" customWidth="1"/>
    <col min="4887" max="4890" width="13.59765625" style="217" customWidth="1"/>
    <col min="4891" max="5120" width="7.69921875" style="217"/>
    <col min="5121" max="5121" width="2.5" style="217" customWidth="1"/>
    <col min="5122" max="5122" width="7.09765625" style="217" customWidth="1"/>
    <col min="5123" max="5125" width="3.09765625" style="217" customWidth="1"/>
    <col min="5126" max="5126" width="4" style="217" customWidth="1"/>
    <col min="5127" max="5129" width="3.09765625" style="217" customWidth="1"/>
    <col min="5130" max="5130" width="3.59765625" style="217" customWidth="1"/>
    <col min="5131" max="5131" width="4.8984375" style="217" customWidth="1"/>
    <col min="5132" max="5139" width="4.69921875" style="217" customWidth="1"/>
    <col min="5140" max="5140" width="3.09765625" style="217" customWidth="1"/>
    <col min="5141" max="5141" width="13.59765625" style="217" customWidth="1"/>
    <col min="5142" max="5142" width="26.69921875" style="217" customWidth="1"/>
    <col min="5143" max="5146" width="13.59765625" style="217" customWidth="1"/>
    <col min="5147" max="5376" width="7.69921875" style="217"/>
    <col min="5377" max="5377" width="2.5" style="217" customWidth="1"/>
    <col min="5378" max="5378" width="7.09765625" style="217" customWidth="1"/>
    <col min="5379" max="5381" width="3.09765625" style="217" customWidth="1"/>
    <col min="5382" max="5382" width="4" style="217" customWidth="1"/>
    <col min="5383" max="5385" width="3.09765625" style="217" customWidth="1"/>
    <col min="5386" max="5386" width="3.59765625" style="217" customWidth="1"/>
    <col min="5387" max="5387" width="4.8984375" style="217" customWidth="1"/>
    <col min="5388" max="5395" width="4.69921875" style="217" customWidth="1"/>
    <col min="5396" max="5396" width="3.09765625" style="217" customWidth="1"/>
    <col min="5397" max="5397" width="13.59765625" style="217" customWidth="1"/>
    <col min="5398" max="5398" width="26.69921875" style="217" customWidth="1"/>
    <col min="5399" max="5402" width="13.59765625" style="217" customWidth="1"/>
    <col min="5403" max="5632" width="7.69921875" style="217"/>
    <col min="5633" max="5633" width="2.5" style="217" customWidth="1"/>
    <col min="5634" max="5634" width="7.09765625" style="217" customWidth="1"/>
    <col min="5635" max="5637" width="3.09765625" style="217" customWidth="1"/>
    <col min="5638" max="5638" width="4" style="217" customWidth="1"/>
    <col min="5639" max="5641" width="3.09765625" style="217" customWidth="1"/>
    <col min="5642" max="5642" width="3.59765625" style="217" customWidth="1"/>
    <col min="5643" max="5643" width="4.8984375" style="217" customWidth="1"/>
    <col min="5644" max="5651" width="4.69921875" style="217" customWidth="1"/>
    <col min="5652" max="5652" width="3.09765625" style="217" customWidth="1"/>
    <col min="5653" max="5653" width="13.59765625" style="217" customWidth="1"/>
    <col min="5654" max="5654" width="26.69921875" style="217" customWidth="1"/>
    <col min="5655" max="5658" width="13.59765625" style="217" customWidth="1"/>
    <col min="5659" max="5888" width="7.69921875" style="217"/>
    <col min="5889" max="5889" width="2.5" style="217" customWidth="1"/>
    <col min="5890" max="5890" width="7.09765625" style="217" customWidth="1"/>
    <col min="5891" max="5893" width="3.09765625" style="217" customWidth="1"/>
    <col min="5894" max="5894" width="4" style="217" customWidth="1"/>
    <col min="5895" max="5897" width="3.09765625" style="217" customWidth="1"/>
    <col min="5898" max="5898" width="3.59765625" style="217" customWidth="1"/>
    <col min="5899" max="5899" width="4.8984375" style="217" customWidth="1"/>
    <col min="5900" max="5907" width="4.69921875" style="217" customWidth="1"/>
    <col min="5908" max="5908" width="3.09765625" style="217" customWidth="1"/>
    <col min="5909" max="5909" width="13.59765625" style="217" customWidth="1"/>
    <col min="5910" max="5910" width="26.69921875" style="217" customWidth="1"/>
    <col min="5911" max="5914" width="13.59765625" style="217" customWidth="1"/>
    <col min="5915" max="6144" width="7.69921875" style="217"/>
    <col min="6145" max="6145" width="2.5" style="217" customWidth="1"/>
    <col min="6146" max="6146" width="7.09765625" style="217" customWidth="1"/>
    <col min="6147" max="6149" width="3.09765625" style="217" customWidth="1"/>
    <col min="6150" max="6150" width="4" style="217" customWidth="1"/>
    <col min="6151" max="6153" width="3.09765625" style="217" customWidth="1"/>
    <col min="6154" max="6154" width="3.59765625" style="217" customWidth="1"/>
    <col min="6155" max="6155" width="4.8984375" style="217" customWidth="1"/>
    <col min="6156" max="6163" width="4.69921875" style="217" customWidth="1"/>
    <col min="6164" max="6164" width="3.09765625" style="217" customWidth="1"/>
    <col min="6165" max="6165" width="13.59765625" style="217" customWidth="1"/>
    <col min="6166" max="6166" width="26.69921875" style="217" customWidth="1"/>
    <col min="6167" max="6170" width="13.59765625" style="217" customWidth="1"/>
    <col min="6171" max="6400" width="7.69921875" style="217"/>
    <col min="6401" max="6401" width="2.5" style="217" customWidth="1"/>
    <col min="6402" max="6402" width="7.09765625" style="217" customWidth="1"/>
    <col min="6403" max="6405" width="3.09765625" style="217" customWidth="1"/>
    <col min="6406" max="6406" width="4" style="217" customWidth="1"/>
    <col min="6407" max="6409" width="3.09765625" style="217" customWidth="1"/>
    <col min="6410" max="6410" width="3.59765625" style="217" customWidth="1"/>
    <col min="6411" max="6411" width="4.8984375" style="217" customWidth="1"/>
    <col min="6412" max="6419" width="4.69921875" style="217" customWidth="1"/>
    <col min="6420" max="6420" width="3.09765625" style="217" customWidth="1"/>
    <col min="6421" max="6421" width="13.59765625" style="217" customWidth="1"/>
    <col min="6422" max="6422" width="26.69921875" style="217" customWidth="1"/>
    <col min="6423" max="6426" width="13.59765625" style="217" customWidth="1"/>
    <col min="6427" max="6656" width="7.69921875" style="217"/>
    <col min="6657" max="6657" width="2.5" style="217" customWidth="1"/>
    <col min="6658" max="6658" width="7.09765625" style="217" customWidth="1"/>
    <col min="6659" max="6661" width="3.09765625" style="217" customWidth="1"/>
    <col min="6662" max="6662" width="4" style="217" customWidth="1"/>
    <col min="6663" max="6665" width="3.09765625" style="217" customWidth="1"/>
    <col min="6666" max="6666" width="3.59765625" style="217" customWidth="1"/>
    <col min="6667" max="6667" width="4.8984375" style="217" customWidth="1"/>
    <col min="6668" max="6675" width="4.69921875" style="217" customWidth="1"/>
    <col min="6676" max="6676" width="3.09765625" style="217" customWidth="1"/>
    <col min="6677" max="6677" width="13.59765625" style="217" customWidth="1"/>
    <col min="6678" max="6678" width="26.69921875" style="217" customWidth="1"/>
    <col min="6679" max="6682" width="13.59765625" style="217" customWidth="1"/>
    <col min="6683" max="6912" width="7.69921875" style="217"/>
    <col min="6913" max="6913" width="2.5" style="217" customWidth="1"/>
    <col min="6914" max="6914" width="7.09765625" style="217" customWidth="1"/>
    <col min="6915" max="6917" width="3.09765625" style="217" customWidth="1"/>
    <col min="6918" max="6918" width="4" style="217" customWidth="1"/>
    <col min="6919" max="6921" width="3.09765625" style="217" customWidth="1"/>
    <col min="6922" max="6922" width="3.59765625" style="217" customWidth="1"/>
    <col min="6923" max="6923" width="4.8984375" style="217" customWidth="1"/>
    <col min="6924" max="6931" width="4.69921875" style="217" customWidth="1"/>
    <col min="6932" max="6932" width="3.09765625" style="217" customWidth="1"/>
    <col min="6933" max="6933" width="13.59765625" style="217" customWidth="1"/>
    <col min="6934" max="6934" width="26.69921875" style="217" customWidth="1"/>
    <col min="6935" max="6938" width="13.59765625" style="217" customWidth="1"/>
    <col min="6939" max="7168" width="7.69921875" style="217"/>
    <col min="7169" max="7169" width="2.5" style="217" customWidth="1"/>
    <col min="7170" max="7170" width="7.09765625" style="217" customWidth="1"/>
    <col min="7171" max="7173" width="3.09765625" style="217" customWidth="1"/>
    <col min="7174" max="7174" width="4" style="217" customWidth="1"/>
    <col min="7175" max="7177" width="3.09765625" style="217" customWidth="1"/>
    <col min="7178" max="7178" width="3.59765625" style="217" customWidth="1"/>
    <col min="7179" max="7179" width="4.8984375" style="217" customWidth="1"/>
    <col min="7180" max="7187" width="4.69921875" style="217" customWidth="1"/>
    <col min="7188" max="7188" width="3.09765625" style="217" customWidth="1"/>
    <col min="7189" max="7189" width="13.59765625" style="217" customWidth="1"/>
    <col min="7190" max="7190" width="26.69921875" style="217" customWidth="1"/>
    <col min="7191" max="7194" width="13.59765625" style="217" customWidth="1"/>
    <col min="7195" max="7424" width="7.69921875" style="217"/>
    <col min="7425" max="7425" width="2.5" style="217" customWidth="1"/>
    <col min="7426" max="7426" width="7.09765625" style="217" customWidth="1"/>
    <col min="7427" max="7429" width="3.09765625" style="217" customWidth="1"/>
    <col min="7430" max="7430" width="4" style="217" customWidth="1"/>
    <col min="7431" max="7433" width="3.09765625" style="217" customWidth="1"/>
    <col min="7434" max="7434" width="3.59765625" style="217" customWidth="1"/>
    <col min="7435" max="7435" width="4.8984375" style="217" customWidth="1"/>
    <col min="7436" max="7443" width="4.69921875" style="217" customWidth="1"/>
    <col min="7444" max="7444" width="3.09765625" style="217" customWidth="1"/>
    <col min="7445" max="7445" width="13.59765625" style="217" customWidth="1"/>
    <col min="7446" max="7446" width="26.69921875" style="217" customWidth="1"/>
    <col min="7447" max="7450" width="13.59765625" style="217" customWidth="1"/>
    <col min="7451" max="7680" width="7.69921875" style="217"/>
    <col min="7681" max="7681" width="2.5" style="217" customWidth="1"/>
    <col min="7682" max="7682" width="7.09765625" style="217" customWidth="1"/>
    <col min="7683" max="7685" width="3.09765625" style="217" customWidth="1"/>
    <col min="7686" max="7686" width="4" style="217" customWidth="1"/>
    <col min="7687" max="7689" width="3.09765625" style="217" customWidth="1"/>
    <col min="7690" max="7690" width="3.59765625" style="217" customWidth="1"/>
    <col min="7691" max="7691" width="4.8984375" style="217" customWidth="1"/>
    <col min="7692" max="7699" width="4.69921875" style="217" customWidth="1"/>
    <col min="7700" max="7700" width="3.09765625" style="217" customWidth="1"/>
    <col min="7701" max="7701" width="13.59765625" style="217" customWidth="1"/>
    <col min="7702" max="7702" width="26.69921875" style="217" customWidth="1"/>
    <col min="7703" max="7706" width="13.59765625" style="217" customWidth="1"/>
    <col min="7707" max="7936" width="7.69921875" style="217"/>
    <col min="7937" max="7937" width="2.5" style="217" customWidth="1"/>
    <col min="7938" max="7938" width="7.09765625" style="217" customWidth="1"/>
    <col min="7939" max="7941" width="3.09765625" style="217" customWidth="1"/>
    <col min="7942" max="7942" width="4" style="217" customWidth="1"/>
    <col min="7943" max="7945" width="3.09765625" style="217" customWidth="1"/>
    <col min="7946" max="7946" width="3.59765625" style="217" customWidth="1"/>
    <col min="7947" max="7947" width="4.8984375" style="217" customWidth="1"/>
    <col min="7948" max="7955" width="4.69921875" style="217" customWidth="1"/>
    <col min="7956" max="7956" width="3.09765625" style="217" customWidth="1"/>
    <col min="7957" max="7957" width="13.59765625" style="217" customWidth="1"/>
    <col min="7958" max="7958" width="26.69921875" style="217" customWidth="1"/>
    <col min="7959" max="7962" width="13.59765625" style="217" customWidth="1"/>
    <col min="7963" max="8192" width="7.69921875" style="217"/>
    <col min="8193" max="8193" width="2.5" style="217" customWidth="1"/>
    <col min="8194" max="8194" width="7.09765625" style="217" customWidth="1"/>
    <col min="8195" max="8197" width="3.09765625" style="217" customWidth="1"/>
    <col min="8198" max="8198" width="4" style="217" customWidth="1"/>
    <col min="8199" max="8201" width="3.09765625" style="217" customWidth="1"/>
    <col min="8202" max="8202" width="3.59765625" style="217" customWidth="1"/>
    <col min="8203" max="8203" width="4.8984375" style="217" customWidth="1"/>
    <col min="8204" max="8211" width="4.69921875" style="217" customWidth="1"/>
    <col min="8212" max="8212" width="3.09765625" style="217" customWidth="1"/>
    <col min="8213" max="8213" width="13.59765625" style="217" customWidth="1"/>
    <col min="8214" max="8214" width="26.69921875" style="217" customWidth="1"/>
    <col min="8215" max="8218" width="13.59765625" style="217" customWidth="1"/>
    <col min="8219" max="8448" width="7.69921875" style="217"/>
    <col min="8449" max="8449" width="2.5" style="217" customWidth="1"/>
    <col min="8450" max="8450" width="7.09765625" style="217" customWidth="1"/>
    <col min="8451" max="8453" width="3.09765625" style="217" customWidth="1"/>
    <col min="8454" max="8454" width="4" style="217" customWidth="1"/>
    <col min="8455" max="8457" width="3.09765625" style="217" customWidth="1"/>
    <col min="8458" max="8458" width="3.59765625" style="217" customWidth="1"/>
    <col min="8459" max="8459" width="4.8984375" style="217" customWidth="1"/>
    <col min="8460" max="8467" width="4.69921875" style="217" customWidth="1"/>
    <col min="8468" max="8468" width="3.09765625" style="217" customWidth="1"/>
    <col min="8469" max="8469" width="13.59765625" style="217" customWidth="1"/>
    <col min="8470" max="8470" width="26.69921875" style="217" customWidth="1"/>
    <col min="8471" max="8474" width="13.59765625" style="217" customWidth="1"/>
    <col min="8475" max="8704" width="7.69921875" style="217"/>
    <col min="8705" max="8705" width="2.5" style="217" customWidth="1"/>
    <col min="8706" max="8706" width="7.09765625" style="217" customWidth="1"/>
    <col min="8707" max="8709" width="3.09765625" style="217" customWidth="1"/>
    <col min="8710" max="8710" width="4" style="217" customWidth="1"/>
    <col min="8711" max="8713" width="3.09765625" style="217" customWidth="1"/>
    <col min="8714" max="8714" width="3.59765625" style="217" customWidth="1"/>
    <col min="8715" max="8715" width="4.8984375" style="217" customWidth="1"/>
    <col min="8716" max="8723" width="4.69921875" style="217" customWidth="1"/>
    <col min="8724" max="8724" width="3.09765625" style="217" customWidth="1"/>
    <col min="8725" max="8725" width="13.59765625" style="217" customWidth="1"/>
    <col min="8726" max="8726" width="26.69921875" style="217" customWidth="1"/>
    <col min="8727" max="8730" width="13.59765625" style="217" customWidth="1"/>
    <col min="8731" max="8960" width="7.69921875" style="217"/>
    <col min="8961" max="8961" width="2.5" style="217" customWidth="1"/>
    <col min="8962" max="8962" width="7.09765625" style="217" customWidth="1"/>
    <col min="8963" max="8965" width="3.09765625" style="217" customWidth="1"/>
    <col min="8966" max="8966" width="4" style="217" customWidth="1"/>
    <col min="8967" max="8969" width="3.09765625" style="217" customWidth="1"/>
    <col min="8970" max="8970" width="3.59765625" style="217" customWidth="1"/>
    <col min="8971" max="8971" width="4.8984375" style="217" customWidth="1"/>
    <col min="8972" max="8979" width="4.69921875" style="217" customWidth="1"/>
    <col min="8980" max="8980" width="3.09765625" style="217" customWidth="1"/>
    <col min="8981" max="8981" width="13.59765625" style="217" customWidth="1"/>
    <col min="8982" max="8982" width="26.69921875" style="217" customWidth="1"/>
    <col min="8983" max="8986" width="13.59765625" style="217" customWidth="1"/>
    <col min="8987" max="9216" width="7.69921875" style="217"/>
    <col min="9217" max="9217" width="2.5" style="217" customWidth="1"/>
    <col min="9218" max="9218" width="7.09765625" style="217" customWidth="1"/>
    <col min="9219" max="9221" width="3.09765625" style="217" customWidth="1"/>
    <col min="9222" max="9222" width="4" style="217" customWidth="1"/>
    <col min="9223" max="9225" width="3.09765625" style="217" customWidth="1"/>
    <col min="9226" max="9226" width="3.59765625" style="217" customWidth="1"/>
    <col min="9227" max="9227" width="4.8984375" style="217" customWidth="1"/>
    <col min="9228" max="9235" width="4.69921875" style="217" customWidth="1"/>
    <col min="9236" max="9236" width="3.09765625" style="217" customWidth="1"/>
    <col min="9237" max="9237" width="13.59765625" style="217" customWidth="1"/>
    <col min="9238" max="9238" width="26.69921875" style="217" customWidth="1"/>
    <col min="9239" max="9242" width="13.59765625" style="217" customWidth="1"/>
    <col min="9243" max="9472" width="7.69921875" style="217"/>
    <col min="9473" max="9473" width="2.5" style="217" customWidth="1"/>
    <col min="9474" max="9474" width="7.09765625" style="217" customWidth="1"/>
    <col min="9475" max="9477" width="3.09765625" style="217" customWidth="1"/>
    <col min="9478" max="9478" width="4" style="217" customWidth="1"/>
    <col min="9479" max="9481" width="3.09765625" style="217" customWidth="1"/>
    <col min="9482" max="9482" width="3.59765625" style="217" customWidth="1"/>
    <col min="9483" max="9483" width="4.8984375" style="217" customWidth="1"/>
    <col min="9484" max="9491" width="4.69921875" style="217" customWidth="1"/>
    <col min="9492" max="9492" width="3.09765625" style="217" customWidth="1"/>
    <col min="9493" max="9493" width="13.59765625" style="217" customWidth="1"/>
    <col min="9494" max="9494" width="26.69921875" style="217" customWidth="1"/>
    <col min="9495" max="9498" width="13.59765625" style="217" customWidth="1"/>
    <col min="9499" max="9728" width="7.69921875" style="217"/>
    <col min="9729" max="9729" width="2.5" style="217" customWidth="1"/>
    <col min="9730" max="9730" width="7.09765625" style="217" customWidth="1"/>
    <col min="9731" max="9733" width="3.09765625" style="217" customWidth="1"/>
    <col min="9734" max="9734" width="4" style="217" customWidth="1"/>
    <col min="9735" max="9737" width="3.09765625" style="217" customWidth="1"/>
    <col min="9738" max="9738" width="3.59765625" style="217" customWidth="1"/>
    <col min="9739" max="9739" width="4.8984375" style="217" customWidth="1"/>
    <col min="9740" max="9747" width="4.69921875" style="217" customWidth="1"/>
    <col min="9748" max="9748" width="3.09765625" style="217" customWidth="1"/>
    <col min="9749" max="9749" width="13.59765625" style="217" customWidth="1"/>
    <col min="9750" max="9750" width="26.69921875" style="217" customWidth="1"/>
    <col min="9751" max="9754" width="13.59765625" style="217" customWidth="1"/>
    <col min="9755" max="9984" width="7.69921875" style="217"/>
    <col min="9985" max="9985" width="2.5" style="217" customWidth="1"/>
    <col min="9986" max="9986" width="7.09765625" style="217" customWidth="1"/>
    <col min="9987" max="9989" width="3.09765625" style="217" customWidth="1"/>
    <col min="9990" max="9990" width="4" style="217" customWidth="1"/>
    <col min="9991" max="9993" width="3.09765625" style="217" customWidth="1"/>
    <col min="9994" max="9994" width="3.59765625" style="217" customWidth="1"/>
    <col min="9995" max="9995" width="4.8984375" style="217" customWidth="1"/>
    <col min="9996" max="10003" width="4.69921875" style="217" customWidth="1"/>
    <col min="10004" max="10004" width="3.09765625" style="217" customWidth="1"/>
    <col min="10005" max="10005" width="13.59765625" style="217" customWidth="1"/>
    <col min="10006" max="10006" width="26.69921875" style="217" customWidth="1"/>
    <col min="10007" max="10010" width="13.59765625" style="217" customWidth="1"/>
    <col min="10011" max="10240" width="7.69921875" style="217"/>
    <col min="10241" max="10241" width="2.5" style="217" customWidth="1"/>
    <col min="10242" max="10242" width="7.09765625" style="217" customWidth="1"/>
    <col min="10243" max="10245" width="3.09765625" style="217" customWidth="1"/>
    <col min="10246" max="10246" width="4" style="217" customWidth="1"/>
    <col min="10247" max="10249" width="3.09765625" style="217" customWidth="1"/>
    <col min="10250" max="10250" width="3.59765625" style="217" customWidth="1"/>
    <col min="10251" max="10251" width="4.8984375" style="217" customWidth="1"/>
    <col min="10252" max="10259" width="4.69921875" style="217" customWidth="1"/>
    <col min="10260" max="10260" width="3.09765625" style="217" customWidth="1"/>
    <col min="10261" max="10261" width="13.59765625" style="217" customWidth="1"/>
    <col min="10262" max="10262" width="26.69921875" style="217" customWidth="1"/>
    <col min="10263" max="10266" width="13.59765625" style="217" customWidth="1"/>
    <col min="10267" max="10496" width="7.69921875" style="217"/>
    <col min="10497" max="10497" width="2.5" style="217" customWidth="1"/>
    <col min="10498" max="10498" width="7.09765625" style="217" customWidth="1"/>
    <col min="10499" max="10501" width="3.09765625" style="217" customWidth="1"/>
    <col min="10502" max="10502" width="4" style="217" customWidth="1"/>
    <col min="10503" max="10505" width="3.09765625" style="217" customWidth="1"/>
    <col min="10506" max="10506" width="3.59765625" style="217" customWidth="1"/>
    <col min="10507" max="10507" width="4.8984375" style="217" customWidth="1"/>
    <col min="10508" max="10515" width="4.69921875" style="217" customWidth="1"/>
    <col min="10516" max="10516" width="3.09765625" style="217" customWidth="1"/>
    <col min="10517" max="10517" width="13.59765625" style="217" customWidth="1"/>
    <col min="10518" max="10518" width="26.69921875" style="217" customWidth="1"/>
    <col min="10519" max="10522" width="13.59765625" style="217" customWidth="1"/>
    <col min="10523" max="10752" width="7.69921875" style="217"/>
    <col min="10753" max="10753" width="2.5" style="217" customWidth="1"/>
    <col min="10754" max="10754" width="7.09765625" style="217" customWidth="1"/>
    <col min="10755" max="10757" width="3.09765625" style="217" customWidth="1"/>
    <col min="10758" max="10758" width="4" style="217" customWidth="1"/>
    <col min="10759" max="10761" width="3.09765625" style="217" customWidth="1"/>
    <col min="10762" max="10762" width="3.59765625" style="217" customWidth="1"/>
    <col min="10763" max="10763" width="4.8984375" style="217" customWidth="1"/>
    <col min="10764" max="10771" width="4.69921875" style="217" customWidth="1"/>
    <col min="10772" max="10772" width="3.09765625" style="217" customWidth="1"/>
    <col min="10773" max="10773" width="13.59765625" style="217" customWidth="1"/>
    <col min="10774" max="10774" width="26.69921875" style="217" customWidth="1"/>
    <col min="10775" max="10778" width="13.59765625" style="217" customWidth="1"/>
    <col min="10779" max="11008" width="7.69921875" style="217"/>
    <col min="11009" max="11009" width="2.5" style="217" customWidth="1"/>
    <col min="11010" max="11010" width="7.09765625" style="217" customWidth="1"/>
    <col min="11011" max="11013" width="3.09765625" style="217" customWidth="1"/>
    <col min="11014" max="11014" width="4" style="217" customWidth="1"/>
    <col min="11015" max="11017" width="3.09765625" style="217" customWidth="1"/>
    <col min="11018" max="11018" width="3.59765625" style="217" customWidth="1"/>
    <col min="11019" max="11019" width="4.8984375" style="217" customWidth="1"/>
    <col min="11020" max="11027" width="4.69921875" style="217" customWidth="1"/>
    <col min="11028" max="11028" width="3.09765625" style="217" customWidth="1"/>
    <col min="11029" max="11029" width="13.59765625" style="217" customWidth="1"/>
    <col min="11030" max="11030" width="26.69921875" style="217" customWidth="1"/>
    <col min="11031" max="11034" width="13.59765625" style="217" customWidth="1"/>
    <col min="11035" max="11264" width="7.69921875" style="217"/>
    <col min="11265" max="11265" width="2.5" style="217" customWidth="1"/>
    <col min="11266" max="11266" width="7.09765625" style="217" customWidth="1"/>
    <col min="11267" max="11269" width="3.09765625" style="217" customWidth="1"/>
    <col min="11270" max="11270" width="4" style="217" customWidth="1"/>
    <col min="11271" max="11273" width="3.09765625" style="217" customWidth="1"/>
    <col min="11274" max="11274" width="3.59765625" style="217" customWidth="1"/>
    <col min="11275" max="11275" width="4.8984375" style="217" customWidth="1"/>
    <col min="11276" max="11283" width="4.69921875" style="217" customWidth="1"/>
    <col min="11284" max="11284" width="3.09765625" style="217" customWidth="1"/>
    <col min="11285" max="11285" width="13.59765625" style="217" customWidth="1"/>
    <col min="11286" max="11286" width="26.69921875" style="217" customWidth="1"/>
    <col min="11287" max="11290" width="13.59765625" style="217" customWidth="1"/>
    <col min="11291" max="11520" width="7.69921875" style="217"/>
    <col min="11521" max="11521" width="2.5" style="217" customWidth="1"/>
    <col min="11522" max="11522" width="7.09765625" style="217" customWidth="1"/>
    <col min="11523" max="11525" width="3.09765625" style="217" customWidth="1"/>
    <col min="11526" max="11526" width="4" style="217" customWidth="1"/>
    <col min="11527" max="11529" width="3.09765625" style="217" customWidth="1"/>
    <col min="11530" max="11530" width="3.59765625" style="217" customWidth="1"/>
    <col min="11531" max="11531" width="4.8984375" style="217" customWidth="1"/>
    <col min="11532" max="11539" width="4.69921875" style="217" customWidth="1"/>
    <col min="11540" max="11540" width="3.09765625" style="217" customWidth="1"/>
    <col min="11541" max="11541" width="13.59765625" style="217" customWidth="1"/>
    <col min="11542" max="11542" width="26.69921875" style="217" customWidth="1"/>
    <col min="11543" max="11546" width="13.59765625" style="217" customWidth="1"/>
    <col min="11547" max="11776" width="7.69921875" style="217"/>
    <col min="11777" max="11777" width="2.5" style="217" customWidth="1"/>
    <col min="11778" max="11778" width="7.09765625" style="217" customWidth="1"/>
    <col min="11779" max="11781" width="3.09765625" style="217" customWidth="1"/>
    <col min="11782" max="11782" width="4" style="217" customWidth="1"/>
    <col min="11783" max="11785" width="3.09765625" style="217" customWidth="1"/>
    <col min="11786" max="11786" width="3.59765625" style="217" customWidth="1"/>
    <col min="11787" max="11787" width="4.8984375" style="217" customWidth="1"/>
    <col min="11788" max="11795" width="4.69921875" style="217" customWidth="1"/>
    <col min="11796" max="11796" width="3.09765625" style="217" customWidth="1"/>
    <col min="11797" max="11797" width="13.59765625" style="217" customWidth="1"/>
    <col min="11798" max="11798" width="26.69921875" style="217" customWidth="1"/>
    <col min="11799" max="11802" width="13.59765625" style="217" customWidth="1"/>
    <col min="11803" max="12032" width="7.69921875" style="217"/>
    <col min="12033" max="12033" width="2.5" style="217" customWidth="1"/>
    <col min="12034" max="12034" width="7.09765625" style="217" customWidth="1"/>
    <col min="12035" max="12037" width="3.09765625" style="217" customWidth="1"/>
    <col min="12038" max="12038" width="4" style="217" customWidth="1"/>
    <col min="12039" max="12041" width="3.09765625" style="217" customWidth="1"/>
    <col min="12042" max="12042" width="3.59765625" style="217" customWidth="1"/>
    <col min="12043" max="12043" width="4.8984375" style="217" customWidth="1"/>
    <col min="12044" max="12051" width="4.69921875" style="217" customWidth="1"/>
    <col min="12052" max="12052" width="3.09765625" style="217" customWidth="1"/>
    <col min="12053" max="12053" width="13.59765625" style="217" customWidth="1"/>
    <col min="12054" max="12054" width="26.69921875" style="217" customWidth="1"/>
    <col min="12055" max="12058" width="13.59765625" style="217" customWidth="1"/>
    <col min="12059" max="12288" width="7.69921875" style="217"/>
    <col min="12289" max="12289" width="2.5" style="217" customWidth="1"/>
    <col min="12290" max="12290" width="7.09765625" style="217" customWidth="1"/>
    <col min="12291" max="12293" width="3.09765625" style="217" customWidth="1"/>
    <col min="12294" max="12294" width="4" style="217" customWidth="1"/>
    <col min="12295" max="12297" width="3.09765625" style="217" customWidth="1"/>
    <col min="12298" max="12298" width="3.59765625" style="217" customWidth="1"/>
    <col min="12299" max="12299" width="4.8984375" style="217" customWidth="1"/>
    <col min="12300" max="12307" width="4.69921875" style="217" customWidth="1"/>
    <col min="12308" max="12308" width="3.09765625" style="217" customWidth="1"/>
    <col min="12309" max="12309" width="13.59765625" style="217" customWidth="1"/>
    <col min="12310" max="12310" width="26.69921875" style="217" customWidth="1"/>
    <col min="12311" max="12314" width="13.59765625" style="217" customWidth="1"/>
    <col min="12315" max="12544" width="7.69921875" style="217"/>
    <col min="12545" max="12545" width="2.5" style="217" customWidth="1"/>
    <col min="12546" max="12546" width="7.09765625" style="217" customWidth="1"/>
    <col min="12547" max="12549" width="3.09765625" style="217" customWidth="1"/>
    <col min="12550" max="12550" width="4" style="217" customWidth="1"/>
    <col min="12551" max="12553" width="3.09765625" style="217" customWidth="1"/>
    <col min="12554" max="12554" width="3.59765625" style="217" customWidth="1"/>
    <col min="12555" max="12555" width="4.8984375" style="217" customWidth="1"/>
    <col min="12556" max="12563" width="4.69921875" style="217" customWidth="1"/>
    <col min="12564" max="12564" width="3.09765625" style="217" customWidth="1"/>
    <col min="12565" max="12565" width="13.59765625" style="217" customWidth="1"/>
    <col min="12566" max="12566" width="26.69921875" style="217" customWidth="1"/>
    <col min="12567" max="12570" width="13.59765625" style="217" customWidth="1"/>
    <col min="12571" max="12800" width="7.69921875" style="217"/>
    <col min="12801" max="12801" width="2.5" style="217" customWidth="1"/>
    <col min="12802" max="12802" width="7.09765625" style="217" customWidth="1"/>
    <col min="12803" max="12805" width="3.09765625" style="217" customWidth="1"/>
    <col min="12806" max="12806" width="4" style="217" customWidth="1"/>
    <col min="12807" max="12809" width="3.09765625" style="217" customWidth="1"/>
    <col min="12810" max="12810" width="3.59765625" style="217" customWidth="1"/>
    <col min="12811" max="12811" width="4.8984375" style="217" customWidth="1"/>
    <col min="12812" max="12819" width="4.69921875" style="217" customWidth="1"/>
    <col min="12820" max="12820" width="3.09765625" style="217" customWidth="1"/>
    <col min="12821" max="12821" width="13.59765625" style="217" customWidth="1"/>
    <col min="12822" max="12822" width="26.69921875" style="217" customWidth="1"/>
    <col min="12823" max="12826" width="13.59765625" style="217" customWidth="1"/>
    <col min="12827" max="13056" width="7.69921875" style="217"/>
    <col min="13057" max="13057" width="2.5" style="217" customWidth="1"/>
    <col min="13058" max="13058" width="7.09765625" style="217" customWidth="1"/>
    <col min="13059" max="13061" width="3.09765625" style="217" customWidth="1"/>
    <col min="13062" max="13062" width="4" style="217" customWidth="1"/>
    <col min="13063" max="13065" width="3.09765625" style="217" customWidth="1"/>
    <col min="13066" max="13066" width="3.59765625" style="217" customWidth="1"/>
    <col min="13067" max="13067" width="4.8984375" style="217" customWidth="1"/>
    <col min="13068" max="13075" width="4.69921875" style="217" customWidth="1"/>
    <col min="13076" max="13076" width="3.09765625" style="217" customWidth="1"/>
    <col min="13077" max="13077" width="13.59765625" style="217" customWidth="1"/>
    <col min="13078" max="13078" width="26.69921875" style="217" customWidth="1"/>
    <col min="13079" max="13082" width="13.59765625" style="217" customWidth="1"/>
    <col min="13083" max="13312" width="7.69921875" style="217"/>
    <col min="13313" max="13313" width="2.5" style="217" customWidth="1"/>
    <col min="13314" max="13314" width="7.09765625" style="217" customWidth="1"/>
    <col min="13315" max="13317" width="3.09765625" style="217" customWidth="1"/>
    <col min="13318" max="13318" width="4" style="217" customWidth="1"/>
    <col min="13319" max="13321" width="3.09765625" style="217" customWidth="1"/>
    <col min="13322" max="13322" width="3.59765625" style="217" customWidth="1"/>
    <col min="13323" max="13323" width="4.8984375" style="217" customWidth="1"/>
    <col min="13324" max="13331" width="4.69921875" style="217" customWidth="1"/>
    <col min="13332" max="13332" width="3.09765625" style="217" customWidth="1"/>
    <col min="13333" max="13333" width="13.59765625" style="217" customWidth="1"/>
    <col min="13334" max="13334" width="26.69921875" style="217" customWidth="1"/>
    <col min="13335" max="13338" width="13.59765625" style="217" customWidth="1"/>
    <col min="13339" max="13568" width="7.69921875" style="217"/>
    <col min="13569" max="13569" width="2.5" style="217" customWidth="1"/>
    <col min="13570" max="13570" width="7.09765625" style="217" customWidth="1"/>
    <col min="13571" max="13573" width="3.09765625" style="217" customWidth="1"/>
    <col min="13574" max="13574" width="4" style="217" customWidth="1"/>
    <col min="13575" max="13577" width="3.09765625" style="217" customWidth="1"/>
    <col min="13578" max="13578" width="3.59765625" style="217" customWidth="1"/>
    <col min="13579" max="13579" width="4.8984375" style="217" customWidth="1"/>
    <col min="13580" max="13587" width="4.69921875" style="217" customWidth="1"/>
    <col min="13588" max="13588" width="3.09765625" style="217" customWidth="1"/>
    <col min="13589" max="13589" width="13.59765625" style="217" customWidth="1"/>
    <col min="13590" max="13590" width="26.69921875" style="217" customWidth="1"/>
    <col min="13591" max="13594" width="13.59765625" style="217" customWidth="1"/>
    <col min="13595" max="13824" width="7.69921875" style="217"/>
    <col min="13825" max="13825" width="2.5" style="217" customWidth="1"/>
    <col min="13826" max="13826" width="7.09765625" style="217" customWidth="1"/>
    <col min="13827" max="13829" width="3.09765625" style="217" customWidth="1"/>
    <col min="13830" max="13830" width="4" style="217" customWidth="1"/>
    <col min="13831" max="13833" width="3.09765625" style="217" customWidth="1"/>
    <col min="13834" max="13834" width="3.59765625" style="217" customWidth="1"/>
    <col min="13835" max="13835" width="4.8984375" style="217" customWidth="1"/>
    <col min="13836" max="13843" width="4.69921875" style="217" customWidth="1"/>
    <col min="13844" max="13844" width="3.09765625" style="217" customWidth="1"/>
    <col min="13845" max="13845" width="13.59765625" style="217" customWidth="1"/>
    <col min="13846" max="13846" width="26.69921875" style="217" customWidth="1"/>
    <col min="13847" max="13850" width="13.59765625" style="217" customWidth="1"/>
    <col min="13851" max="14080" width="7.69921875" style="217"/>
    <col min="14081" max="14081" width="2.5" style="217" customWidth="1"/>
    <col min="14082" max="14082" width="7.09765625" style="217" customWidth="1"/>
    <col min="14083" max="14085" width="3.09765625" style="217" customWidth="1"/>
    <col min="14086" max="14086" width="4" style="217" customWidth="1"/>
    <col min="14087" max="14089" width="3.09765625" style="217" customWidth="1"/>
    <col min="14090" max="14090" width="3.59765625" style="217" customWidth="1"/>
    <col min="14091" max="14091" width="4.8984375" style="217" customWidth="1"/>
    <col min="14092" max="14099" width="4.69921875" style="217" customWidth="1"/>
    <col min="14100" max="14100" width="3.09765625" style="217" customWidth="1"/>
    <col min="14101" max="14101" width="13.59765625" style="217" customWidth="1"/>
    <col min="14102" max="14102" width="26.69921875" style="217" customWidth="1"/>
    <col min="14103" max="14106" width="13.59765625" style="217" customWidth="1"/>
    <col min="14107" max="14336" width="7.69921875" style="217"/>
    <col min="14337" max="14337" width="2.5" style="217" customWidth="1"/>
    <col min="14338" max="14338" width="7.09765625" style="217" customWidth="1"/>
    <col min="14339" max="14341" width="3.09765625" style="217" customWidth="1"/>
    <col min="14342" max="14342" width="4" style="217" customWidth="1"/>
    <col min="14343" max="14345" width="3.09765625" style="217" customWidth="1"/>
    <col min="14346" max="14346" width="3.59765625" style="217" customWidth="1"/>
    <col min="14347" max="14347" width="4.8984375" style="217" customWidth="1"/>
    <col min="14348" max="14355" width="4.69921875" style="217" customWidth="1"/>
    <col min="14356" max="14356" width="3.09765625" style="217" customWidth="1"/>
    <col min="14357" max="14357" width="13.59765625" style="217" customWidth="1"/>
    <col min="14358" max="14358" width="26.69921875" style="217" customWidth="1"/>
    <col min="14359" max="14362" width="13.59765625" style="217" customWidth="1"/>
    <col min="14363" max="14592" width="7.69921875" style="217"/>
    <col min="14593" max="14593" width="2.5" style="217" customWidth="1"/>
    <col min="14594" max="14594" width="7.09765625" style="217" customWidth="1"/>
    <col min="14595" max="14597" width="3.09765625" style="217" customWidth="1"/>
    <col min="14598" max="14598" width="4" style="217" customWidth="1"/>
    <col min="14599" max="14601" width="3.09765625" style="217" customWidth="1"/>
    <col min="14602" max="14602" width="3.59765625" style="217" customWidth="1"/>
    <col min="14603" max="14603" width="4.8984375" style="217" customWidth="1"/>
    <col min="14604" max="14611" width="4.69921875" style="217" customWidth="1"/>
    <col min="14612" max="14612" width="3.09765625" style="217" customWidth="1"/>
    <col min="14613" max="14613" width="13.59765625" style="217" customWidth="1"/>
    <col min="14614" max="14614" width="26.69921875" style="217" customWidth="1"/>
    <col min="14615" max="14618" width="13.59765625" style="217" customWidth="1"/>
    <col min="14619" max="14848" width="7.69921875" style="217"/>
    <col min="14849" max="14849" width="2.5" style="217" customWidth="1"/>
    <col min="14850" max="14850" width="7.09765625" style="217" customWidth="1"/>
    <col min="14851" max="14853" width="3.09765625" style="217" customWidth="1"/>
    <col min="14854" max="14854" width="4" style="217" customWidth="1"/>
    <col min="14855" max="14857" width="3.09765625" style="217" customWidth="1"/>
    <col min="14858" max="14858" width="3.59765625" style="217" customWidth="1"/>
    <col min="14859" max="14859" width="4.8984375" style="217" customWidth="1"/>
    <col min="14860" max="14867" width="4.69921875" style="217" customWidth="1"/>
    <col min="14868" max="14868" width="3.09765625" style="217" customWidth="1"/>
    <col min="14869" max="14869" width="13.59765625" style="217" customWidth="1"/>
    <col min="14870" max="14870" width="26.69921875" style="217" customWidth="1"/>
    <col min="14871" max="14874" width="13.59765625" style="217" customWidth="1"/>
    <col min="14875" max="15104" width="7.69921875" style="217"/>
    <col min="15105" max="15105" width="2.5" style="217" customWidth="1"/>
    <col min="15106" max="15106" width="7.09765625" style="217" customWidth="1"/>
    <col min="15107" max="15109" width="3.09765625" style="217" customWidth="1"/>
    <col min="15110" max="15110" width="4" style="217" customWidth="1"/>
    <col min="15111" max="15113" width="3.09765625" style="217" customWidth="1"/>
    <col min="15114" max="15114" width="3.59765625" style="217" customWidth="1"/>
    <col min="15115" max="15115" width="4.8984375" style="217" customWidth="1"/>
    <col min="15116" max="15123" width="4.69921875" style="217" customWidth="1"/>
    <col min="15124" max="15124" width="3.09765625" style="217" customWidth="1"/>
    <col min="15125" max="15125" width="13.59765625" style="217" customWidth="1"/>
    <col min="15126" max="15126" width="26.69921875" style="217" customWidth="1"/>
    <col min="15127" max="15130" width="13.59765625" style="217" customWidth="1"/>
    <col min="15131" max="15360" width="7.69921875" style="217"/>
    <col min="15361" max="15361" width="2.5" style="217" customWidth="1"/>
    <col min="15362" max="15362" width="7.09765625" style="217" customWidth="1"/>
    <col min="15363" max="15365" width="3.09765625" style="217" customWidth="1"/>
    <col min="15366" max="15366" width="4" style="217" customWidth="1"/>
    <col min="15367" max="15369" width="3.09765625" style="217" customWidth="1"/>
    <col min="15370" max="15370" width="3.59765625" style="217" customWidth="1"/>
    <col min="15371" max="15371" width="4.8984375" style="217" customWidth="1"/>
    <col min="15372" max="15379" width="4.69921875" style="217" customWidth="1"/>
    <col min="15380" max="15380" width="3.09765625" style="217" customWidth="1"/>
    <col min="15381" max="15381" width="13.59765625" style="217" customWidth="1"/>
    <col min="15382" max="15382" width="26.69921875" style="217" customWidth="1"/>
    <col min="15383" max="15386" width="13.59765625" style="217" customWidth="1"/>
    <col min="15387" max="15616" width="7.69921875" style="217"/>
    <col min="15617" max="15617" width="2.5" style="217" customWidth="1"/>
    <col min="15618" max="15618" width="7.09765625" style="217" customWidth="1"/>
    <col min="15619" max="15621" width="3.09765625" style="217" customWidth="1"/>
    <col min="15622" max="15622" width="4" style="217" customWidth="1"/>
    <col min="15623" max="15625" width="3.09765625" style="217" customWidth="1"/>
    <col min="15626" max="15626" width="3.59765625" style="217" customWidth="1"/>
    <col min="15627" max="15627" width="4.8984375" style="217" customWidth="1"/>
    <col min="15628" max="15635" width="4.69921875" style="217" customWidth="1"/>
    <col min="15636" max="15636" width="3.09765625" style="217" customWidth="1"/>
    <col min="15637" max="15637" width="13.59765625" style="217" customWidth="1"/>
    <col min="15638" max="15638" width="26.69921875" style="217" customWidth="1"/>
    <col min="15639" max="15642" width="13.59765625" style="217" customWidth="1"/>
    <col min="15643" max="15872" width="7.69921875" style="217"/>
    <col min="15873" max="15873" width="2.5" style="217" customWidth="1"/>
    <col min="15874" max="15874" width="7.09765625" style="217" customWidth="1"/>
    <col min="15875" max="15877" width="3.09765625" style="217" customWidth="1"/>
    <col min="15878" max="15878" width="4" style="217" customWidth="1"/>
    <col min="15879" max="15881" width="3.09765625" style="217" customWidth="1"/>
    <col min="15882" max="15882" width="3.59765625" style="217" customWidth="1"/>
    <col min="15883" max="15883" width="4.8984375" style="217" customWidth="1"/>
    <col min="15884" max="15891" width="4.69921875" style="217" customWidth="1"/>
    <col min="15892" max="15892" width="3.09765625" style="217" customWidth="1"/>
    <col min="15893" max="15893" width="13.59765625" style="217" customWidth="1"/>
    <col min="15894" max="15894" width="26.69921875" style="217" customWidth="1"/>
    <col min="15895" max="15898" width="13.59765625" style="217" customWidth="1"/>
    <col min="15899" max="16128" width="7.69921875" style="217"/>
    <col min="16129" max="16129" width="2.5" style="217" customWidth="1"/>
    <col min="16130" max="16130" width="7.09765625" style="217" customWidth="1"/>
    <col min="16131" max="16133" width="3.09765625" style="217" customWidth="1"/>
    <col min="16134" max="16134" width="4" style="217" customWidth="1"/>
    <col min="16135" max="16137" width="3.09765625" style="217" customWidth="1"/>
    <col min="16138" max="16138" width="3.59765625" style="217" customWidth="1"/>
    <col min="16139" max="16139" width="4.8984375" style="217" customWidth="1"/>
    <col min="16140" max="16147" width="4.69921875" style="217" customWidth="1"/>
    <col min="16148" max="16148" width="3.09765625" style="217" customWidth="1"/>
    <col min="16149" max="16149" width="13.59765625" style="217" customWidth="1"/>
    <col min="16150" max="16150" width="26.69921875" style="217" customWidth="1"/>
    <col min="16151" max="16154" width="13.59765625" style="217" customWidth="1"/>
    <col min="16155" max="16384" width="7.69921875" style="217"/>
  </cols>
  <sheetData>
    <row r="1" spans="1:26" s="212" customFormat="1" ht="15" customHeight="1">
      <c r="B1" s="247"/>
      <c r="C1" s="247"/>
      <c r="T1" s="247"/>
      <c r="V1" s="213" t="s">
        <v>368</v>
      </c>
    </row>
    <row r="2" spans="1:26" ht="15" customHeight="1">
      <c r="A2" s="214" t="s">
        <v>728</v>
      </c>
      <c r="B2" s="218"/>
      <c r="C2" s="218"/>
      <c r="D2" s="213"/>
      <c r="E2" s="213"/>
      <c r="F2" s="213"/>
      <c r="G2" s="213"/>
      <c r="H2" s="213"/>
      <c r="I2" s="213"/>
      <c r="J2" s="213"/>
      <c r="K2" s="213"/>
      <c r="L2" s="213"/>
      <c r="M2" s="213"/>
      <c r="N2" s="213"/>
      <c r="O2" s="213"/>
      <c r="P2" s="213"/>
      <c r="Q2" s="215" t="str">
        <f>'SP5-1'!L2</f>
        <v>Spreadsheet May 2025</v>
      </c>
      <c r="R2" s="213"/>
      <c r="S2" s="213"/>
      <c r="T2" s="219"/>
      <c r="V2" s="216" t="s">
        <v>369</v>
      </c>
      <c r="W2" s="213"/>
      <c r="X2" s="213"/>
      <c r="Y2" s="213"/>
    </row>
    <row r="3" spans="1:26" s="212" customFormat="1" ht="15" customHeight="1">
      <c r="A3" s="218" t="s">
        <v>756</v>
      </c>
      <c r="B3" s="218"/>
      <c r="C3" s="213"/>
      <c r="D3" s="213"/>
      <c r="E3" s="213"/>
      <c r="F3" s="213"/>
      <c r="G3" s="213"/>
      <c r="H3" s="213"/>
      <c r="I3" s="213"/>
      <c r="J3" s="213"/>
      <c r="K3" s="213"/>
      <c r="L3" s="213"/>
      <c r="M3" s="213"/>
      <c r="N3" s="213"/>
      <c r="O3" s="213"/>
      <c r="P3" s="213"/>
      <c r="Q3" s="213"/>
      <c r="R3" s="213"/>
      <c r="S3" s="213"/>
      <c r="T3" s="213"/>
      <c r="U3" s="213"/>
      <c r="V3" s="213"/>
      <c r="W3" s="213"/>
      <c r="X3" s="213"/>
      <c r="Y3" s="213"/>
    </row>
    <row r="4" spans="1:26" s="212" customFormat="1" ht="15" customHeight="1">
      <c r="A4" s="218"/>
      <c r="B4" s="494" t="s">
        <v>757</v>
      </c>
      <c r="C4" s="495"/>
      <c r="D4" s="495"/>
      <c r="E4" s="495"/>
      <c r="F4" s="495"/>
      <c r="G4" s="495"/>
      <c r="H4" s="495"/>
      <c r="I4" s="495"/>
      <c r="J4" s="495"/>
      <c r="K4" s="495"/>
      <c r="L4" s="495"/>
      <c r="M4" s="495"/>
      <c r="N4" s="495"/>
      <c r="O4" s="495"/>
      <c r="P4" s="495"/>
      <c r="Q4" s="495"/>
      <c r="R4" s="495"/>
      <c r="S4" s="495"/>
      <c r="T4" s="496"/>
      <c r="U4" s="213"/>
      <c r="V4" s="213"/>
      <c r="W4" s="213"/>
      <c r="X4" s="213"/>
      <c r="Y4" s="213"/>
    </row>
    <row r="5" spans="1:26" s="212" customFormat="1" ht="11.25" customHeight="1" thickBot="1">
      <c r="A5" s="219"/>
      <c r="B5" s="219"/>
      <c r="C5" s="213"/>
      <c r="D5" s="213"/>
      <c r="E5" s="213"/>
      <c r="F5" s="213"/>
      <c r="G5" s="213"/>
      <c r="H5" s="213"/>
      <c r="I5" s="213"/>
      <c r="J5" s="213"/>
      <c r="K5" s="213"/>
      <c r="L5" s="213"/>
      <c r="M5" s="213"/>
      <c r="N5" s="213"/>
      <c r="O5" s="213"/>
      <c r="P5" s="213"/>
      <c r="Q5" s="213"/>
      <c r="R5" s="213"/>
      <c r="S5" s="213"/>
      <c r="T5" s="213"/>
      <c r="U5" s="213"/>
      <c r="V5" s="213"/>
      <c r="W5" s="213"/>
      <c r="X5" s="213"/>
      <c r="Y5" s="213"/>
    </row>
    <row r="6" spans="1:26" s="251" customFormat="1" ht="19.5" customHeight="1" thickBot="1">
      <c r="A6" s="220">
        <v>1</v>
      </c>
      <c r="B6" s="488" t="s">
        <v>758</v>
      </c>
      <c r="C6" s="488"/>
      <c r="D6" s="488"/>
      <c r="E6" s="488"/>
      <c r="F6" s="488"/>
      <c r="G6" s="488"/>
      <c r="H6" s="488"/>
      <c r="I6" s="488"/>
      <c r="J6" s="488"/>
      <c r="K6" s="488"/>
      <c r="L6" s="488"/>
      <c r="M6" s="488"/>
      <c r="N6" s="488"/>
      <c r="O6" s="488"/>
      <c r="P6" s="221"/>
      <c r="Q6" s="221"/>
      <c r="R6" s="221"/>
      <c r="S6" s="221"/>
      <c r="T6" s="221"/>
      <c r="U6" s="213"/>
      <c r="V6" s="213"/>
      <c r="W6" s="213"/>
      <c r="X6" s="213"/>
      <c r="Y6" s="213"/>
    </row>
    <row r="7" spans="1:26" s="251" customFormat="1" ht="19.5" customHeight="1" thickBot="1">
      <c r="A7" s="222"/>
      <c r="B7" s="221"/>
      <c r="C7" s="221"/>
      <c r="D7" s="221"/>
      <c r="E7" s="221"/>
      <c r="F7" s="221"/>
      <c r="G7" s="221"/>
      <c r="H7" s="221"/>
      <c r="I7" s="221"/>
      <c r="J7" s="229" t="s">
        <v>264</v>
      </c>
      <c r="K7" s="536"/>
      <c r="L7" s="536"/>
      <c r="M7" s="536"/>
      <c r="N7" s="222" t="s">
        <v>412</v>
      </c>
      <c r="O7" s="221">
        <f>Tables!T6</f>
        <v>0.98039215686274506</v>
      </c>
      <c r="P7" s="229" t="s">
        <v>425</v>
      </c>
      <c r="Q7" s="505">
        <f>K7*O7</f>
        <v>0</v>
      </c>
      <c r="R7" s="505"/>
      <c r="S7" s="505"/>
      <c r="T7" s="223" t="s">
        <v>413</v>
      </c>
      <c r="U7" s="213"/>
      <c r="V7" s="213"/>
      <c r="W7" s="213"/>
      <c r="X7" s="213"/>
      <c r="Y7" s="213"/>
    </row>
    <row r="8" spans="1:26" s="251" customFormat="1" ht="19.5" customHeight="1" thickBot="1">
      <c r="A8" s="220">
        <v>2</v>
      </c>
      <c r="B8" s="488" t="s">
        <v>759</v>
      </c>
      <c r="C8" s="488"/>
      <c r="D8" s="488"/>
      <c r="E8" s="488"/>
      <c r="F8" s="488"/>
      <c r="G8" s="488"/>
      <c r="H8" s="488"/>
      <c r="I8" s="221"/>
      <c r="J8" s="221"/>
      <c r="K8" s="221"/>
      <c r="L8" s="221"/>
      <c r="M8" s="221"/>
      <c r="N8" s="221"/>
      <c r="O8" s="221"/>
      <c r="P8" s="229" t="s">
        <v>760</v>
      </c>
      <c r="Q8" s="536"/>
      <c r="R8" s="536"/>
      <c r="S8" s="536"/>
      <c r="T8" s="223" t="s">
        <v>422</v>
      </c>
      <c r="U8" s="213"/>
      <c r="V8" s="213"/>
      <c r="W8" s="213"/>
      <c r="X8" s="213"/>
      <c r="Y8" s="213"/>
    </row>
    <row r="9" spans="1:26" s="251" customFormat="1" ht="19.5" customHeight="1" thickBot="1">
      <c r="A9" s="220">
        <v>3</v>
      </c>
      <c r="B9" s="488" t="s">
        <v>761</v>
      </c>
      <c r="C9" s="488"/>
      <c r="D9" s="488"/>
      <c r="E9" s="488"/>
      <c r="F9" s="488"/>
      <c r="G9" s="488"/>
      <c r="H9" s="488"/>
      <c r="I9" s="488"/>
      <c r="J9" s="488"/>
      <c r="K9" s="488"/>
      <c r="L9" s="488"/>
      <c r="M9" s="488"/>
      <c r="N9" s="221"/>
      <c r="O9" s="221"/>
      <c r="P9" s="221"/>
      <c r="Q9" s="221"/>
      <c r="R9" s="221"/>
      <c r="S9" s="221"/>
      <c r="T9" s="223"/>
      <c r="U9" s="213"/>
      <c r="V9" s="213"/>
      <c r="W9" s="213"/>
      <c r="X9" s="213"/>
      <c r="Y9" s="213"/>
    </row>
    <row r="10" spans="1:26" s="251" customFormat="1" ht="19.5" customHeight="1" thickBot="1">
      <c r="A10" s="222"/>
      <c r="B10" s="221"/>
      <c r="C10" s="221"/>
      <c r="D10" s="221"/>
      <c r="E10" s="221"/>
      <c r="F10" s="229" t="s">
        <v>426</v>
      </c>
      <c r="G10" s="221">
        <f>'SP5-1'!I23</f>
        <v>0</v>
      </c>
      <c r="H10" s="221"/>
      <c r="I10" s="221"/>
      <c r="J10" s="229" t="s">
        <v>762</v>
      </c>
      <c r="K10" s="536"/>
      <c r="L10" s="536"/>
      <c r="M10" s="536"/>
      <c r="N10" s="222" t="s">
        <v>412</v>
      </c>
      <c r="O10" s="248">
        <f>Tables!O12-Tables!O11</f>
        <v>-0.99016372140870601</v>
      </c>
      <c r="P10" s="229" t="s">
        <v>425</v>
      </c>
      <c r="Q10" s="505">
        <f>K10*O10</f>
        <v>0</v>
      </c>
      <c r="R10" s="505"/>
      <c r="S10" s="505"/>
      <c r="T10" s="223" t="s">
        <v>423</v>
      </c>
      <c r="U10" s="213"/>
      <c r="V10" s="487" t="s">
        <v>853</v>
      </c>
      <c r="W10" s="487"/>
      <c r="X10" s="487"/>
      <c r="Y10" s="487"/>
      <c r="Z10" s="487"/>
    </row>
    <row r="11" spans="1:26" s="251" customFormat="1" ht="19.5" customHeight="1" thickBot="1">
      <c r="A11" s="220">
        <v>4</v>
      </c>
      <c r="B11" s="488" t="s">
        <v>428</v>
      </c>
      <c r="C11" s="488"/>
      <c r="D11" s="488"/>
      <c r="E11" s="488"/>
      <c r="F11" s="488"/>
      <c r="G11" s="488"/>
      <c r="H11" s="488"/>
      <c r="I11" s="221"/>
      <c r="J11" s="221"/>
      <c r="K11" s="221"/>
      <c r="L11" s="221"/>
      <c r="M11" s="221"/>
      <c r="N11" s="221"/>
      <c r="O11" s="221"/>
      <c r="P11" s="221"/>
      <c r="Q11" s="221"/>
      <c r="R11" s="221"/>
      <c r="S11" s="221"/>
      <c r="T11" s="221"/>
      <c r="U11" s="213"/>
      <c r="V11" s="213"/>
      <c r="W11" s="213"/>
      <c r="X11" s="213"/>
      <c r="Y11" s="213"/>
    </row>
    <row r="12" spans="1:26" s="251" customFormat="1" ht="19.5" customHeight="1" thickBot="1">
      <c r="A12" s="222"/>
      <c r="B12" s="221" t="s">
        <v>414</v>
      </c>
      <c r="C12" s="221"/>
      <c r="D12" s="221"/>
      <c r="E12" s="221"/>
      <c r="F12" s="221"/>
      <c r="G12" s="221"/>
      <c r="H12" s="221"/>
      <c r="I12" s="221"/>
      <c r="J12" s="221"/>
      <c r="K12" s="221"/>
      <c r="L12" s="221"/>
      <c r="M12" s="221"/>
      <c r="N12" s="221"/>
      <c r="O12" s="221"/>
      <c r="P12" s="229" t="s">
        <v>415</v>
      </c>
      <c r="Q12" s="541">
        <f>'SP5-1'!I21</f>
        <v>0</v>
      </c>
      <c r="R12" s="541"/>
      <c r="S12" s="541"/>
      <c r="T12" s="221"/>
      <c r="U12" s="213"/>
      <c r="V12" s="213"/>
      <c r="W12" s="213"/>
      <c r="X12" s="213"/>
      <c r="Y12" s="213"/>
    </row>
    <row r="13" spans="1:26" s="251" customFormat="1" ht="19.5" customHeight="1" thickBot="1">
      <c r="A13" s="222"/>
      <c r="B13" s="249" t="s">
        <v>417</v>
      </c>
      <c r="C13" s="542" t="s">
        <v>418</v>
      </c>
      <c r="D13" s="542"/>
      <c r="E13" s="542"/>
      <c r="F13" s="542"/>
      <c r="G13" s="542"/>
      <c r="H13" s="542"/>
      <c r="I13" s="542"/>
      <c r="J13" s="542"/>
      <c r="K13" s="542" t="s">
        <v>419</v>
      </c>
      <c r="L13" s="542"/>
      <c r="M13" s="542"/>
      <c r="N13" s="542" t="s">
        <v>420</v>
      </c>
      <c r="O13" s="542"/>
      <c r="P13" s="542"/>
      <c r="Q13" s="542" t="s">
        <v>752</v>
      </c>
      <c r="R13" s="542"/>
      <c r="S13" s="542"/>
      <c r="T13" s="221"/>
      <c r="U13" s="213"/>
      <c r="V13" s="213"/>
      <c r="W13" s="213"/>
      <c r="X13" s="213"/>
      <c r="Y13" s="213"/>
    </row>
    <row r="14" spans="1:26" s="251" customFormat="1" ht="19.5" customHeight="1" thickBot="1">
      <c r="A14" s="222"/>
      <c r="B14" s="250"/>
      <c r="C14" s="544"/>
      <c r="D14" s="544"/>
      <c r="E14" s="544"/>
      <c r="F14" s="544"/>
      <c r="G14" s="544"/>
      <c r="H14" s="544"/>
      <c r="I14" s="544"/>
      <c r="J14" s="544"/>
      <c r="K14" s="545"/>
      <c r="L14" s="545"/>
      <c r="M14" s="545"/>
      <c r="N14" s="522" t="str">
        <f>Tables!Q24</f>
        <v/>
      </c>
      <c r="O14" s="522"/>
      <c r="P14" s="522"/>
      <c r="Q14" s="505" t="str">
        <f>IF(N14="","",K14*N14)</f>
        <v/>
      </c>
      <c r="R14" s="505"/>
      <c r="S14" s="505"/>
      <c r="T14" s="221"/>
      <c r="U14" s="213"/>
      <c r="V14" s="487" t="s">
        <v>848</v>
      </c>
      <c r="W14" s="487"/>
      <c r="X14" s="487"/>
      <c r="Y14" s="487"/>
      <c r="Z14" s="487"/>
    </row>
    <row r="15" spans="1:26" s="251" customFormat="1" ht="19.5" customHeight="1" thickBot="1">
      <c r="A15" s="222"/>
      <c r="B15" s="250"/>
      <c r="C15" s="544"/>
      <c r="D15" s="544"/>
      <c r="E15" s="544"/>
      <c r="F15" s="544"/>
      <c r="G15" s="544"/>
      <c r="H15" s="544"/>
      <c r="I15" s="544"/>
      <c r="J15" s="544"/>
      <c r="K15" s="545"/>
      <c r="L15" s="545"/>
      <c r="M15" s="545"/>
      <c r="N15" s="522" t="str">
        <f>Tables!Q25</f>
        <v/>
      </c>
      <c r="O15" s="522"/>
      <c r="P15" s="522"/>
      <c r="Q15" s="505" t="str">
        <f t="shared" ref="Q15:Q22" si="0">IF(N15="","",K15*N15)</f>
        <v/>
      </c>
      <c r="R15" s="505"/>
      <c r="S15" s="505"/>
      <c r="T15" s="221"/>
      <c r="U15" s="213"/>
      <c r="V15" s="487"/>
      <c r="W15" s="487"/>
      <c r="X15" s="487"/>
      <c r="Y15" s="487"/>
      <c r="Z15" s="487"/>
    </row>
    <row r="16" spans="1:26" s="251" customFormat="1" ht="19.5" customHeight="1" thickBot="1">
      <c r="A16" s="222"/>
      <c r="B16" s="250"/>
      <c r="C16" s="544"/>
      <c r="D16" s="544"/>
      <c r="E16" s="544"/>
      <c r="F16" s="544"/>
      <c r="G16" s="544"/>
      <c r="H16" s="544"/>
      <c r="I16" s="544"/>
      <c r="J16" s="544"/>
      <c r="K16" s="545"/>
      <c r="L16" s="545"/>
      <c r="M16" s="545"/>
      <c r="N16" s="522" t="str">
        <f>Tables!Q26</f>
        <v/>
      </c>
      <c r="O16" s="522"/>
      <c r="P16" s="522"/>
      <c r="Q16" s="505" t="str">
        <f t="shared" si="0"/>
        <v/>
      </c>
      <c r="R16" s="505"/>
      <c r="S16" s="505"/>
      <c r="T16" s="221"/>
      <c r="U16" s="213"/>
      <c r="V16" s="487"/>
      <c r="W16" s="487"/>
      <c r="X16" s="487"/>
      <c r="Y16" s="487"/>
      <c r="Z16" s="487"/>
    </row>
    <row r="17" spans="1:26" s="251" customFormat="1" ht="19.5" customHeight="1" thickBot="1">
      <c r="A17" s="222"/>
      <c r="B17" s="250"/>
      <c r="C17" s="544"/>
      <c r="D17" s="544"/>
      <c r="E17" s="544"/>
      <c r="F17" s="544"/>
      <c r="G17" s="544"/>
      <c r="H17" s="544"/>
      <c r="I17" s="544"/>
      <c r="J17" s="544"/>
      <c r="K17" s="545"/>
      <c r="L17" s="545"/>
      <c r="M17" s="545"/>
      <c r="N17" s="522" t="str">
        <f>Tables!Q27</f>
        <v/>
      </c>
      <c r="O17" s="522"/>
      <c r="P17" s="522"/>
      <c r="Q17" s="505" t="str">
        <f t="shared" si="0"/>
        <v/>
      </c>
      <c r="R17" s="505"/>
      <c r="S17" s="505"/>
      <c r="T17" s="221"/>
      <c r="U17" s="213"/>
      <c r="V17" s="487"/>
      <c r="W17" s="487"/>
      <c r="X17" s="487"/>
      <c r="Y17" s="487"/>
      <c r="Z17" s="487"/>
    </row>
    <row r="18" spans="1:26" s="251" customFormat="1" ht="19.5" customHeight="1" thickBot="1">
      <c r="A18" s="222"/>
      <c r="B18" s="250"/>
      <c r="C18" s="544"/>
      <c r="D18" s="544"/>
      <c r="E18" s="544"/>
      <c r="F18" s="544"/>
      <c r="G18" s="544"/>
      <c r="H18" s="544"/>
      <c r="I18" s="544"/>
      <c r="J18" s="544"/>
      <c r="K18" s="545"/>
      <c r="L18" s="545"/>
      <c r="M18" s="545"/>
      <c r="N18" s="522" t="str">
        <f>Tables!Q28</f>
        <v/>
      </c>
      <c r="O18" s="522"/>
      <c r="P18" s="522"/>
      <c r="Q18" s="505" t="str">
        <f>IF(N18="","",K18*N18)</f>
        <v/>
      </c>
      <c r="R18" s="505"/>
      <c r="S18" s="505"/>
      <c r="T18" s="221"/>
      <c r="U18" s="213"/>
      <c r="V18" s="487"/>
      <c r="W18" s="487"/>
      <c r="X18" s="487"/>
      <c r="Y18" s="487"/>
      <c r="Z18" s="487"/>
    </row>
    <row r="19" spans="1:26" s="251" customFormat="1" ht="19.5" customHeight="1" thickBot="1">
      <c r="A19" s="222"/>
      <c r="B19" s="250"/>
      <c r="C19" s="544"/>
      <c r="D19" s="544"/>
      <c r="E19" s="544"/>
      <c r="F19" s="544"/>
      <c r="G19" s="544"/>
      <c r="H19" s="544"/>
      <c r="I19" s="544"/>
      <c r="J19" s="544"/>
      <c r="K19" s="545"/>
      <c r="L19" s="545"/>
      <c r="M19" s="545"/>
      <c r="N19" s="522" t="str">
        <f>Tables!Q29</f>
        <v/>
      </c>
      <c r="O19" s="522"/>
      <c r="P19" s="522"/>
      <c r="Q19" s="505" t="str">
        <f>IF(N19="","",K19*N19)</f>
        <v/>
      </c>
      <c r="R19" s="505"/>
      <c r="S19" s="505"/>
      <c r="T19" s="221"/>
      <c r="U19" s="213"/>
      <c r="V19" s="487"/>
      <c r="W19" s="487"/>
      <c r="X19" s="487"/>
      <c r="Y19" s="487"/>
      <c r="Z19" s="487"/>
    </row>
    <row r="20" spans="1:26" s="251" customFormat="1" ht="19.5" customHeight="1" thickBot="1">
      <c r="A20" s="222"/>
      <c r="B20" s="250"/>
      <c r="C20" s="544"/>
      <c r="D20" s="544"/>
      <c r="E20" s="544"/>
      <c r="F20" s="544"/>
      <c r="G20" s="544"/>
      <c r="H20" s="544"/>
      <c r="I20" s="544"/>
      <c r="J20" s="544"/>
      <c r="K20" s="545"/>
      <c r="L20" s="545"/>
      <c r="M20" s="545"/>
      <c r="N20" s="522" t="str">
        <f>Tables!Q30</f>
        <v/>
      </c>
      <c r="O20" s="522"/>
      <c r="P20" s="522"/>
      <c r="Q20" s="505" t="str">
        <f t="shared" si="0"/>
        <v/>
      </c>
      <c r="R20" s="505"/>
      <c r="S20" s="505"/>
      <c r="T20" s="221"/>
      <c r="U20" s="213"/>
      <c r="V20" s="487"/>
      <c r="W20" s="487"/>
      <c r="X20" s="487"/>
      <c r="Y20" s="487"/>
      <c r="Z20" s="487"/>
    </row>
    <row r="21" spans="1:26" s="251" customFormat="1" ht="19.5" customHeight="1" thickBot="1">
      <c r="A21" s="222"/>
      <c r="B21" s="250"/>
      <c r="C21" s="544"/>
      <c r="D21" s="544"/>
      <c r="E21" s="544"/>
      <c r="F21" s="544"/>
      <c r="G21" s="544"/>
      <c r="H21" s="544"/>
      <c r="I21" s="544"/>
      <c r="J21" s="544"/>
      <c r="K21" s="545"/>
      <c r="L21" s="545"/>
      <c r="M21" s="545"/>
      <c r="N21" s="522" t="str">
        <f>Tables!Q31</f>
        <v/>
      </c>
      <c r="O21" s="522"/>
      <c r="P21" s="522"/>
      <c r="Q21" s="505" t="str">
        <f t="shared" si="0"/>
        <v/>
      </c>
      <c r="R21" s="505"/>
      <c r="S21" s="505"/>
      <c r="T21" s="221"/>
      <c r="U21" s="213"/>
      <c r="V21" s="487"/>
      <c r="W21" s="487"/>
      <c r="X21" s="487"/>
      <c r="Y21" s="487"/>
      <c r="Z21" s="487"/>
    </row>
    <row r="22" spans="1:26" s="251" customFormat="1" ht="19.5" customHeight="1" thickBot="1">
      <c r="A22" s="222"/>
      <c r="B22" s="250"/>
      <c r="C22" s="544"/>
      <c r="D22" s="544"/>
      <c r="E22" s="544"/>
      <c r="F22" s="544"/>
      <c r="G22" s="544"/>
      <c r="H22" s="544"/>
      <c r="I22" s="544"/>
      <c r="J22" s="544"/>
      <c r="K22" s="545"/>
      <c r="L22" s="545"/>
      <c r="M22" s="545"/>
      <c r="N22" s="522" t="str">
        <f>Tables!Q32</f>
        <v/>
      </c>
      <c r="O22" s="522"/>
      <c r="P22" s="522"/>
      <c r="Q22" s="505" t="str">
        <f t="shared" si="0"/>
        <v/>
      </c>
      <c r="R22" s="505"/>
      <c r="S22" s="505"/>
      <c r="T22" s="221"/>
      <c r="U22" s="213"/>
      <c r="V22" s="487"/>
      <c r="W22" s="487"/>
      <c r="X22" s="487"/>
      <c r="Y22" s="487"/>
      <c r="Z22" s="487"/>
    </row>
    <row r="23" spans="1:26" s="251" customFormat="1" ht="19.5" customHeight="1" thickBot="1">
      <c r="A23" s="222"/>
      <c r="B23" s="221"/>
      <c r="C23" s="221"/>
      <c r="D23" s="221"/>
      <c r="E23" s="221"/>
      <c r="F23" s="221"/>
      <c r="G23" s="221"/>
      <c r="H23" s="221"/>
      <c r="I23" s="221"/>
      <c r="J23" s="221"/>
      <c r="K23" s="221"/>
      <c r="L23" s="221"/>
      <c r="M23" s="221"/>
      <c r="N23" s="221"/>
      <c r="O23" s="221"/>
      <c r="P23" s="229" t="s">
        <v>763</v>
      </c>
      <c r="Q23" s="549">
        <f>SUM(Q14:S22)</f>
        <v>0</v>
      </c>
      <c r="R23" s="549"/>
      <c r="S23" s="549"/>
      <c r="T23" s="223" t="s">
        <v>429</v>
      </c>
      <c r="U23" s="213"/>
      <c r="V23" s="213"/>
      <c r="W23" s="213"/>
      <c r="X23" s="213"/>
      <c r="Y23" s="213"/>
    </row>
    <row r="24" spans="1:26" s="251" customFormat="1" ht="19.5" customHeight="1" thickBot="1">
      <c r="A24" s="220">
        <v>5</v>
      </c>
      <c r="B24" s="488" t="s">
        <v>764</v>
      </c>
      <c r="C24" s="488"/>
      <c r="D24" s="488"/>
      <c r="E24" s="488"/>
      <c r="F24" s="488"/>
      <c r="G24" s="488"/>
      <c r="H24" s="488"/>
      <c r="I24" s="488"/>
      <c r="J24" s="488"/>
      <c r="K24" s="488"/>
      <c r="L24" s="488"/>
      <c r="M24" s="488"/>
      <c r="N24" s="488"/>
      <c r="O24" s="221"/>
      <c r="P24" s="221"/>
      <c r="Q24" s="221"/>
      <c r="R24" s="221"/>
      <c r="S24" s="221"/>
      <c r="T24" s="221"/>
      <c r="U24" s="213"/>
      <c r="V24" s="213"/>
      <c r="W24" s="213"/>
      <c r="X24" s="213"/>
      <c r="Y24" s="213"/>
    </row>
    <row r="25" spans="1:26" s="251" customFormat="1" ht="24.9" customHeight="1" thickBot="1">
      <c r="A25" s="222"/>
      <c r="B25" s="221"/>
      <c r="C25" s="221"/>
      <c r="D25" s="221"/>
      <c r="E25" s="221"/>
      <c r="F25" s="229" t="s">
        <v>426</v>
      </c>
      <c r="G25" s="221">
        <f>'SP5-1'!I23</f>
        <v>0</v>
      </c>
      <c r="H25" s="221"/>
      <c r="I25" s="221"/>
      <c r="J25" s="229" t="s">
        <v>427</v>
      </c>
      <c r="K25" s="536"/>
      <c r="L25" s="536"/>
      <c r="M25" s="536"/>
      <c r="N25" s="222" t="s">
        <v>412</v>
      </c>
      <c r="O25" s="248">
        <f>O10</f>
        <v>-0.99016372140870601</v>
      </c>
      <c r="P25" s="229" t="s">
        <v>425</v>
      </c>
      <c r="Q25" s="505">
        <f>K25*O25</f>
        <v>0</v>
      </c>
      <c r="R25" s="505"/>
      <c r="S25" s="505"/>
      <c r="T25" s="223" t="s">
        <v>430</v>
      </c>
      <c r="U25" s="213"/>
      <c r="V25" s="491" t="s">
        <v>849</v>
      </c>
      <c r="W25" s="492"/>
      <c r="X25" s="492"/>
      <c r="Y25" s="492"/>
      <c r="Z25" s="493"/>
    </row>
    <row r="26" spans="1:26" s="251" customFormat="1" ht="19.5" customHeight="1" thickBot="1">
      <c r="A26" s="220">
        <v>6</v>
      </c>
      <c r="B26" s="488" t="s">
        <v>765</v>
      </c>
      <c r="C26" s="488"/>
      <c r="D26" s="488"/>
      <c r="E26" s="488"/>
      <c r="F26" s="488"/>
      <c r="G26" s="488"/>
      <c r="H26" s="488"/>
      <c r="I26" s="488"/>
      <c r="J26" s="221"/>
      <c r="K26" s="221"/>
      <c r="L26" s="221"/>
      <c r="M26" s="221"/>
      <c r="N26" s="221"/>
      <c r="O26" s="221"/>
      <c r="P26" s="221"/>
      <c r="Q26" s="221"/>
      <c r="R26" s="221"/>
      <c r="S26" s="221"/>
      <c r="T26" s="221"/>
      <c r="U26" s="213"/>
      <c r="V26" s="213"/>
      <c r="W26" s="213"/>
      <c r="X26" s="213"/>
      <c r="Y26" s="213"/>
    </row>
    <row r="27" spans="1:26" s="251" customFormat="1" ht="19.5" customHeight="1" thickBot="1">
      <c r="A27" s="222"/>
      <c r="B27" s="221"/>
      <c r="C27" s="221"/>
      <c r="D27" s="221"/>
      <c r="E27" s="221"/>
      <c r="F27" s="221"/>
      <c r="G27" s="221"/>
      <c r="H27" s="221"/>
      <c r="I27" s="221"/>
      <c r="J27" s="221"/>
      <c r="K27" s="252"/>
      <c r="L27" s="221"/>
      <c r="M27" s="221"/>
      <c r="N27" s="221"/>
      <c r="O27" s="221"/>
      <c r="P27" s="229" t="s">
        <v>766</v>
      </c>
      <c r="Q27" s="505">
        <f>Q7+Q8+Q10+Q23+Q25</f>
        <v>0</v>
      </c>
      <c r="R27" s="505"/>
      <c r="S27" s="505"/>
      <c r="T27" s="220" t="s">
        <v>395</v>
      </c>
      <c r="U27" s="213"/>
      <c r="V27" s="487" t="s">
        <v>431</v>
      </c>
      <c r="W27" s="487"/>
      <c r="X27" s="487"/>
      <c r="Y27" s="487"/>
      <c r="Z27" s="487"/>
    </row>
    <row r="28" spans="1:26" s="251" customFormat="1" ht="19.5" customHeight="1" thickBot="1">
      <c r="A28" s="222"/>
      <c r="B28" s="221"/>
      <c r="C28" s="221"/>
      <c r="D28" s="221"/>
      <c r="E28" s="221"/>
      <c r="F28" s="221"/>
      <c r="G28" s="221"/>
      <c r="H28" s="221"/>
      <c r="I28" s="221"/>
      <c r="J28" s="221"/>
      <c r="K28" s="221"/>
      <c r="L28" s="221"/>
      <c r="M28" s="221"/>
      <c r="N28" s="221"/>
      <c r="O28" s="221"/>
      <c r="P28" s="221"/>
      <c r="Q28" s="221"/>
      <c r="R28" s="221"/>
      <c r="S28" s="221"/>
      <c r="T28" s="221"/>
      <c r="U28" s="213"/>
      <c r="V28" s="213"/>
      <c r="W28" s="213"/>
      <c r="X28" s="213"/>
      <c r="Y28" s="213"/>
    </row>
    <row r="29" spans="1:26" s="212" customFormat="1" ht="11.4">
      <c r="A29" s="213"/>
      <c r="B29" s="213"/>
      <c r="C29" s="213"/>
      <c r="D29" s="213"/>
      <c r="E29" s="213"/>
      <c r="F29" s="213"/>
      <c r="G29" s="213"/>
      <c r="H29" s="213"/>
      <c r="I29" s="213"/>
      <c r="J29" s="213"/>
      <c r="K29" s="213"/>
      <c r="L29" s="213"/>
      <c r="M29" s="213"/>
      <c r="N29" s="213"/>
      <c r="O29" s="213"/>
      <c r="P29" s="213"/>
      <c r="Q29" s="213"/>
      <c r="R29" s="213"/>
      <c r="S29" s="213"/>
      <c r="T29" s="213"/>
      <c r="U29" s="213"/>
      <c r="V29" s="213"/>
      <c r="W29" s="213"/>
      <c r="X29" s="213"/>
      <c r="Y29" s="213"/>
    </row>
    <row r="30" spans="1:26">
      <c r="A30" s="213"/>
      <c r="B30" s="213"/>
      <c r="C30" s="213"/>
      <c r="D30" s="213"/>
      <c r="E30" s="213"/>
      <c r="F30" s="213"/>
      <c r="G30" s="213"/>
      <c r="H30" s="213"/>
      <c r="I30" s="213"/>
      <c r="J30" s="213"/>
      <c r="K30" s="213"/>
      <c r="L30" s="213"/>
      <c r="M30" s="213"/>
      <c r="N30" s="213"/>
      <c r="O30" s="213"/>
      <c r="P30" s="213"/>
      <c r="Q30" s="213"/>
      <c r="R30" s="213"/>
      <c r="S30" s="213"/>
      <c r="T30" s="213"/>
      <c r="U30" s="213"/>
      <c r="V30" s="213"/>
      <c r="W30" s="213"/>
      <c r="X30" s="213"/>
      <c r="Y30" s="213"/>
    </row>
    <row r="31" spans="1:26" hidden="1">
      <c r="A31" s="213">
        <v>0</v>
      </c>
      <c r="B31" s="213"/>
      <c r="C31" s="213"/>
      <c r="D31" s="213"/>
      <c r="E31" s="213"/>
      <c r="F31" s="213"/>
      <c r="G31" s="213"/>
      <c r="H31" s="213"/>
      <c r="I31" s="213"/>
      <c r="J31" s="213"/>
      <c r="K31" s="213"/>
      <c r="L31" s="213"/>
      <c r="M31" s="213"/>
      <c r="N31" s="213"/>
      <c r="O31" s="213"/>
      <c r="P31" s="213"/>
      <c r="Q31" s="213"/>
      <c r="R31" s="213"/>
      <c r="S31" s="213"/>
      <c r="T31" s="213"/>
      <c r="U31" s="213"/>
      <c r="V31" s="213"/>
      <c r="W31" s="213"/>
      <c r="X31" s="213"/>
      <c r="Y31" s="213"/>
    </row>
    <row r="32" spans="1:26" hidden="1">
      <c r="A32" s="213">
        <v>1</v>
      </c>
      <c r="B32" s="213"/>
      <c r="C32" s="213"/>
      <c r="D32" s="213"/>
      <c r="E32" s="213"/>
      <c r="F32" s="213"/>
      <c r="G32" s="213"/>
      <c r="H32" s="213"/>
      <c r="I32" s="213"/>
      <c r="J32" s="213"/>
      <c r="K32" s="213"/>
      <c r="L32" s="213"/>
      <c r="M32" s="213"/>
      <c r="N32" s="213"/>
      <c r="O32" s="213"/>
      <c r="P32" s="213"/>
      <c r="Q32" s="213"/>
      <c r="R32" s="213"/>
      <c r="S32" s="213"/>
      <c r="T32" s="213"/>
      <c r="U32" s="213"/>
      <c r="V32" s="213"/>
      <c r="W32" s="213"/>
      <c r="X32" s="213"/>
      <c r="Y32" s="213"/>
    </row>
    <row r="33" spans="1:25" hidden="1">
      <c r="A33" s="213">
        <v>2</v>
      </c>
      <c r="B33" s="213"/>
      <c r="C33" s="213"/>
      <c r="D33" s="213"/>
      <c r="E33" s="213"/>
      <c r="F33" s="213"/>
      <c r="G33" s="213"/>
      <c r="H33" s="213"/>
      <c r="I33" s="213"/>
      <c r="J33" s="213"/>
      <c r="K33" s="213"/>
      <c r="L33" s="213"/>
      <c r="M33" s="213"/>
      <c r="N33" s="213"/>
      <c r="O33" s="213"/>
      <c r="P33" s="213"/>
      <c r="Q33" s="213"/>
      <c r="R33" s="213"/>
      <c r="S33" s="213"/>
      <c r="T33" s="213"/>
      <c r="U33" s="213"/>
      <c r="V33" s="213"/>
      <c r="W33" s="213"/>
      <c r="X33" s="213"/>
      <c r="Y33" s="213"/>
    </row>
    <row r="34" spans="1:25" hidden="1">
      <c r="A34" s="213">
        <v>3</v>
      </c>
      <c r="B34" s="213"/>
      <c r="C34" s="213"/>
      <c r="D34" s="213"/>
      <c r="E34" s="213"/>
      <c r="F34" s="213"/>
      <c r="G34" s="213"/>
      <c r="H34" s="213"/>
      <c r="I34" s="213"/>
      <c r="J34" s="213"/>
      <c r="K34" s="213"/>
      <c r="L34" s="213"/>
      <c r="M34" s="213"/>
      <c r="N34" s="213"/>
      <c r="O34" s="213"/>
      <c r="P34" s="213"/>
      <c r="Q34" s="213"/>
      <c r="R34" s="213"/>
      <c r="S34" s="213"/>
      <c r="T34" s="213"/>
      <c r="U34" s="213"/>
      <c r="V34" s="213"/>
      <c r="W34" s="213"/>
      <c r="X34" s="213"/>
      <c r="Y34" s="213"/>
    </row>
    <row r="35" spans="1:25" hidden="1">
      <c r="A35" s="213">
        <v>4</v>
      </c>
      <c r="B35" s="213"/>
      <c r="C35" s="213"/>
      <c r="D35" s="213"/>
      <c r="E35" s="213"/>
      <c r="F35" s="213"/>
      <c r="G35" s="213"/>
      <c r="H35" s="213"/>
      <c r="I35" s="213"/>
      <c r="J35" s="213"/>
      <c r="K35" s="213"/>
      <c r="L35" s="213"/>
      <c r="M35" s="213"/>
      <c r="N35" s="213"/>
      <c r="O35" s="213"/>
      <c r="P35" s="213"/>
      <c r="Q35" s="213"/>
      <c r="R35" s="213"/>
      <c r="S35" s="213"/>
      <c r="T35" s="213"/>
      <c r="U35" s="213"/>
      <c r="V35" s="213"/>
      <c r="W35" s="213"/>
      <c r="X35" s="213"/>
      <c r="Y35" s="213"/>
    </row>
    <row r="36" spans="1:25" hidden="1">
      <c r="A36" s="213">
        <v>5</v>
      </c>
      <c r="B36" s="213"/>
      <c r="C36" s="213"/>
      <c r="D36" s="213"/>
      <c r="E36" s="213"/>
      <c r="F36" s="213"/>
      <c r="G36" s="213"/>
      <c r="H36" s="213"/>
      <c r="I36" s="213"/>
      <c r="J36" s="213"/>
      <c r="K36" s="213"/>
      <c r="L36" s="213"/>
      <c r="M36" s="213"/>
      <c r="N36" s="213"/>
      <c r="O36" s="213"/>
      <c r="P36" s="213"/>
      <c r="Q36" s="213"/>
      <c r="R36" s="213"/>
      <c r="S36" s="213"/>
      <c r="T36" s="213"/>
      <c r="U36" s="213"/>
      <c r="V36" s="213"/>
      <c r="W36" s="213"/>
      <c r="X36" s="213"/>
      <c r="Y36" s="213"/>
    </row>
    <row r="37" spans="1:25" hidden="1">
      <c r="A37" s="213">
        <v>6</v>
      </c>
      <c r="B37" s="213"/>
      <c r="C37" s="213"/>
      <c r="D37" s="213"/>
      <c r="E37" s="213"/>
      <c r="F37" s="213"/>
      <c r="G37" s="213"/>
      <c r="H37" s="213"/>
      <c r="I37" s="213"/>
      <c r="J37" s="213"/>
      <c r="K37" s="213"/>
      <c r="L37" s="213"/>
      <c r="M37" s="213"/>
      <c r="N37" s="213"/>
      <c r="O37" s="213"/>
      <c r="P37" s="213"/>
      <c r="Q37" s="213"/>
      <c r="R37" s="213"/>
      <c r="S37" s="213"/>
      <c r="T37" s="213"/>
      <c r="U37" s="213"/>
      <c r="V37" s="213"/>
      <c r="W37" s="213"/>
      <c r="X37" s="213"/>
      <c r="Y37" s="213"/>
    </row>
    <row r="38" spans="1:25" hidden="1">
      <c r="A38" s="213">
        <v>7</v>
      </c>
      <c r="B38" s="213"/>
      <c r="C38" s="213"/>
      <c r="D38" s="213"/>
      <c r="E38" s="213"/>
      <c r="F38" s="213"/>
      <c r="G38" s="213"/>
      <c r="H38" s="213"/>
      <c r="I38" s="213"/>
      <c r="J38" s="213"/>
      <c r="K38" s="213"/>
      <c r="L38" s="213"/>
      <c r="M38" s="213"/>
      <c r="N38" s="213"/>
      <c r="O38" s="213"/>
      <c r="P38" s="213"/>
      <c r="Q38" s="213"/>
      <c r="R38" s="213"/>
      <c r="S38" s="213"/>
      <c r="T38" s="213"/>
      <c r="U38" s="213"/>
      <c r="V38" s="213"/>
      <c r="W38" s="213"/>
      <c r="X38" s="213"/>
      <c r="Y38" s="213"/>
    </row>
    <row r="39" spans="1:25" hidden="1">
      <c r="A39" s="213">
        <v>8</v>
      </c>
      <c r="B39" s="213"/>
      <c r="C39" s="213"/>
      <c r="D39" s="213"/>
      <c r="E39" s="213"/>
      <c r="F39" s="213"/>
      <c r="G39" s="213"/>
      <c r="H39" s="213"/>
      <c r="I39" s="213"/>
      <c r="J39" s="213"/>
      <c r="K39" s="213"/>
      <c r="L39" s="213"/>
      <c r="M39" s="213"/>
      <c r="N39" s="213"/>
      <c r="O39" s="213"/>
      <c r="P39" s="213"/>
      <c r="Q39" s="213"/>
      <c r="R39" s="213"/>
      <c r="S39" s="213"/>
      <c r="T39" s="213"/>
      <c r="U39" s="213"/>
      <c r="V39" s="213"/>
      <c r="W39" s="213"/>
      <c r="X39" s="213"/>
      <c r="Y39" s="213"/>
    </row>
    <row r="40" spans="1:25" hidden="1">
      <c r="A40" s="213">
        <v>9</v>
      </c>
      <c r="B40" s="213"/>
      <c r="C40" s="213"/>
      <c r="D40" s="213"/>
      <c r="E40" s="213"/>
      <c r="F40" s="213"/>
      <c r="G40" s="213"/>
      <c r="H40" s="213"/>
      <c r="I40" s="213"/>
      <c r="J40" s="213"/>
      <c r="K40" s="213"/>
      <c r="L40" s="213"/>
      <c r="M40" s="213"/>
      <c r="N40" s="213"/>
      <c r="O40" s="213"/>
      <c r="P40" s="213"/>
      <c r="Q40" s="213"/>
      <c r="R40" s="213"/>
      <c r="S40" s="213"/>
      <c r="T40" s="213"/>
      <c r="U40" s="213"/>
      <c r="V40" s="213"/>
      <c r="W40" s="213"/>
      <c r="X40" s="213"/>
      <c r="Y40" s="213"/>
    </row>
    <row r="41" spans="1:25" hidden="1">
      <c r="A41" s="213">
        <v>10</v>
      </c>
      <c r="B41" s="213"/>
      <c r="C41" s="213"/>
      <c r="D41" s="213"/>
      <c r="E41" s="213"/>
      <c r="F41" s="213"/>
      <c r="G41" s="213"/>
      <c r="H41" s="213"/>
      <c r="I41" s="213"/>
      <c r="J41" s="213"/>
      <c r="K41" s="213"/>
      <c r="L41" s="213"/>
      <c r="M41" s="213"/>
      <c r="N41" s="213"/>
      <c r="O41" s="213"/>
      <c r="P41" s="213"/>
      <c r="Q41" s="213"/>
      <c r="R41" s="213"/>
      <c r="S41" s="213"/>
      <c r="T41" s="213"/>
      <c r="U41" s="213"/>
      <c r="V41" s="213"/>
      <c r="W41" s="213"/>
      <c r="X41" s="213"/>
      <c r="Y41" s="213"/>
    </row>
    <row r="42" spans="1:25" hidden="1">
      <c r="A42" s="213">
        <v>11</v>
      </c>
      <c r="B42" s="213"/>
      <c r="C42" s="213"/>
      <c r="D42" s="213"/>
      <c r="E42" s="213"/>
      <c r="F42" s="213"/>
      <c r="G42" s="213"/>
      <c r="H42" s="213"/>
      <c r="I42" s="213"/>
      <c r="J42" s="213"/>
      <c r="K42" s="213"/>
      <c r="L42" s="213"/>
      <c r="M42" s="213"/>
      <c r="N42" s="213"/>
      <c r="O42" s="213"/>
      <c r="P42" s="213"/>
      <c r="Q42" s="213"/>
      <c r="R42" s="213"/>
      <c r="S42" s="213"/>
      <c r="T42" s="213"/>
      <c r="U42" s="213"/>
      <c r="V42" s="213"/>
      <c r="W42" s="213"/>
      <c r="X42" s="213"/>
      <c r="Y42" s="213"/>
    </row>
    <row r="43" spans="1:25" hidden="1">
      <c r="A43" s="213">
        <v>12</v>
      </c>
      <c r="B43" s="213"/>
      <c r="C43" s="213"/>
      <c r="D43" s="213"/>
      <c r="E43" s="213"/>
      <c r="F43" s="213"/>
      <c r="G43" s="213"/>
      <c r="H43" s="213"/>
      <c r="I43" s="213"/>
      <c r="J43" s="213"/>
      <c r="K43" s="213"/>
      <c r="L43" s="213"/>
      <c r="M43" s="213"/>
      <c r="N43" s="213"/>
      <c r="O43" s="213"/>
      <c r="P43" s="213"/>
      <c r="Q43" s="213"/>
      <c r="R43" s="213"/>
      <c r="S43" s="213"/>
      <c r="T43" s="213"/>
      <c r="U43" s="213"/>
      <c r="V43" s="213"/>
      <c r="W43" s="213"/>
      <c r="X43" s="213"/>
      <c r="Y43" s="213"/>
    </row>
    <row r="44" spans="1:25" hidden="1">
      <c r="A44" s="213">
        <v>13</v>
      </c>
      <c r="B44" s="213"/>
      <c r="C44" s="213"/>
      <c r="D44" s="213"/>
      <c r="E44" s="213"/>
      <c r="F44" s="213"/>
      <c r="G44" s="213"/>
      <c r="H44" s="213"/>
      <c r="I44" s="213"/>
      <c r="J44" s="213"/>
      <c r="K44" s="213"/>
      <c r="L44" s="213"/>
      <c r="M44" s="213"/>
      <c r="N44" s="213"/>
      <c r="O44" s="213"/>
      <c r="P44" s="213"/>
      <c r="Q44" s="213"/>
      <c r="R44" s="213"/>
      <c r="S44" s="213"/>
      <c r="T44" s="213"/>
      <c r="U44" s="213"/>
      <c r="V44" s="213"/>
      <c r="W44" s="213"/>
      <c r="X44" s="213"/>
      <c r="Y44" s="213"/>
    </row>
    <row r="45" spans="1:25" hidden="1">
      <c r="A45" s="213">
        <v>14</v>
      </c>
      <c r="B45" s="213"/>
      <c r="C45" s="213"/>
      <c r="D45" s="213"/>
      <c r="E45" s="213"/>
      <c r="F45" s="213"/>
      <c r="G45" s="213"/>
      <c r="H45" s="213"/>
      <c r="I45" s="213"/>
      <c r="J45" s="213"/>
      <c r="K45" s="213"/>
      <c r="L45" s="213"/>
      <c r="M45" s="213"/>
      <c r="N45" s="213"/>
      <c r="O45" s="213"/>
      <c r="P45" s="213"/>
      <c r="Q45" s="213"/>
      <c r="R45" s="213"/>
      <c r="S45" s="213"/>
      <c r="T45" s="213"/>
      <c r="U45" s="213"/>
      <c r="V45" s="213"/>
      <c r="W45" s="213"/>
      <c r="X45" s="213"/>
      <c r="Y45" s="213"/>
    </row>
    <row r="46" spans="1:25" hidden="1">
      <c r="A46" s="213">
        <v>15</v>
      </c>
      <c r="B46" s="213"/>
      <c r="C46" s="213"/>
      <c r="D46" s="213"/>
      <c r="E46" s="213"/>
      <c r="F46" s="213"/>
      <c r="G46" s="213"/>
      <c r="H46" s="213"/>
      <c r="I46" s="213"/>
      <c r="J46" s="213"/>
      <c r="K46" s="213"/>
      <c r="L46" s="213"/>
      <c r="M46" s="213"/>
      <c r="N46" s="213"/>
      <c r="O46" s="213"/>
      <c r="P46" s="213"/>
      <c r="Q46" s="213"/>
      <c r="R46" s="213"/>
      <c r="S46" s="213"/>
      <c r="T46" s="213"/>
      <c r="U46" s="213"/>
      <c r="V46" s="213"/>
      <c r="W46" s="213"/>
      <c r="X46" s="213"/>
      <c r="Y46" s="213"/>
    </row>
    <row r="47" spans="1:25" hidden="1">
      <c r="A47" s="213">
        <v>16</v>
      </c>
      <c r="B47" s="213"/>
      <c r="C47" s="213"/>
      <c r="D47" s="213"/>
      <c r="E47" s="213"/>
      <c r="F47" s="213"/>
      <c r="G47" s="213"/>
      <c r="H47" s="213"/>
      <c r="I47" s="213"/>
      <c r="J47" s="213"/>
      <c r="K47" s="213"/>
      <c r="L47" s="213"/>
      <c r="M47" s="213"/>
      <c r="N47" s="213"/>
      <c r="O47" s="213"/>
      <c r="P47" s="213"/>
      <c r="Q47" s="213"/>
      <c r="R47" s="213"/>
      <c r="S47" s="213"/>
      <c r="T47" s="213"/>
      <c r="U47" s="213"/>
      <c r="V47" s="213"/>
      <c r="W47" s="213"/>
      <c r="X47" s="213"/>
      <c r="Y47" s="213"/>
    </row>
    <row r="48" spans="1:25" hidden="1">
      <c r="A48" s="213">
        <v>17</v>
      </c>
      <c r="B48" s="213"/>
      <c r="C48" s="213"/>
      <c r="D48" s="213"/>
      <c r="E48" s="213"/>
      <c r="F48" s="213"/>
      <c r="G48" s="213"/>
      <c r="H48" s="213"/>
      <c r="I48" s="213"/>
      <c r="J48" s="213"/>
      <c r="K48" s="213"/>
      <c r="L48" s="213"/>
      <c r="M48" s="213"/>
      <c r="N48" s="213"/>
      <c r="O48" s="213"/>
      <c r="P48" s="213"/>
      <c r="Q48" s="213"/>
      <c r="R48" s="213"/>
      <c r="S48" s="213"/>
      <c r="T48" s="213"/>
      <c r="U48" s="213"/>
      <c r="V48" s="213"/>
      <c r="W48" s="213"/>
      <c r="X48" s="213"/>
      <c r="Y48" s="213"/>
    </row>
    <row r="49" spans="1:25" hidden="1">
      <c r="A49" s="213">
        <v>18</v>
      </c>
      <c r="B49" s="213"/>
      <c r="C49" s="213"/>
      <c r="D49" s="213"/>
      <c r="E49" s="213"/>
      <c r="F49" s="213"/>
      <c r="G49" s="213"/>
      <c r="H49" s="213"/>
      <c r="I49" s="213"/>
      <c r="J49" s="213"/>
      <c r="K49" s="213"/>
      <c r="L49" s="213"/>
      <c r="M49" s="213"/>
      <c r="N49" s="213"/>
      <c r="O49" s="213"/>
      <c r="P49" s="213"/>
      <c r="Q49" s="213"/>
      <c r="R49" s="213"/>
      <c r="S49" s="213"/>
      <c r="T49" s="213"/>
      <c r="U49" s="213"/>
      <c r="V49" s="213"/>
      <c r="W49" s="213"/>
      <c r="X49" s="213"/>
      <c r="Y49" s="213"/>
    </row>
    <row r="50" spans="1:25" hidden="1">
      <c r="A50" s="213">
        <v>19</v>
      </c>
      <c r="B50" s="213"/>
      <c r="C50" s="213"/>
      <c r="D50" s="213"/>
      <c r="E50" s="213"/>
      <c r="F50" s="213"/>
      <c r="G50" s="213"/>
      <c r="H50" s="213"/>
      <c r="I50" s="213"/>
      <c r="J50" s="213"/>
      <c r="K50" s="213"/>
      <c r="L50" s="213"/>
      <c r="M50" s="213"/>
      <c r="N50" s="213"/>
      <c r="O50" s="213"/>
      <c r="P50" s="213"/>
      <c r="Q50" s="213"/>
      <c r="R50" s="213"/>
      <c r="S50" s="213"/>
      <c r="T50" s="213"/>
      <c r="U50" s="213"/>
      <c r="V50" s="213"/>
      <c r="W50" s="213"/>
      <c r="X50" s="213"/>
      <c r="Y50" s="213"/>
    </row>
    <row r="51" spans="1:25" hidden="1">
      <c r="A51" s="213">
        <v>20</v>
      </c>
      <c r="B51" s="213"/>
      <c r="C51" s="213"/>
      <c r="D51" s="213"/>
      <c r="E51" s="213"/>
      <c r="F51" s="213"/>
      <c r="G51" s="213"/>
      <c r="H51" s="213"/>
      <c r="I51" s="213"/>
      <c r="J51" s="213"/>
      <c r="K51" s="213"/>
      <c r="L51" s="213"/>
      <c r="M51" s="213"/>
      <c r="N51" s="213"/>
      <c r="O51" s="213"/>
      <c r="P51" s="213"/>
      <c r="Q51" s="213"/>
      <c r="R51" s="213"/>
      <c r="S51" s="213"/>
      <c r="T51" s="213"/>
      <c r="U51" s="213"/>
      <c r="V51" s="213"/>
      <c r="W51" s="213"/>
      <c r="X51" s="213"/>
      <c r="Y51" s="213"/>
    </row>
    <row r="52" spans="1:25" hidden="1">
      <c r="A52" s="213">
        <v>21</v>
      </c>
      <c r="B52" s="213"/>
      <c r="C52" s="213"/>
      <c r="D52" s="213"/>
      <c r="E52" s="213"/>
      <c r="F52" s="213"/>
      <c r="G52" s="213"/>
      <c r="H52" s="213"/>
      <c r="I52" s="213"/>
      <c r="J52" s="213"/>
      <c r="K52" s="213"/>
      <c r="L52" s="213"/>
      <c r="M52" s="213"/>
      <c r="N52" s="213"/>
      <c r="O52" s="213"/>
      <c r="P52" s="213"/>
      <c r="Q52" s="213"/>
      <c r="R52" s="213"/>
      <c r="S52" s="213"/>
      <c r="T52" s="213"/>
      <c r="U52" s="213"/>
      <c r="V52" s="213"/>
      <c r="W52" s="213"/>
      <c r="X52" s="213"/>
      <c r="Y52" s="213"/>
    </row>
    <row r="53" spans="1:25" hidden="1">
      <c r="A53" s="213">
        <v>22</v>
      </c>
      <c r="B53" s="213"/>
      <c r="C53" s="213"/>
      <c r="D53" s="213"/>
      <c r="E53" s="213"/>
      <c r="F53" s="213"/>
      <c r="G53" s="213"/>
      <c r="H53" s="213"/>
      <c r="I53" s="213"/>
      <c r="J53" s="213"/>
      <c r="K53" s="213"/>
      <c r="L53" s="213"/>
      <c r="M53" s="213"/>
      <c r="N53" s="213"/>
      <c r="O53" s="213"/>
      <c r="P53" s="213"/>
      <c r="Q53" s="213"/>
      <c r="R53" s="213"/>
      <c r="S53" s="213"/>
      <c r="T53" s="213"/>
      <c r="U53" s="213"/>
      <c r="V53" s="213"/>
      <c r="W53" s="213"/>
      <c r="X53" s="213"/>
      <c r="Y53" s="213"/>
    </row>
    <row r="54" spans="1:25" hidden="1">
      <c r="A54" s="213">
        <v>23</v>
      </c>
      <c r="B54" s="213"/>
      <c r="C54" s="213"/>
      <c r="D54" s="213"/>
      <c r="E54" s="213"/>
      <c r="F54" s="213"/>
      <c r="G54" s="213"/>
      <c r="H54" s="213"/>
      <c r="I54" s="213"/>
      <c r="J54" s="213"/>
      <c r="K54" s="213"/>
      <c r="L54" s="213"/>
      <c r="M54" s="213"/>
      <c r="N54" s="213"/>
      <c r="O54" s="213"/>
      <c r="P54" s="213"/>
      <c r="Q54" s="213"/>
      <c r="R54" s="213"/>
      <c r="S54" s="213"/>
      <c r="T54" s="213"/>
      <c r="U54" s="213"/>
      <c r="V54" s="213"/>
      <c r="W54" s="213"/>
      <c r="X54" s="213"/>
      <c r="Y54" s="213"/>
    </row>
    <row r="55" spans="1:25" hidden="1">
      <c r="A55" s="213">
        <v>24</v>
      </c>
      <c r="B55" s="213"/>
      <c r="C55" s="213"/>
      <c r="D55" s="213"/>
      <c r="E55" s="213"/>
      <c r="F55" s="213"/>
      <c r="G55" s="213"/>
      <c r="H55" s="213"/>
      <c r="I55" s="213"/>
      <c r="J55" s="213"/>
      <c r="K55" s="213"/>
      <c r="L55" s="213"/>
      <c r="M55" s="213"/>
      <c r="N55" s="213"/>
      <c r="O55" s="213"/>
      <c r="P55" s="213"/>
      <c r="Q55" s="213"/>
      <c r="R55" s="213"/>
      <c r="S55" s="213"/>
      <c r="T55" s="213"/>
      <c r="U55" s="213"/>
      <c r="V55" s="213"/>
      <c r="W55" s="213"/>
      <c r="X55" s="213"/>
      <c r="Y55" s="213"/>
    </row>
    <row r="56" spans="1:25" hidden="1">
      <c r="A56" s="213">
        <v>25</v>
      </c>
      <c r="B56" s="213"/>
      <c r="C56" s="213"/>
      <c r="D56" s="213"/>
      <c r="E56" s="213"/>
      <c r="F56" s="213"/>
      <c r="G56" s="213"/>
      <c r="H56" s="213"/>
      <c r="I56" s="213"/>
      <c r="J56" s="213"/>
      <c r="K56" s="213"/>
      <c r="L56" s="213"/>
      <c r="M56" s="213"/>
      <c r="N56" s="213"/>
      <c r="O56" s="213"/>
      <c r="P56" s="213"/>
      <c r="Q56" s="213"/>
      <c r="R56" s="213"/>
      <c r="S56" s="213"/>
      <c r="T56" s="213"/>
      <c r="U56" s="213"/>
      <c r="V56" s="213"/>
      <c r="W56" s="213"/>
      <c r="X56" s="213"/>
      <c r="Y56" s="213"/>
    </row>
    <row r="57" spans="1:25" hidden="1">
      <c r="A57" s="213">
        <v>26</v>
      </c>
      <c r="B57" s="213"/>
      <c r="C57" s="213"/>
      <c r="D57" s="213"/>
      <c r="E57" s="213"/>
      <c r="F57" s="213"/>
      <c r="G57" s="213"/>
      <c r="H57" s="213"/>
      <c r="I57" s="213"/>
      <c r="J57" s="213"/>
      <c r="K57" s="213"/>
      <c r="L57" s="213"/>
      <c r="M57" s="213"/>
      <c r="N57" s="213"/>
      <c r="O57" s="213"/>
      <c r="P57" s="213"/>
      <c r="Q57" s="213"/>
      <c r="R57" s="213"/>
      <c r="S57" s="213"/>
      <c r="T57" s="213"/>
      <c r="U57" s="213"/>
      <c r="V57" s="213"/>
      <c r="W57" s="213"/>
      <c r="X57" s="213"/>
      <c r="Y57" s="213"/>
    </row>
    <row r="58" spans="1:25" hidden="1">
      <c r="A58" s="213">
        <v>27</v>
      </c>
      <c r="B58" s="213"/>
      <c r="C58" s="213"/>
      <c r="D58" s="213"/>
      <c r="E58" s="213"/>
      <c r="F58" s="213"/>
      <c r="G58" s="213"/>
      <c r="H58" s="213"/>
      <c r="I58" s="213"/>
      <c r="J58" s="213"/>
      <c r="K58" s="213"/>
      <c r="L58" s="213"/>
      <c r="M58" s="213"/>
      <c r="N58" s="213"/>
      <c r="O58" s="213"/>
      <c r="P58" s="213"/>
      <c r="Q58" s="213"/>
      <c r="R58" s="213"/>
      <c r="S58" s="213"/>
      <c r="T58" s="213"/>
      <c r="U58" s="213"/>
      <c r="V58" s="213"/>
      <c r="W58" s="213"/>
      <c r="X58" s="213"/>
      <c r="Y58" s="213"/>
    </row>
    <row r="59" spans="1:25" hidden="1">
      <c r="A59" s="213">
        <v>28</v>
      </c>
      <c r="B59" s="213"/>
      <c r="C59" s="213"/>
      <c r="D59" s="213"/>
      <c r="E59" s="213"/>
      <c r="F59" s="213"/>
      <c r="G59" s="213"/>
      <c r="H59" s="213"/>
      <c r="I59" s="213"/>
      <c r="J59" s="213"/>
      <c r="K59" s="213"/>
      <c r="L59" s="213"/>
      <c r="M59" s="213"/>
      <c r="N59" s="213"/>
      <c r="O59" s="213"/>
      <c r="P59" s="213"/>
      <c r="Q59" s="213"/>
      <c r="R59" s="213"/>
      <c r="S59" s="213"/>
      <c r="T59" s="213"/>
      <c r="U59" s="213"/>
      <c r="V59" s="213"/>
      <c r="W59" s="213"/>
      <c r="X59" s="213"/>
      <c r="Y59" s="213"/>
    </row>
    <row r="60" spans="1:25" hidden="1">
      <c r="A60" s="213">
        <v>29</v>
      </c>
      <c r="B60" s="213"/>
      <c r="C60" s="213"/>
      <c r="D60" s="213"/>
      <c r="E60" s="213"/>
      <c r="F60" s="213"/>
      <c r="G60" s="213"/>
      <c r="H60" s="213"/>
      <c r="I60" s="213"/>
      <c r="J60" s="213"/>
      <c r="K60" s="213"/>
      <c r="L60" s="213"/>
      <c r="M60" s="213"/>
      <c r="N60" s="213"/>
      <c r="O60" s="213"/>
      <c r="P60" s="213"/>
      <c r="Q60" s="213"/>
      <c r="R60" s="213"/>
      <c r="S60" s="213"/>
      <c r="T60" s="213"/>
      <c r="U60" s="213"/>
      <c r="V60" s="213"/>
      <c r="W60" s="213"/>
      <c r="X60" s="213"/>
      <c r="Y60" s="213"/>
    </row>
    <row r="61" spans="1:25" hidden="1">
      <c r="A61" s="213">
        <v>30</v>
      </c>
      <c r="B61" s="213"/>
      <c r="C61" s="213"/>
      <c r="D61" s="213"/>
      <c r="E61" s="213"/>
      <c r="F61" s="213"/>
      <c r="G61" s="213"/>
      <c r="H61" s="213"/>
      <c r="I61" s="213"/>
      <c r="J61" s="213"/>
      <c r="K61" s="213"/>
      <c r="L61" s="213"/>
      <c r="M61" s="213"/>
      <c r="N61" s="213"/>
      <c r="O61" s="213"/>
      <c r="P61" s="213"/>
      <c r="Q61" s="213"/>
      <c r="R61" s="213"/>
      <c r="S61" s="213"/>
      <c r="T61" s="213"/>
      <c r="U61" s="213"/>
      <c r="V61" s="213"/>
      <c r="W61" s="213"/>
      <c r="X61" s="213"/>
      <c r="Y61" s="213"/>
    </row>
    <row r="62" spans="1:25" hidden="1">
      <c r="A62" s="213">
        <v>31</v>
      </c>
      <c r="B62" s="213"/>
      <c r="C62" s="213"/>
      <c r="D62" s="213"/>
      <c r="E62" s="213"/>
      <c r="F62" s="213"/>
      <c r="G62" s="213"/>
      <c r="H62" s="213"/>
      <c r="I62" s="213"/>
      <c r="J62" s="213"/>
      <c r="K62" s="213"/>
      <c r="L62" s="213"/>
      <c r="M62" s="213"/>
      <c r="N62" s="213"/>
      <c r="O62" s="213"/>
      <c r="P62" s="213"/>
      <c r="Q62" s="213"/>
      <c r="R62" s="213"/>
      <c r="S62" s="213"/>
      <c r="T62" s="213"/>
      <c r="U62" s="213"/>
      <c r="V62" s="213"/>
      <c r="W62" s="213"/>
      <c r="X62" s="213"/>
      <c r="Y62" s="213"/>
    </row>
    <row r="63" spans="1:25" hidden="1">
      <c r="A63" s="213">
        <v>32</v>
      </c>
      <c r="B63" s="213"/>
      <c r="C63" s="213"/>
      <c r="D63" s="213"/>
      <c r="E63" s="213"/>
      <c r="F63" s="213"/>
      <c r="G63" s="213"/>
      <c r="H63" s="213"/>
      <c r="I63" s="213"/>
      <c r="J63" s="213"/>
      <c r="K63" s="213"/>
      <c r="L63" s="213"/>
      <c r="M63" s="213"/>
      <c r="N63" s="213"/>
      <c r="O63" s="213"/>
      <c r="P63" s="213"/>
      <c r="Q63" s="213"/>
      <c r="R63" s="213"/>
      <c r="S63" s="213"/>
      <c r="T63" s="213"/>
      <c r="U63" s="213"/>
      <c r="V63" s="213"/>
      <c r="W63" s="213"/>
      <c r="X63" s="213"/>
      <c r="Y63" s="213"/>
    </row>
    <row r="64" spans="1:25" hidden="1">
      <c r="A64" s="213">
        <v>33</v>
      </c>
      <c r="B64" s="213"/>
      <c r="C64" s="213"/>
      <c r="D64" s="213"/>
      <c r="E64" s="213"/>
      <c r="F64" s="213"/>
      <c r="G64" s="213"/>
      <c r="H64" s="213"/>
      <c r="I64" s="213"/>
      <c r="J64" s="213"/>
      <c r="K64" s="213"/>
      <c r="L64" s="213"/>
      <c r="M64" s="213"/>
      <c r="N64" s="213"/>
      <c r="O64" s="213"/>
      <c r="P64" s="213"/>
      <c r="Q64" s="213"/>
      <c r="R64" s="213"/>
      <c r="S64" s="213"/>
      <c r="T64" s="213"/>
      <c r="U64" s="213"/>
      <c r="V64" s="213"/>
      <c r="W64" s="213"/>
      <c r="X64" s="213"/>
      <c r="Y64" s="213"/>
    </row>
    <row r="65" spans="1:25" hidden="1">
      <c r="A65" s="213">
        <v>34</v>
      </c>
      <c r="B65" s="213"/>
      <c r="C65" s="213"/>
      <c r="D65" s="213"/>
      <c r="E65" s="213"/>
      <c r="F65" s="213"/>
      <c r="G65" s="213"/>
      <c r="H65" s="213"/>
      <c r="I65" s="213"/>
      <c r="J65" s="213"/>
      <c r="K65" s="213"/>
      <c r="L65" s="213"/>
      <c r="M65" s="213"/>
      <c r="N65" s="213"/>
      <c r="O65" s="213"/>
      <c r="P65" s="213"/>
      <c r="Q65" s="213"/>
      <c r="R65" s="213"/>
      <c r="S65" s="213"/>
      <c r="T65" s="213"/>
      <c r="U65" s="213"/>
      <c r="V65" s="213"/>
      <c r="W65" s="213"/>
      <c r="X65" s="213"/>
      <c r="Y65" s="213"/>
    </row>
    <row r="66" spans="1:25" hidden="1">
      <c r="A66" s="213">
        <v>35</v>
      </c>
      <c r="B66" s="213"/>
      <c r="C66" s="213"/>
      <c r="D66" s="213"/>
      <c r="E66" s="213"/>
      <c r="F66" s="213"/>
      <c r="G66" s="213"/>
      <c r="H66" s="213"/>
      <c r="I66" s="213"/>
      <c r="J66" s="213"/>
      <c r="K66" s="213"/>
      <c r="L66" s="213"/>
      <c r="M66" s="213"/>
      <c r="N66" s="213"/>
      <c r="O66" s="213"/>
      <c r="P66" s="213"/>
      <c r="Q66" s="213"/>
      <c r="R66" s="213"/>
      <c r="S66" s="213"/>
      <c r="T66" s="213"/>
      <c r="U66" s="213"/>
      <c r="V66" s="213"/>
      <c r="W66" s="213"/>
      <c r="X66" s="213"/>
      <c r="Y66" s="213"/>
    </row>
    <row r="67" spans="1:25" hidden="1">
      <c r="A67" s="213">
        <v>36</v>
      </c>
      <c r="B67" s="213"/>
      <c r="C67" s="213"/>
      <c r="D67" s="213"/>
      <c r="E67" s="213"/>
      <c r="F67" s="213"/>
      <c r="G67" s="213"/>
      <c r="H67" s="213"/>
      <c r="I67" s="213"/>
      <c r="J67" s="213"/>
      <c r="K67" s="213"/>
      <c r="L67" s="213"/>
      <c r="M67" s="213"/>
      <c r="N67" s="213"/>
      <c r="O67" s="213"/>
      <c r="P67" s="213"/>
      <c r="Q67" s="213"/>
      <c r="R67" s="213"/>
      <c r="S67" s="213"/>
      <c r="T67" s="213"/>
      <c r="U67" s="213"/>
      <c r="V67" s="213"/>
      <c r="W67" s="213"/>
      <c r="X67" s="213"/>
      <c r="Y67" s="213"/>
    </row>
    <row r="68" spans="1:25" hidden="1">
      <c r="A68" s="213">
        <v>37</v>
      </c>
      <c r="B68" s="213"/>
      <c r="C68" s="213"/>
      <c r="D68" s="213"/>
      <c r="E68" s="213"/>
      <c r="F68" s="213"/>
      <c r="G68" s="213"/>
      <c r="H68" s="213"/>
      <c r="I68" s="213"/>
      <c r="J68" s="213"/>
      <c r="K68" s="213"/>
      <c r="L68" s="213"/>
      <c r="M68" s="213"/>
      <c r="N68" s="213"/>
      <c r="O68" s="213"/>
      <c r="P68" s="213"/>
      <c r="Q68" s="213"/>
      <c r="R68" s="213"/>
      <c r="S68" s="213"/>
      <c r="T68" s="213"/>
      <c r="U68" s="213"/>
      <c r="V68" s="213"/>
      <c r="W68" s="213"/>
      <c r="X68" s="213"/>
      <c r="Y68" s="213"/>
    </row>
    <row r="69" spans="1:25" hidden="1">
      <c r="A69" s="213">
        <v>38</v>
      </c>
      <c r="B69" s="213"/>
      <c r="C69" s="213"/>
      <c r="D69" s="213"/>
      <c r="E69" s="213"/>
      <c r="F69" s="213"/>
      <c r="G69" s="213"/>
      <c r="H69" s="213"/>
      <c r="I69" s="213"/>
      <c r="J69" s="213"/>
      <c r="K69" s="213"/>
      <c r="L69" s="213"/>
      <c r="M69" s="213"/>
      <c r="N69" s="213"/>
      <c r="O69" s="213"/>
      <c r="P69" s="213"/>
      <c r="Q69" s="213"/>
      <c r="R69" s="213"/>
      <c r="S69" s="213"/>
      <c r="T69" s="213"/>
      <c r="U69" s="213"/>
      <c r="V69" s="213"/>
      <c r="W69" s="213"/>
      <c r="X69" s="213"/>
      <c r="Y69" s="213"/>
    </row>
    <row r="70" spans="1:25" hidden="1">
      <c r="A70" s="213">
        <v>39</v>
      </c>
      <c r="B70" s="213"/>
      <c r="C70" s="213"/>
      <c r="D70" s="213"/>
      <c r="E70" s="213"/>
      <c r="F70" s="213"/>
      <c r="G70" s="213"/>
      <c r="H70" s="213"/>
      <c r="I70" s="213"/>
      <c r="J70" s="213"/>
      <c r="K70" s="213"/>
      <c r="L70" s="213"/>
      <c r="M70" s="213"/>
      <c r="N70" s="213"/>
      <c r="O70" s="213"/>
      <c r="P70" s="213"/>
      <c r="Q70" s="213"/>
      <c r="R70" s="213"/>
      <c r="S70" s="213"/>
      <c r="T70" s="213"/>
      <c r="U70" s="213"/>
      <c r="V70" s="213"/>
      <c r="W70" s="213"/>
      <c r="X70" s="213"/>
      <c r="Y70" s="213"/>
    </row>
    <row r="71" spans="1:25" hidden="1">
      <c r="A71" s="213">
        <v>40</v>
      </c>
      <c r="B71" s="213"/>
      <c r="C71" s="213"/>
      <c r="D71" s="213"/>
      <c r="E71" s="213"/>
      <c r="F71" s="213"/>
      <c r="G71" s="213"/>
      <c r="H71" s="213"/>
      <c r="I71" s="213"/>
      <c r="J71" s="213"/>
      <c r="K71" s="213"/>
      <c r="L71" s="213"/>
      <c r="M71" s="213"/>
      <c r="N71" s="213"/>
      <c r="O71" s="213"/>
      <c r="P71" s="213"/>
      <c r="Q71" s="213"/>
      <c r="R71" s="213"/>
      <c r="S71" s="213"/>
      <c r="T71" s="213"/>
      <c r="U71" s="213"/>
      <c r="V71" s="213"/>
      <c r="W71" s="213"/>
      <c r="X71" s="213"/>
      <c r="Y71" s="213"/>
    </row>
  </sheetData>
  <sheetProtection algorithmName="SHA-512" hashValue="CYzznkA6ovLvWTT+nWSIHUsoo7f9UKjs4pbi2iIZgDdgBMsQujftfflxTkcTBQ4cxbHuTs/7E814lhed3fYAsg==" saltValue="Gb2KvsOtrw101Z5RUsRPFA==" spinCount="100000" sheet="1" selectLockedCells="1"/>
  <protectedRanges>
    <protectedRange sqref="T25 P7:Q7 T23 P25 R6:S7 N6:N7 O6:Q6 J7:M7 E6:M6 P10 T6:T10 C6:D7" name="Range1"/>
    <protectedRange sqref="T15:T16" name="Range3"/>
    <protectedRange sqref="H23:O23 T20:T22" name="Range5"/>
    <protectedRange sqref="K28" name="Range8"/>
    <protectedRange sqref="P23" name="Range5_4"/>
    <protectedRange sqref="Q14:S22" name="Range5_1"/>
    <protectedRange sqref="N14:P22" name="Range5_2"/>
  </protectedRanges>
  <mergeCells count="61">
    <mergeCell ref="B9:M9"/>
    <mergeCell ref="K10:M10"/>
    <mergeCell ref="Q10:S10"/>
    <mergeCell ref="B4:T4"/>
    <mergeCell ref="B6:O6"/>
    <mergeCell ref="K7:M7"/>
    <mergeCell ref="Q7:S7"/>
    <mergeCell ref="B8:H8"/>
    <mergeCell ref="Q8:S8"/>
    <mergeCell ref="V10:Z10"/>
    <mergeCell ref="B11:H11"/>
    <mergeCell ref="C13:J13"/>
    <mergeCell ref="K13:M13"/>
    <mergeCell ref="N13:P13"/>
    <mergeCell ref="Q13:S13"/>
    <mergeCell ref="Q12:S12"/>
    <mergeCell ref="C14:J14"/>
    <mergeCell ref="K14:M14"/>
    <mergeCell ref="N14:P14"/>
    <mergeCell ref="Q14:S14"/>
    <mergeCell ref="V14:Z22"/>
    <mergeCell ref="C15:J15"/>
    <mergeCell ref="K15:M15"/>
    <mergeCell ref="N15:P15"/>
    <mergeCell ref="Q15:S15"/>
    <mergeCell ref="C16:J16"/>
    <mergeCell ref="K16:M16"/>
    <mergeCell ref="N16:P16"/>
    <mergeCell ref="Q16:S16"/>
    <mergeCell ref="C17:J17"/>
    <mergeCell ref="K17:M17"/>
    <mergeCell ref="N17:P17"/>
    <mergeCell ref="Q17:S17"/>
    <mergeCell ref="C18:J18"/>
    <mergeCell ref="K18:M18"/>
    <mergeCell ref="N18:P18"/>
    <mergeCell ref="Q18:S18"/>
    <mergeCell ref="C19:J19"/>
    <mergeCell ref="K19:M19"/>
    <mergeCell ref="N19:P19"/>
    <mergeCell ref="Q19:S19"/>
    <mergeCell ref="C20:J20"/>
    <mergeCell ref="K20:M20"/>
    <mergeCell ref="N20:P20"/>
    <mergeCell ref="Q20:S20"/>
    <mergeCell ref="C21:J21"/>
    <mergeCell ref="K21:M21"/>
    <mergeCell ref="N21:P21"/>
    <mergeCell ref="Q21:S21"/>
    <mergeCell ref="C22:J22"/>
    <mergeCell ref="K22:M22"/>
    <mergeCell ref="N22:P22"/>
    <mergeCell ref="Q22:S22"/>
    <mergeCell ref="Q27:S27"/>
    <mergeCell ref="V27:Z27"/>
    <mergeCell ref="Q23:S23"/>
    <mergeCell ref="B24:N24"/>
    <mergeCell ref="K25:M25"/>
    <mergeCell ref="Q25:S25"/>
    <mergeCell ref="V25:Z25"/>
    <mergeCell ref="B26:I26"/>
  </mergeCells>
  <dataValidations count="1">
    <dataValidation type="list" allowBlank="1" showInputMessage="1" showErrorMessage="1" sqref="B14:B22 IX14:IX22 ST14:ST22 ACP14:ACP22 AML14:AML22 AWH14:AWH22 BGD14:BGD22 BPZ14:BPZ22 BZV14:BZV22 CJR14:CJR22 CTN14:CTN22 DDJ14:DDJ22 DNF14:DNF22 DXB14:DXB22 EGX14:EGX22 EQT14:EQT22 FAP14:FAP22 FKL14:FKL22 FUH14:FUH22 GED14:GED22 GNZ14:GNZ22 GXV14:GXV22 HHR14:HHR22 HRN14:HRN22 IBJ14:IBJ22 ILF14:ILF22 IVB14:IVB22 JEX14:JEX22 JOT14:JOT22 JYP14:JYP22 KIL14:KIL22 KSH14:KSH22 LCD14:LCD22 LLZ14:LLZ22 LVV14:LVV22 MFR14:MFR22 MPN14:MPN22 MZJ14:MZJ22 NJF14:NJF22 NTB14:NTB22 OCX14:OCX22 OMT14:OMT22 OWP14:OWP22 PGL14:PGL22 PQH14:PQH22 QAD14:QAD22 QJZ14:QJZ22 QTV14:QTV22 RDR14:RDR22 RNN14:RNN22 RXJ14:RXJ22 SHF14:SHF22 SRB14:SRB22 TAX14:TAX22 TKT14:TKT22 TUP14:TUP22 UEL14:UEL22 UOH14:UOH22 UYD14:UYD22 VHZ14:VHZ22 VRV14:VRV22 WBR14:WBR22 WLN14:WLN22 WVJ14:WVJ22 B65550:B65558 IX65550:IX65558 ST65550:ST65558 ACP65550:ACP65558 AML65550:AML65558 AWH65550:AWH65558 BGD65550:BGD65558 BPZ65550:BPZ65558 BZV65550:BZV65558 CJR65550:CJR65558 CTN65550:CTN65558 DDJ65550:DDJ65558 DNF65550:DNF65558 DXB65550:DXB65558 EGX65550:EGX65558 EQT65550:EQT65558 FAP65550:FAP65558 FKL65550:FKL65558 FUH65550:FUH65558 GED65550:GED65558 GNZ65550:GNZ65558 GXV65550:GXV65558 HHR65550:HHR65558 HRN65550:HRN65558 IBJ65550:IBJ65558 ILF65550:ILF65558 IVB65550:IVB65558 JEX65550:JEX65558 JOT65550:JOT65558 JYP65550:JYP65558 KIL65550:KIL65558 KSH65550:KSH65558 LCD65550:LCD65558 LLZ65550:LLZ65558 LVV65550:LVV65558 MFR65550:MFR65558 MPN65550:MPN65558 MZJ65550:MZJ65558 NJF65550:NJF65558 NTB65550:NTB65558 OCX65550:OCX65558 OMT65550:OMT65558 OWP65550:OWP65558 PGL65550:PGL65558 PQH65550:PQH65558 QAD65550:QAD65558 QJZ65550:QJZ65558 QTV65550:QTV65558 RDR65550:RDR65558 RNN65550:RNN65558 RXJ65550:RXJ65558 SHF65550:SHF65558 SRB65550:SRB65558 TAX65550:TAX65558 TKT65550:TKT65558 TUP65550:TUP65558 UEL65550:UEL65558 UOH65550:UOH65558 UYD65550:UYD65558 VHZ65550:VHZ65558 VRV65550:VRV65558 WBR65550:WBR65558 WLN65550:WLN65558 WVJ65550:WVJ65558 B131086:B131094 IX131086:IX131094 ST131086:ST131094 ACP131086:ACP131094 AML131086:AML131094 AWH131086:AWH131094 BGD131086:BGD131094 BPZ131086:BPZ131094 BZV131086:BZV131094 CJR131086:CJR131094 CTN131086:CTN131094 DDJ131086:DDJ131094 DNF131086:DNF131094 DXB131086:DXB131094 EGX131086:EGX131094 EQT131086:EQT131094 FAP131086:FAP131094 FKL131086:FKL131094 FUH131086:FUH131094 GED131086:GED131094 GNZ131086:GNZ131094 GXV131086:GXV131094 HHR131086:HHR131094 HRN131086:HRN131094 IBJ131086:IBJ131094 ILF131086:ILF131094 IVB131086:IVB131094 JEX131086:JEX131094 JOT131086:JOT131094 JYP131086:JYP131094 KIL131086:KIL131094 KSH131086:KSH131094 LCD131086:LCD131094 LLZ131086:LLZ131094 LVV131086:LVV131094 MFR131086:MFR131094 MPN131086:MPN131094 MZJ131086:MZJ131094 NJF131086:NJF131094 NTB131086:NTB131094 OCX131086:OCX131094 OMT131086:OMT131094 OWP131086:OWP131094 PGL131086:PGL131094 PQH131086:PQH131094 QAD131086:QAD131094 QJZ131086:QJZ131094 QTV131086:QTV131094 RDR131086:RDR131094 RNN131086:RNN131094 RXJ131086:RXJ131094 SHF131086:SHF131094 SRB131086:SRB131094 TAX131086:TAX131094 TKT131086:TKT131094 TUP131086:TUP131094 UEL131086:UEL131094 UOH131086:UOH131094 UYD131086:UYD131094 VHZ131086:VHZ131094 VRV131086:VRV131094 WBR131086:WBR131094 WLN131086:WLN131094 WVJ131086:WVJ131094 B196622:B196630 IX196622:IX196630 ST196622:ST196630 ACP196622:ACP196630 AML196622:AML196630 AWH196622:AWH196630 BGD196622:BGD196630 BPZ196622:BPZ196630 BZV196622:BZV196630 CJR196622:CJR196630 CTN196622:CTN196630 DDJ196622:DDJ196630 DNF196622:DNF196630 DXB196622:DXB196630 EGX196622:EGX196630 EQT196622:EQT196630 FAP196622:FAP196630 FKL196622:FKL196630 FUH196622:FUH196630 GED196622:GED196630 GNZ196622:GNZ196630 GXV196622:GXV196630 HHR196622:HHR196630 HRN196622:HRN196630 IBJ196622:IBJ196630 ILF196622:ILF196630 IVB196622:IVB196630 JEX196622:JEX196630 JOT196622:JOT196630 JYP196622:JYP196630 KIL196622:KIL196630 KSH196622:KSH196630 LCD196622:LCD196630 LLZ196622:LLZ196630 LVV196622:LVV196630 MFR196622:MFR196630 MPN196622:MPN196630 MZJ196622:MZJ196630 NJF196622:NJF196630 NTB196622:NTB196630 OCX196622:OCX196630 OMT196622:OMT196630 OWP196622:OWP196630 PGL196622:PGL196630 PQH196622:PQH196630 QAD196622:QAD196630 QJZ196622:QJZ196630 QTV196622:QTV196630 RDR196622:RDR196630 RNN196622:RNN196630 RXJ196622:RXJ196630 SHF196622:SHF196630 SRB196622:SRB196630 TAX196622:TAX196630 TKT196622:TKT196630 TUP196622:TUP196630 UEL196622:UEL196630 UOH196622:UOH196630 UYD196622:UYD196630 VHZ196622:VHZ196630 VRV196622:VRV196630 WBR196622:WBR196630 WLN196622:WLN196630 WVJ196622:WVJ196630 B262158:B262166 IX262158:IX262166 ST262158:ST262166 ACP262158:ACP262166 AML262158:AML262166 AWH262158:AWH262166 BGD262158:BGD262166 BPZ262158:BPZ262166 BZV262158:BZV262166 CJR262158:CJR262166 CTN262158:CTN262166 DDJ262158:DDJ262166 DNF262158:DNF262166 DXB262158:DXB262166 EGX262158:EGX262166 EQT262158:EQT262166 FAP262158:FAP262166 FKL262158:FKL262166 FUH262158:FUH262166 GED262158:GED262166 GNZ262158:GNZ262166 GXV262158:GXV262166 HHR262158:HHR262166 HRN262158:HRN262166 IBJ262158:IBJ262166 ILF262158:ILF262166 IVB262158:IVB262166 JEX262158:JEX262166 JOT262158:JOT262166 JYP262158:JYP262166 KIL262158:KIL262166 KSH262158:KSH262166 LCD262158:LCD262166 LLZ262158:LLZ262166 LVV262158:LVV262166 MFR262158:MFR262166 MPN262158:MPN262166 MZJ262158:MZJ262166 NJF262158:NJF262166 NTB262158:NTB262166 OCX262158:OCX262166 OMT262158:OMT262166 OWP262158:OWP262166 PGL262158:PGL262166 PQH262158:PQH262166 QAD262158:QAD262166 QJZ262158:QJZ262166 QTV262158:QTV262166 RDR262158:RDR262166 RNN262158:RNN262166 RXJ262158:RXJ262166 SHF262158:SHF262166 SRB262158:SRB262166 TAX262158:TAX262166 TKT262158:TKT262166 TUP262158:TUP262166 UEL262158:UEL262166 UOH262158:UOH262166 UYD262158:UYD262166 VHZ262158:VHZ262166 VRV262158:VRV262166 WBR262158:WBR262166 WLN262158:WLN262166 WVJ262158:WVJ262166 B327694:B327702 IX327694:IX327702 ST327694:ST327702 ACP327694:ACP327702 AML327694:AML327702 AWH327694:AWH327702 BGD327694:BGD327702 BPZ327694:BPZ327702 BZV327694:BZV327702 CJR327694:CJR327702 CTN327694:CTN327702 DDJ327694:DDJ327702 DNF327694:DNF327702 DXB327694:DXB327702 EGX327694:EGX327702 EQT327694:EQT327702 FAP327694:FAP327702 FKL327694:FKL327702 FUH327694:FUH327702 GED327694:GED327702 GNZ327694:GNZ327702 GXV327694:GXV327702 HHR327694:HHR327702 HRN327694:HRN327702 IBJ327694:IBJ327702 ILF327694:ILF327702 IVB327694:IVB327702 JEX327694:JEX327702 JOT327694:JOT327702 JYP327694:JYP327702 KIL327694:KIL327702 KSH327694:KSH327702 LCD327694:LCD327702 LLZ327694:LLZ327702 LVV327694:LVV327702 MFR327694:MFR327702 MPN327694:MPN327702 MZJ327694:MZJ327702 NJF327694:NJF327702 NTB327694:NTB327702 OCX327694:OCX327702 OMT327694:OMT327702 OWP327694:OWP327702 PGL327694:PGL327702 PQH327694:PQH327702 QAD327694:QAD327702 QJZ327694:QJZ327702 QTV327694:QTV327702 RDR327694:RDR327702 RNN327694:RNN327702 RXJ327694:RXJ327702 SHF327694:SHF327702 SRB327694:SRB327702 TAX327694:TAX327702 TKT327694:TKT327702 TUP327694:TUP327702 UEL327694:UEL327702 UOH327694:UOH327702 UYD327694:UYD327702 VHZ327694:VHZ327702 VRV327694:VRV327702 WBR327694:WBR327702 WLN327694:WLN327702 WVJ327694:WVJ327702 B393230:B393238 IX393230:IX393238 ST393230:ST393238 ACP393230:ACP393238 AML393230:AML393238 AWH393230:AWH393238 BGD393230:BGD393238 BPZ393230:BPZ393238 BZV393230:BZV393238 CJR393230:CJR393238 CTN393230:CTN393238 DDJ393230:DDJ393238 DNF393230:DNF393238 DXB393230:DXB393238 EGX393230:EGX393238 EQT393230:EQT393238 FAP393230:FAP393238 FKL393230:FKL393238 FUH393230:FUH393238 GED393230:GED393238 GNZ393230:GNZ393238 GXV393230:GXV393238 HHR393230:HHR393238 HRN393230:HRN393238 IBJ393230:IBJ393238 ILF393230:ILF393238 IVB393230:IVB393238 JEX393230:JEX393238 JOT393230:JOT393238 JYP393230:JYP393238 KIL393230:KIL393238 KSH393230:KSH393238 LCD393230:LCD393238 LLZ393230:LLZ393238 LVV393230:LVV393238 MFR393230:MFR393238 MPN393230:MPN393238 MZJ393230:MZJ393238 NJF393230:NJF393238 NTB393230:NTB393238 OCX393230:OCX393238 OMT393230:OMT393238 OWP393230:OWP393238 PGL393230:PGL393238 PQH393230:PQH393238 QAD393230:QAD393238 QJZ393230:QJZ393238 QTV393230:QTV393238 RDR393230:RDR393238 RNN393230:RNN393238 RXJ393230:RXJ393238 SHF393230:SHF393238 SRB393230:SRB393238 TAX393230:TAX393238 TKT393230:TKT393238 TUP393230:TUP393238 UEL393230:UEL393238 UOH393230:UOH393238 UYD393230:UYD393238 VHZ393230:VHZ393238 VRV393230:VRV393238 WBR393230:WBR393238 WLN393230:WLN393238 WVJ393230:WVJ393238 B458766:B458774 IX458766:IX458774 ST458766:ST458774 ACP458766:ACP458774 AML458766:AML458774 AWH458766:AWH458774 BGD458766:BGD458774 BPZ458766:BPZ458774 BZV458766:BZV458774 CJR458766:CJR458774 CTN458766:CTN458774 DDJ458766:DDJ458774 DNF458766:DNF458774 DXB458766:DXB458774 EGX458766:EGX458774 EQT458766:EQT458774 FAP458766:FAP458774 FKL458766:FKL458774 FUH458766:FUH458774 GED458766:GED458774 GNZ458766:GNZ458774 GXV458766:GXV458774 HHR458766:HHR458774 HRN458766:HRN458774 IBJ458766:IBJ458774 ILF458766:ILF458774 IVB458766:IVB458774 JEX458766:JEX458774 JOT458766:JOT458774 JYP458766:JYP458774 KIL458766:KIL458774 KSH458766:KSH458774 LCD458766:LCD458774 LLZ458766:LLZ458774 LVV458766:LVV458774 MFR458766:MFR458774 MPN458766:MPN458774 MZJ458766:MZJ458774 NJF458766:NJF458774 NTB458766:NTB458774 OCX458766:OCX458774 OMT458766:OMT458774 OWP458766:OWP458774 PGL458766:PGL458774 PQH458766:PQH458774 QAD458766:QAD458774 QJZ458766:QJZ458774 QTV458766:QTV458774 RDR458766:RDR458774 RNN458766:RNN458774 RXJ458766:RXJ458774 SHF458766:SHF458774 SRB458766:SRB458774 TAX458766:TAX458774 TKT458766:TKT458774 TUP458766:TUP458774 UEL458766:UEL458774 UOH458766:UOH458774 UYD458766:UYD458774 VHZ458766:VHZ458774 VRV458766:VRV458774 WBR458766:WBR458774 WLN458766:WLN458774 WVJ458766:WVJ458774 B524302:B524310 IX524302:IX524310 ST524302:ST524310 ACP524302:ACP524310 AML524302:AML524310 AWH524302:AWH524310 BGD524302:BGD524310 BPZ524302:BPZ524310 BZV524302:BZV524310 CJR524302:CJR524310 CTN524302:CTN524310 DDJ524302:DDJ524310 DNF524302:DNF524310 DXB524302:DXB524310 EGX524302:EGX524310 EQT524302:EQT524310 FAP524302:FAP524310 FKL524302:FKL524310 FUH524302:FUH524310 GED524302:GED524310 GNZ524302:GNZ524310 GXV524302:GXV524310 HHR524302:HHR524310 HRN524302:HRN524310 IBJ524302:IBJ524310 ILF524302:ILF524310 IVB524302:IVB524310 JEX524302:JEX524310 JOT524302:JOT524310 JYP524302:JYP524310 KIL524302:KIL524310 KSH524302:KSH524310 LCD524302:LCD524310 LLZ524302:LLZ524310 LVV524302:LVV524310 MFR524302:MFR524310 MPN524302:MPN524310 MZJ524302:MZJ524310 NJF524302:NJF524310 NTB524302:NTB524310 OCX524302:OCX524310 OMT524302:OMT524310 OWP524302:OWP524310 PGL524302:PGL524310 PQH524302:PQH524310 QAD524302:QAD524310 QJZ524302:QJZ524310 QTV524302:QTV524310 RDR524302:RDR524310 RNN524302:RNN524310 RXJ524302:RXJ524310 SHF524302:SHF524310 SRB524302:SRB524310 TAX524302:TAX524310 TKT524302:TKT524310 TUP524302:TUP524310 UEL524302:UEL524310 UOH524302:UOH524310 UYD524302:UYD524310 VHZ524302:VHZ524310 VRV524302:VRV524310 WBR524302:WBR524310 WLN524302:WLN524310 WVJ524302:WVJ524310 B589838:B589846 IX589838:IX589846 ST589838:ST589846 ACP589838:ACP589846 AML589838:AML589846 AWH589838:AWH589846 BGD589838:BGD589846 BPZ589838:BPZ589846 BZV589838:BZV589846 CJR589838:CJR589846 CTN589838:CTN589846 DDJ589838:DDJ589846 DNF589838:DNF589846 DXB589838:DXB589846 EGX589838:EGX589846 EQT589838:EQT589846 FAP589838:FAP589846 FKL589838:FKL589846 FUH589838:FUH589846 GED589838:GED589846 GNZ589838:GNZ589846 GXV589838:GXV589846 HHR589838:HHR589846 HRN589838:HRN589846 IBJ589838:IBJ589846 ILF589838:ILF589846 IVB589838:IVB589846 JEX589838:JEX589846 JOT589838:JOT589846 JYP589838:JYP589846 KIL589838:KIL589846 KSH589838:KSH589846 LCD589838:LCD589846 LLZ589838:LLZ589846 LVV589838:LVV589846 MFR589838:MFR589846 MPN589838:MPN589846 MZJ589838:MZJ589846 NJF589838:NJF589846 NTB589838:NTB589846 OCX589838:OCX589846 OMT589838:OMT589846 OWP589838:OWP589846 PGL589838:PGL589846 PQH589838:PQH589846 QAD589838:QAD589846 QJZ589838:QJZ589846 QTV589838:QTV589846 RDR589838:RDR589846 RNN589838:RNN589846 RXJ589838:RXJ589846 SHF589838:SHF589846 SRB589838:SRB589846 TAX589838:TAX589846 TKT589838:TKT589846 TUP589838:TUP589846 UEL589838:UEL589846 UOH589838:UOH589846 UYD589838:UYD589846 VHZ589838:VHZ589846 VRV589838:VRV589846 WBR589838:WBR589846 WLN589838:WLN589846 WVJ589838:WVJ589846 B655374:B655382 IX655374:IX655382 ST655374:ST655382 ACP655374:ACP655382 AML655374:AML655382 AWH655374:AWH655382 BGD655374:BGD655382 BPZ655374:BPZ655382 BZV655374:BZV655382 CJR655374:CJR655382 CTN655374:CTN655382 DDJ655374:DDJ655382 DNF655374:DNF655382 DXB655374:DXB655382 EGX655374:EGX655382 EQT655374:EQT655382 FAP655374:FAP655382 FKL655374:FKL655382 FUH655374:FUH655382 GED655374:GED655382 GNZ655374:GNZ655382 GXV655374:GXV655382 HHR655374:HHR655382 HRN655374:HRN655382 IBJ655374:IBJ655382 ILF655374:ILF655382 IVB655374:IVB655382 JEX655374:JEX655382 JOT655374:JOT655382 JYP655374:JYP655382 KIL655374:KIL655382 KSH655374:KSH655382 LCD655374:LCD655382 LLZ655374:LLZ655382 LVV655374:LVV655382 MFR655374:MFR655382 MPN655374:MPN655382 MZJ655374:MZJ655382 NJF655374:NJF655382 NTB655374:NTB655382 OCX655374:OCX655382 OMT655374:OMT655382 OWP655374:OWP655382 PGL655374:PGL655382 PQH655374:PQH655382 QAD655374:QAD655382 QJZ655374:QJZ655382 QTV655374:QTV655382 RDR655374:RDR655382 RNN655374:RNN655382 RXJ655374:RXJ655382 SHF655374:SHF655382 SRB655374:SRB655382 TAX655374:TAX655382 TKT655374:TKT655382 TUP655374:TUP655382 UEL655374:UEL655382 UOH655374:UOH655382 UYD655374:UYD655382 VHZ655374:VHZ655382 VRV655374:VRV655382 WBR655374:WBR655382 WLN655374:WLN655382 WVJ655374:WVJ655382 B720910:B720918 IX720910:IX720918 ST720910:ST720918 ACP720910:ACP720918 AML720910:AML720918 AWH720910:AWH720918 BGD720910:BGD720918 BPZ720910:BPZ720918 BZV720910:BZV720918 CJR720910:CJR720918 CTN720910:CTN720918 DDJ720910:DDJ720918 DNF720910:DNF720918 DXB720910:DXB720918 EGX720910:EGX720918 EQT720910:EQT720918 FAP720910:FAP720918 FKL720910:FKL720918 FUH720910:FUH720918 GED720910:GED720918 GNZ720910:GNZ720918 GXV720910:GXV720918 HHR720910:HHR720918 HRN720910:HRN720918 IBJ720910:IBJ720918 ILF720910:ILF720918 IVB720910:IVB720918 JEX720910:JEX720918 JOT720910:JOT720918 JYP720910:JYP720918 KIL720910:KIL720918 KSH720910:KSH720918 LCD720910:LCD720918 LLZ720910:LLZ720918 LVV720910:LVV720918 MFR720910:MFR720918 MPN720910:MPN720918 MZJ720910:MZJ720918 NJF720910:NJF720918 NTB720910:NTB720918 OCX720910:OCX720918 OMT720910:OMT720918 OWP720910:OWP720918 PGL720910:PGL720918 PQH720910:PQH720918 QAD720910:QAD720918 QJZ720910:QJZ720918 QTV720910:QTV720918 RDR720910:RDR720918 RNN720910:RNN720918 RXJ720910:RXJ720918 SHF720910:SHF720918 SRB720910:SRB720918 TAX720910:TAX720918 TKT720910:TKT720918 TUP720910:TUP720918 UEL720910:UEL720918 UOH720910:UOH720918 UYD720910:UYD720918 VHZ720910:VHZ720918 VRV720910:VRV720918 WBR720910:WBR720918 WLN720910:WLN720918 WVJ720910:WVJ720918 B786446:B786454 IX786446:IX786454 ST786446:ST786454 ACP786446:ACP786454 AML786446:AML786454 AWH786446:AWH786454 BGD786446:BGD786454 BPZ786446:BPZ786454 BZV786446:BZV786454 CJR786446:CJR786454 CTN786446:CTN786454 DDJ786446:DDJ786454 DNF786446:DNF786454 DXB786446:DXB786454 EGX786446:EGX786454 EQT786446:EQT786454 FAP786446:FAP786454 FKL786446:FKL786454 FUH786446:FUH786454 GED786446:GED786454 GNZ786446:GNZ786454 GXV786446:GXV786454 HHR786446:HHR786454 HRN786446:HRN786454 IBJ786446:IBJ786454 ILF786446:ILF786454 IVB786446:IVB786454 JEX786446:JEX786454 JOT786446:JOT786454 JYP786446:JYP786454 KIL786446:KIL786454 KSH786446:KSH786454 LCD786446:LCD786454 LLZ786446:LLZ786454 LVV786446:LVV786454 MFR786446:MFR786454 MPN786446:MPN786454 MZJ786446:MZJ786454 NJF786446:NJF786454 NTB786446:NTB786454 OCX786446:OCX786454 OMT786446:OMT786454 OWP786446:OWP786454 PGL786446:PGL786454 PQH786446:PQH786454 QAD786446:QAD786454 QJZ786446:QJZ786454 QTV786446:QTV786454 RDR786446:RDR786454 RNN786446:RNN786454 RXJ786446:RXJ786454 SHF786446:SHF786454 SRB786446:SRB786454 TAX786446:TAX786454 TKT786446:TKT786454 TUP786446:TUP786454 UEL786446:UEL786454 UOH786446:UOH786454 UYD786446:UYD786454 VHZ786446:VHZ786454 VRV786446:VRV786454 WBR786446:WBR786454 WLN786446:WLN786454 WVJ786446:WVJ786454 B851982:B851990 IX851982:IX851990 ST851982:ST851990 ACP851982:ACP851990 AML851982:AML851990 AWH851982:AWH851990 BGD851982:BGD851990 BPZ851982:BPZ851990 BZV851982:BZV851990 CJR851982:CJR851990 CTN851982:CTN851990 DDJ851982:DDJ851990 DNF851982:DNF851990 DXB851982:DXB851990 EGX851982:EGX851990 EQT851982:EQT851990 FAP851982:FAP851990 FKL851982:FKL851990 FUH851982:FUH851990 GED851982:GED851990 GNZ851982:GNZ851990 GXV851982:GXV851990 HHR851982:HHR851990 HRN851982:HRN851990 IBJ851982:IBJ851990 ILF851982:ILF851990 IVB851982:IVB851990 JEX851982:JEX851990 JOT851982:JOT851990 JYP851982:JYP851990 KIL851982:KIL851990 KSH851982:KSH851990 LCD851982:LCD851990 LLZ851982:LLZ851990 LVV851982:LVV851990 MFR851982:MFR851990 MPN851982:MPN851990 MZJ851982:MZJ851990 NJF851982:NJF851990 NTB851982:NTB851990 OCX851982:OCX851990 OMT851982:OMT851990 OWP851982:OWP851990 PGL851982:PGL851990 PQH851982:PQH851990 QAD851982:QAD851990 QJZ851982:QJZ851990 QTV851982:QTV851990 RDR851982:RDR851990 RNN851982:RNN851990 RXJ851982:RXJ851990 SHF851982:SHF851990 SRB851982:SRB851990 TAX851982:TAX851990 TKT851982:TKT851990 TUP851982:TUP851990 UEL851982:UEL851990 UOH851982:UOH851990 UYD851982:UYD851990 VHZ851982:VHZ851990 VRV851982:VRV851990 WBR851982:WBR851990 WLN851982:WLN851990 WVJ851982:WVJ851990 B917518:B917526 IX917518:IX917526 ST917518:ST917526 ACP917518:ACP917526 AML917518:AML917526 AWH917518:AWH917526 BGD917518:BGD917526 BPZ917518:BPZ917526 BZV917518:BZV917526 CJR917518:CJR917526 CTN917518:CTN917526 DDJ917518:DDJ917526 DNF917518:DNF917526 DXB917518:DXB917526 EGX917518:EGX917526 EQT917518:EQT917526 FAP917518:FAP917526 FKL917518:FKL917526 FUH917518:FUH917526 GED917518:GED917526 GNZ917518:GNZ917526 GXV917518:GXV917526 HHR917518:HHR917526 HRN917518:HRN917526 IBJ917518:IBJ917526 ILF917518:ILF917526 IVB917518:IVB917526 JEX917518:JEX917526 JOT917518:JOT917526 JYP917518:JYP917526 KIL917518:KIL917526 KSH917518:KSH917526 LCD917518:LCD917526 LLZ917518:LLZ917526 LVV917518:LVV917526 MFR917518:MFR917526 MPN917518:MPN917526 MZJ917518:MZJ917526 NJF917518:NJF917526 NTB917518:NTB917526 OCX917518:OCX917526 OMT917518:OMT917526 OWP917518:OWP917526 PGL917518:PGL917526 PQH917518:PQH917526 QAD917518:QAD917526 QJZ917518:QJZ917526 QTV917518:QTV917526 RDR917518:RDR917526 RNN917518:RNN917526 RXJ917518:RXJ917526 SHF917518:SHF917526 SRB917518:SRB917526 TAX917518:TAX917526 TKT917518:TKT917526 TUP917518:TUP917526 UEL917518:UEL917526 UOH917518:UOH917526 UYD917518:UYD917526 VHZ917518:VHZ917526 VRV917518:VRV917526 WBR917518:WBR917526 WLN917518:WLN917526 WVJ917518:WVJ917526 B983054:B983062 IX983054:IX983062 ST983054:ST983062 ACP983054:ACP983062 AML983054:AML983062 AWH983054:AWH983062 BGD983054:BGD983062 BPZ983054:BPZ983062 BZV983054:BZV983062 CJR983054:CJR983062 CTN983054:CTN983062 DDJ983054:DDJ983062 DNF983054:DNF983062 DXB983054:DXB983062 EGX983054:EGX983062 EQT983054:EQT983062 FAP983054:FAP983062 FKL983054:FKL983062 FUH983054:FUH983062 GED983054:GED983062 GNZ983054:GNZ983062 GXV983054:GXV983062 HHR983054:HHR983062 HRN983054:HRN983062 IBJ983054:IBJ983062 ILF983054:ILF983062 IVB983054:IVB983062 JEX983054:JEX983062 JOT983054:JOT983062 JYP983054:JYP983062 KIL983054:KIL983062 KSH983054:KSH983062 LCD983054:LCD983062 LLZ983054:LLZ983062 LVV983054:LVV983062 MFR983054:MFR983062 MPN983054:MPN983062 MZJ983054:MZJ983062 NJF983054:NJF983062 NTB983054:NTB983062 OCX983054:OCX983062 OMT983054:OMT983062 OWP983054:OWP983062 PGL983054:PGL983062 PQH983054:PQH983062 QAD983054:QAD983062 QJZ983054:QJZ983062 QTV983054:QTV983062 RDR983054:RDR983062 RNN983054:RNN983062 RXJ983054:RXJ983062 SHF983054:SHF983062 SRB983054:SRB983062 TAX983054:TAX983062 TKT983054:TKT983062 TUP983054:TUP983062 UEL983054:UEL983062 UOH983054:UOH983062 UYD983054:UYD983062 VHZ983054:VHZ983062 VRV983054:VRV983062 WBR983054:WBR983062 WLN983054:WLN983062 WVJ983054:WVJ983062" xr:uid="{AF8A0205-B73A-400A-9492-77E601DC618B}">
      <formula1>$A$31:$A$71</formula1>
    </dataValidation>
  </dataValidations>
  <printOptions horizontalCentered="1"/>
  <pageMargins left="0.74803149606299213" right="0.70866141732283472" top="0.74803149606299213" bottom="0.9055118110236221" header="0.39370078740157483" footer="0.39370078740157483"/>
  <pageSetup paperSize="9" scale="94" orientation="portrait" r:id="rId1"/>
  <headerFooter scaleWithDoc="0" alignWithMargins="0">
    <oddHeader xml:space="preserve">&amp;L&amp;"-,Regular"&amp;8&amp;F&amp;R&amp;"-,Regular"&amp;8&amp;A
__________________________________________________________________________________________________
</oddHeader>
    <oddFooter>&amp;L&amp;"-,Regular"&amp;8__________________________________________________________________________________________
NZ Transport Agency’s Economic evaluation manual 
Effective from Jul 2013</oddFooter>
  </headerFooter>
  <drawing r:id="rId2"/>
  <legacyDrawing r:id="rId3"/>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29068E-4C41-4069-B9BF-57C74219CB3E}">
  <sheetPr codeName="Sheet9">
    <pageSetUpPr fitToPage="1"/>
  </sheetPr>
  <dimension ref="A1:Z71"/>
  <sheetViews>
    <sheetView zoomScaleNormal="100" workbookViewId="0">
      <selection activeCell="K7" sqref="K7:M7"/>
    </sheetView>
  </sheetViews>
  <sheetFormatPr defaultColWidth="7.69921875" defaultRowHeight="12.6"/>
  <cols>
    <col min="1" max="1" width="2.5" style="217" customWidth="1"/>
    <col min="2" max="2" width="7.09765625" style="217" customWidth="1"/>
    <col min="3" max="5" width="3.09765625" style="217" customWidth="1"/>
    <col min="6" max="6" width="4" style="217" customWidth="1"/>
    <col min="7" max="9" width="3.09765625" style="217" customWidth="1"/>
    <col min="10" max="10" width="3.59765625" style="217" customWidth="1"/>
    <col min="11" max="11" width="4.8984375" style="217" customWidth="1"/>
    <col min="12" max="19" width="4.69921875" style="217" customWidth="1"/>
    <col min="20" max="20" width="3.09765625" style="217" customWidth="1"/>
    <col min="21" max="21" width="13.59765625" style="217" customWidth="1"/>
    <col min="22" max="22" width="26.69921875" style="217" customWidth="1"/>
    <col min="23" max="26" width="13.59765625" style="217" customWidth="1"/>
    <col min="27" max="256" width="7.69921875" style="217"/>
    <col min="257" max="257" width="2.5" style="217" customWidth="1"/>
    <col min="258" max="258" width="7.09765625" style="217" customWidth="1"/>
    <col min="259" max="261" width="3.09765625" style="217" customWidth="1"/>
    <col min="262" max="262" width="4" style="217" customWidth="1"/>
    <col min="263" max="265" width="3.09765625" style="217" customWidth="1"/>
    <col min="266" max="266" width="3.59765625" style="217" customWidth="1"/>
    <col min="267" max="267" width="4.8984375" style="217" customWidth="1"/>
    <col min="268" max="275" width="4.69921875" style="217" customWidth="1"/>
    <col min="276" max="276" width="3.09765625" style="217" customWidth="1"/>
    <col min="277" max="277" width="13.59765625" style="217" customWidth="1"/>
    <col min="278" max="278" width="26.69921875" style="217" customWidth="1"/>
    <col min="279" max="282" width="13.59765625" style="217" customWidth="1"/>
    <col min="283" max="512" width="7.69921875" style="217"/>
    <col min="513" max="513" width="2.5" style="217" customWidth="1"/>
    <col min="514" max="514" width="7.09765625" style="217" customWidth="1"/>
    <col min="515" max="517" width="3.09765625" style="217" customWidth="1"/>
    <col min="518" max="518" width="4" style="217" customWidth="1"/>
    <col min="519" max="521" width="3.09765625" style="217" customWidth="1"/>
    <col min="522" max="522" width="3.59765625" style="217" customWidth="1"/>
    <col min="523" max="523" width="4.8984375" style="217" customWidth="1"/>
    <col min="524" max="531" width="4.69921875" style="217" customWidth="1"/>
    <col min="532" max="532" width="3.09765625" style="217" customWidth="1"/>
    <col min="533" max="533" width="13.59765625" style="217" customWidth="1"/>
    <col min="534" max="534" width="26.69921875" style="217" customWidth="1"/>
    <col min="535" max="538" width="13.59765625" style="217" customWidth="1"/>
    <col min="539" max="768" width="7.69921875" style="217"/>
    <col min="769" max="769" width="2.5" style="217" customWidth="1"/>
    <col min="770" max="770" width="7.09765625" style="217" customWidth="1"/>
    <col min="771" max="773" width="3.09765625" style="217" customWidth="1"/>
    <col min="774" max="774" width="4" style="217" customWidth="1"/>
    <col min="775" max="777" width="3.09765625" style="217" customWidth="1"/>
    <col min="778" max="778" width="3.59765625" style="217" customWidth="1"/>
    <col min="779" max="779" width="4.8984375" style="217" customWidth="1"/>
    <col min="780" max="787" width="4.69921875" style="217" customWidth="1"/>
    <col min="788" max="788" width="3.09765625" style="217" customWidth="1"/>
    <col min="789" max="789" width="13.59765625" style="217" customWidth="1"/>
    <col min="790" max="790" width="26.69921875" style="217" customWidth="1"/>
    <col min="791" max="794" width="13.59765625" style="217" customWidth="1"/>
    <col min="795" max="1024" width="7.69921875" style="217"/>
    <col min="1025" max="1025" width="2.5" style="217" customWidth="1"/>
    <col min="1026" max="1026" width="7.09765625" style="217" customWidth="1"/>
    <col min="1027" max="1029" width="3.09765625" style="217" customWidth="1"/>
    <col min="1030" max="1030" width="4" style="217" customWidth="1"/>
    <col min="1031" max="1033" width="3.09765625" style="217" customWidth="1"/>
    <col min="1034" max="1034" width="3.59765625" style="217" customWidth="1"/>
    <col min="1035" max="1035" width="4.8984375" style="217" customWidth="1"/>
    <col min="1036" max="1043" width="4.69921875" style="217" customWidth="1"/>
    <col min="1044" max="1044" width="3.09765625" style="217" customWidth="1"/>
    <col min="1045" max="1045" width="13.59765625" style="217" customWidth="1"/>
    <col min="1046" max="1046" width="26.69921875" style="217" customWidth="1"/>
    <col min="1047" max="1050" width="13.59765625" style="217" customWidth="1"/>
    <col min="1051" max="1280" width="7.69921875" style="217"/>
    <col min="1281" max="1281" width="2.5" style="217" customWidth="1"/>
    <col min="1282" max="1282" width="7.09765625" style="217" customWidth="1"/>
    <col min="1283" max="1285" width="3.09765625" style="217" customWidth="1"/>
    <col min="1286" max="1286" width="4" style="217" customWidth="1"/>
    <col min="1287" max="1289" width="3.09765625" style="217" customWidth="1"/>
    <col min="1290" max="1290" width="3.59765625" style="217" customWidth="1"/>
    <col min="1291" max="1291" width="4.8984375" style="217" customWidth="1"/>
    <col min="1292" max="1299" width="4.69921875" style="217" customWidth="1"/>
    <col min="1300" max="1300" width="3.09765625" style="217" customWidth="1"/>
    <col min="1301" max="1301" width="13.59765625" style="217" customWidth="1"/>
    <col min="1302" max="1302" width="26.69921875" style="217" customWidth="1"/>
    <col min="1303" max="1306" width="13.59765625" style="217" customWidth="1"/>
    <col min="1307" max="1536" width="7.69921875" style="217"/>
    <col min="1537" max="1537" width="2.5" style="217" customWidth="1"/>
    <col min="1538" max="1538" width="7.09765625" style="217" customWidth="1"/>
    <col min="1539" max="1541" width="3.09765625" style="217" customWidth="1"/>
    <col min="1542" max="1542" width="4" style="217" customWidth="1"/>
    <col min="1543" max="1545" width="3.09765625" style="217" customWidth="1"/>
    <col min="1546" max="1546" width="3.59765625" style="217" customWidth="1"/>
    <col min="1547" max="1547" width="4.8984375" style="217" customWidth="1"/>
    <col min="1548" max="1555" width="4.69921875" style="217" customWidth="1"/>
    <col min="1556" max="1556" width="3.09765625" style="217" customWidth="1"/>
    <col min="1557" max="1557" width="13.59765625" style="217" customWidth="1"/>
    <col min="1558" max="1558" width="26.69921875" style="217" customWidth="1"/>
    <col min="1559" max="1562" width="13.59765625" style="217" customWidth="1"/>
    <col min="1563" max="1792" width="7.69921875" style="217"/>
    <col min="1793" max="1793" width="2.5" style="217" customWidth="1"/>
    <col min="1794" max="1794" width="7.09765625" style="217" customWidth="1"/>
    <col min="1795" max="1797" width="3.09765625" style="217" customWidth="1"/>
    <col min="1798" max="1798" width="4" style="217" customWidth="1"/>
    <col min="1799" max="1801" width="3.09765625" style="217" customWidth="1"/>
    <col min="1802" max="1802" width="3.59765625" style="217" customWidth="1"/>
    <col min="1803" max="1803" width="4.8984375" style="217" customWidth="1"/>
    <col min="1804" max="1811" width="4.69921875" style="217" customWidth="1"/>
    <col min="1812" max="1812" width="3.09765625" style="217" customWidth="1"/>
    <col min="1813" max="1813" width="13.59765625" style="217" customWidth="1"/>
    <col min="1814" max="1814" width="26.69921875" style="217" customWidth="1"/>
    <col min="1815" max="1818" width="13.59765625" style="217" customWidth="1"/>
    <col min="1819" max="2048" width="7.69921875" style="217"/>
    <col min="2049" max="2049" width="2.5" style="217" customWidth="1"/>
    <col min="2050" max="2050" width="7.09765625" style="217" customWidth="1"/>
    <col min="2051" max="2053" width="3.09765625" style="217" customWidth="1"/>
    <col min="2054" max="2054" width="4" style="217" customWidth="1"/>
    <col min="2055" max="2057" width="3.09765625" style="217" customWidth="1"/>
    <col min="2058" max="2058" width="3.59765625" style="217" customWidth="1"/>
    <col min="2059" max="2059" width="4.8984375" style="217" customWidth="1"/>
    <col min="2060" max="2067" width="4.69921875" style="217" customWidth="1"/>
    <col min="2068" max="2068" width="3.09765625" style="217" customWidth="1"/>
    <col min="2069" max="2069" width="13.59765625" style="217" customWidth="1"/>
    <col min="2070" max="2070" width="26.69921875" style="217" customWidth="1"/>
    <col min="2071" max="2074" width="13.59765625" style="217" customWidth="1"/>
    <col min="2075" max="2304" width="7.69921875" style="217"/>
    <col min="2305" max="2305" width="2.5" style="217" customWidth="1"/>
    <col min="2306" max="2306" width="7.09765625" style="217" customWidth="1"/>
    <col min="2307" max="2309" width="3.09765625" style="217" customWidth="1"/>
    <col min="2310" max="2310" width="4" style="217" customWidth="1"/>
    <col min="2311" max="2313" width="3.09765625" style="217" customWidth="1"/>
    <col min="2314" max="2314" width="3.59765625" style="217" customWidth="1"/>
    <col min="2315" max="2315" width="4.8984375" style="217" customWidth="1"/>
    <col min="2316" max="2323" width="4.69921875" style="217" customWidth="1"/>
    <col min="2324" max="2324" width="3.09765625" style="217" customWidth="1"/>
    <col min="2325" max="2325" width="13.59765625" style="217" customWidth="1"/>
    <col min="2326" max="2326" width="26.69921875" style="217" customWidth="1"/>
    <col min="2327" max="2330" width="13.59765625" style="217" customWidth="1"/>
    <col min="2331" max="2560" width="7.69921875" style="217"/>
    <col min="2561" max="2561" width="2.5" style="217" customWidth="1"/>
    <col min="2562" max="2562" width="7.09765625" style="217" customWidth="1"/>
    <col min="2563" max="2565" width="3.09765625" style="217" customWidth="1"/>
    <col min="2566" max="2566" width="4" style="217" customWidth="1"/>
    <col min="2567" max="2569" width="3.09765625" style="217" customWidth="1"/>
    <col min="2570" max="2570" width="3.59765625" style="217" customWidth="1"/>
    <col min="2571" max="2571" width="4.8984375" style="217" customWidth="1"/>
    <col min="2572" max="2579" width="4.69921875" style="217" customWidth="1"/>
    <col min="2580" max="2580" width="3.09765625" style="217" customWidth="1"/>
    <col min="2581" max="2581" width="13.59765625" style="217" customWidth="1"/>
    <col min="2582" max="2582" width="26.69921875" style="217" customWidth="1"/>
    <col min="2583" max="2586" width="13.59765625" style="217" customWidth="1"/>
    <col min="2587" max="2816" width="7.69921875" style="217"/>
    <col min="2817" max="2817" width="2.5" style="217" customWidth="1"/>
    <col min="2818" max="2818" width="7.09765625" style="217" customWidth="1"/>
    <col min="2819" max="2821" width="3.09765625" style="217" customWidth="1"/>
    <col min="2822" max="2822" width="4" style="217" customWidth="1"/>
    <col min="2823" max="2825" width="3.09765625" style="217" customWidth="1"/>
    <col min="2826" max="2826" width="3.59765625" style="217" customWidth="1"/>
    <col min="2827" max="2827" width="4.8984375" style="217" customWidth="1"/>
    <col min="2828" max="2835" width="4.69921875" style="217" customWidth="1"/>
    <col min="2836" max="2836" width="3.09765625" style="217" customWidth="1"/>
    <col min="2837" max="2837" width="13.59765625" style="217" customWidth="1"/>
    <col min="2838" max="2838" width="26.69921875" style="217" customWidth="1"/>
    <col min="2839" max="2842" width="13.59765625" style="217" customWidth="1"/>
    <col min="2843" max="3072" width="7.69921875" style="217"/>
    <col min="3073" max="3073" width="2.5" style="217" customWidth="1"/>
    <col min="3074" max="3074" width="7.09765625" style="217" customWidth="1"/>
    <col min="3075" max="3077" width="3.09765625" style="217" customWidth="1"/>
    <col min="3078" max="3078" width="4" style="217" customWidth="1"/>
    <col min="3079" max="3081" width="3.09765625" style="217" customWidth="1"/>
    <col min="3082" max="3082" width="3.59765625" style="217" customWidth="1"/>
    <col min="3083" max="3083" width="4.8984375" style="217" customWidth="1"/>
    <col min="3084" max="3091" width="4.69921875" style="217" customWidth="1"/>
    <col min="3092" max="3092" width="3.09765625" style="217" customWidth="1"/>
    <col min="3093" max="3093" width="13.59765625" style="217" customWidth="1"/>
    <col min="3094" max="3094" width="26.69921875" style="217" customWidth="1"/>
    <col min="3095" max="3098" width="13.59765625" style="217" customWidth="1"/>
    <col min="3099" max="3328" width="7.69921875" style="217"/>
    <col min="3329" max="3329" width="2.5" style="217" customWidth="1"/>
    <col min="3330" max="3330" width="7.09765625" style="217" customWidth="1"/>
    <col min="3331" max="3333" width="3.09765625" style="217" customWidth="1"/>
    <col min="3334" max="3334" width="4" style="217" customWidth="1"/>
    <col min="3335" max="3337" width="3.09765625" style="217" customWidth="1"/>
    <col min="3338" max="3338" width="3.59765625" style="217" customWidth="1"/>
    <col min="3339" max="3339" width="4.8984375" style="217" customWidth="1"/>
    <col min="3340" max="3347" width="4.69921875" style="217" customWidth="1"/>
    <col min="3348" max="3348" width="3.09765625" style="217" customWidth="1"/>
    <col min="3349" max="3349" width="13.59765625" style="217" customWidth="1"/>
    <col min="3350" max="3350" width="26.69921875" style="217" customWidth="1"/>
    <col min="3351" max="3354" width="13.59765625" style="217" customWidth="1"/>
    <col min="3355" max="3584" width="7.69921875" style="217"/>
    <col min="3585" max="3585" width="2.5" style="217" customWidth="1"/>
    <col min="3586" max="3586" width="7.09765625" style="217" customWidth="1"/>
    <col min="3587" max="3589" width="3.09765625" style="217" customWidth="1"/>
    <col min="3590" max="3590" width="4" style="217" customWidth="1"/>
    <col min="3591" max="3593" width="3.09765625" style="217" customWidth="1"/>
    <col min="3594" max="3594" width="3.59765625" style="217" customWidth="1"/>
    <col min="3595" max="3595" width="4.8984375" style="217" customWidth="1"/>
    <col min="3596" max="3603" width="4.69921875" style="217" customWidth="1"/>
    <col min="3604" max="3604" width="3.09765625" style="217" customWidth="1"/>
    <col min="3605" max="3605" width="13.59765625" style="217" customWidth="1"/>
    <col min="3606" max="3606" width="26.69921875" style="217" customWidth="1"/>
    <col min="3607" max="3610" width="13.59765625" style="217" customWidth="1"/>
    <col min="3611" max="3840" width="7.69921875" style="217"/>
    <col min="3841" max="3841" width="2.5" style="217" customWidth="1"/>
    <col min="3842" max="3842" width="7.09765625" style="217" customWidth="1"/>
    <col min="3843" max="3845" width="3.09765625" style="217" customWidth="1"/>
    <col min="3846" max="3846" width="4" style="217" customWidth="1"/>
    <col min="3847" max="3849" width="3.09765625" style="217" customWidth="1"/>
    <col min="3850" max="3850" width="3.59765625" style="217" customWidth="1"/>
    <col min="3851" max="3851" width="4.8984375" style="217" customWidth="1"/>
    <col min="3852" max="3859" width="4.69921875" style="217" customWidth="1"/>
    <col min="3860" max="3860" width="3.09765625" style="217" customWidth="1"/>
    <col min="3861" max="3861" width="13.59765625" style="217" customWidth="1"/>
    <col min="3862" max="3862" width="26.69921875" style="217" customWidth="1"/>
    <col min="3863" max="3866" width="13.59765625" style="217" customWidth="1"/>
    <col min="3867" max="4096" width="7.69921875" style="217"/>
    <col min="4097" max="4097" width="2.5" style="217" customWidth="1"/>
    <col min="4098" max="4098" width="7.09765625" style="217" customWidth="1"/>
    <col min="4099" max="4101" width="3.09765625" style="217" customWidth="1"/>
    <col min="4102" max="4102" width="4" style="217" customWidth="1"/>
    <col min="4103" max="4105" width="3.09765625" style="217" customWidth="1"/>
    <col min="4106" max="4106" width="3.59765625" style="217" customWidth="1"/>
    <col min="4107" max="4107" width="4.8984375" style="217" customWidth="1"/>
    <col min="4108" max="4115" width="4.69921875" style="217" customWidth="1"/>
    <col min="4116" max="4116" width="3.09765625" style="217" customWidth="1"/>
    <col min="4117" max="4117" width="13.59765625" style="217" customWidth="1"/>
    <col min="4118" max="4118" width="26.69921875" style="217" customWidth="1"/>
    <col min="4119" max="4122" width="13.59765625" style="217" customWidth="1"/>
    <col min="4123" max="4352" width="7.69921875" style="217"/>
    <col min="4353" max="4353" width="2.5" style="217" customWidth="1"/>
    <col min="4354" max="4354" width="7.09765625" style="217" customWidth="1"/>
    <col min="4355" max="4357" width="3.09765625" style="217" customWidth="1"/>
    <col min="4358" max="4358" width="4" style="217" customWidth="1"/>
    <col min="4359" max="4361" width="3.09765625" style="217" customWidth="1"/>
    <col min="4362" max="4362" width="3.59765625" style="217" customWidth="1"/>
    <col min="4363" max="4363" width="4.8984375" style="217" customWidth="1"/>
    <col min="4364" max="4371" width="4.69921875" style="217" customWidth="1"/>
    <col min="4372" max="4372" width="3.09765625" style="217" customWidth="1"/>
    <col min="4373" max="4373" width="13.59765625" style="217" customWidth="1"/>
    <col min="4374" max="4374" width="26.69921875" style="217" customWidth="1"/>
    <col min="4375" max="4378" width="13.59765625" style="217" customWidth="1"/>
    <col min="4379" max="4608" width="7.69921875" style="217"/>
    <col min="4609" max="4609" width="2.5" style="217" customWidth="1"/>
    <col min="4610" max="4610" width="7.09765625" style="217" customWidth="1"/>
    <col min="4611" max="4613" width="3.09765625" style="217" customWidth="1"/>
    <col min="4614" max="4614" width="4" style="217" customWidth="1"/>
    <col min="4615" max="4617" width="3.09765625" style="217" customWidth="1"/>
    <col min="4618" max="4618" width="3.59765625" style="217" customWidth="1"/>
    <col min="4619" max="4619" width="4.8984375" style="217" customWidth="1"/>
    <col min="4620" max="4627" width="4.69921875" style="217" customWidth="1"/>
    <col min="4628" max="4628" width="3.09765625" style="217" customWidth="1"/>
    <col min="4629" max="4629" width="13.59765625" style="217" customWidth="1"/>
    <col min="4630" max="4630" width="26.69921875" style="217" customWidth="1"/>
    <col min="4631" max="4634" width="13.59765625" style="217" customWidth="1"/>
    <col min="4635" max="4864" width="7.69921875" style="217"/>
    <col min="4865" max="4865" width="2.5" style="217" customWidth="1"/>
    <col min="4866" max="4866" width="7.09765625" style="217" customWidth="1"/>
    <col min="4867" max="4869" width="3.09765625" style="217" customWidth="1"/>
    <col min="4870" max="4870" width="4" style="217" customWidth="1"/>
    <col min="4871" max="4873" width="3.09765625" style="217" customWidth="1"/>
    <col min="4874" max="4874" width="3.59765625" style="217" customWidth="1"/>
    <col min="4875" max="4875" width="4.8984375" style="217" customWidth="1"/>
    <col min="4876" max="4883" width="4.69921875" style="217" customWidth="1"/>
    <col min="4884" max="4884" width="3.09765625" style="217" customWidth="1"/>
    <col min="4885" max="4885" width="13.59765625" style="217" customWidth="1"/>
    <col min="4886" max="4886" width="26.69921875" style="217" customWidth="1"/>
    <col min="4887" max="4890" width="13.59765625" style="217" customWidth="1"/>
    <col min="4891" max="5120" width="7.69921875" style="217"/>
    <col min="5121" max="5121" width="2.5" style="217" customWidth="1"/>
    <col min="5122" max="5122" width="7.09765625" style="217" customWidth="1"/>
    <col min="5123" max="5125" width="3.09765625" style="217" customWidth="1"/>
    <col min="5126" max="5126" width="4" style="217" customWidth="1"/>
    <col min="5127" max="5129" width="3.09765625" style="217" customWidth="1"/>
    <col min="5130" max="5130" width="3.59765625" style="217" customWidth="1"/>
    <col min="5131" max="5131" width="4.8984375" style="217" customWidth="1"/>
    <col min="5132" max="5139" width="4.69921875" style="217" customWidth="1"/>
    <col min="5140" max="5140" width="3.09765625" style="217" customWidth="1"/>
    <col min="5141" max="5141" width="13.59765625" style="217" customWidth="1"/>
    <col min="5142" max="5142" width="26.69921875" style="217" customWidth="1"/>
    <col min="5143" max="5146" width="13.59765625" style="217" customWidth="1"/>
    <col min="5147" max="5376" width="7.69921875" style="217"/>
    <col min="5377" max="5377" width="2.5" style="217" customWidth="1"/>
    <col min="5378" max="5378" width="7.09765625" style="217" customWidth="1"/>
    <col min="5379" max="5381" width="3.09765625" style="217" customWidth="1"/>
    <col min="5382" max="5382" width="4" style="217" customWidth="1"/>
    <col min="5383" max="5385" width="3.09765625" style="217" customWidth="1"/>
    <col min="5386" max="5386" width="3.59765625" style="217" customWidth="1"/>
    <col min="5387" max="5387" width="4.8984375" style="217" customWidth="1"/>
    <col min="5388" max="5395" width="4.69921875" style="217" customWidth="1"/>
    <col min="5396" max="5396" width="3.09765625" style="217" customWidth="1"/>
    <col min="5397" max="5397" width="13.59765625" style="217" customWidth="1"/>
    <col min="5398" max="5398" width="26.69921875" style="217" customWidth="1"/>
    <col min="5399" max="5402" width="13.59765625" style="217" customWidth="1"/>
    <col min="5403" max="5632" width="7.69921875" style="217"/>
    <col min="5633" max="5633" width="2.5" style="217" customWidth="1"/>
    <col min="5634" max="5634" width="7.09765625" style="217" customWidth="1"/>
    <col min="5635" max="5637" width="3.09765625" style="217" customWidth="1"/>
    <col min="5638" max="5638" width="4" style="217" customWidth="1"/>
    <col min="5639" max="5641" width="3.09765625" style="217" customWidth="1"/>
    <col min="5642" max="5642" width="3.59765625" style="217" customWidth="1"/>
    <col min="5643" max="5643" width="4.8984375" style="217" customWidth="1"/>
    <col min="5644" max="5651" width="4.69921875" style="217" customWidth="1"/>
    <col min="5652" max="5652" width="3.09765625" style="217" customWidth="1"/>
    <col min="5653" max="5653" width="13.59765625" style="217" customWidth="1"/>
    <col min="5654" max="5654" width="26.69921875" style="217" customWidth="1"/>
    <col min="5655" max="5658" width="13.59765625" style="217" customWidth="1"/>
    <col min="5659" max="5888" width="7.69921875" style="217"/>
    <col min="5889" max="5889" width="2.5" style="217" customWidth="1"/>
    <col min="5890" max="5890" width="7.09765625" style="217" customWidth="1"/>
    <col min="5891" max="5893" width="3.09765625" style="217" customWidth="1"/>
    <col min="5894" max="5894" width="4" style="217" customWidth="1"/>
    <col min="5895" max="5897" width="3.09765625" style="217" customWidth="1"/>
    <col min="5898" max="5898" width="3.59765625" style="217" customWidth="1"/>
    <col min="5899" max="5899" width="4.8984375" style="217" customWidth="1"/>
    <col min="5900" max="5907" width="4.69921875" style="217" customWidth="1"/>
    <col min="5908" max="5908" width="3.09765625" style="217" customWidth="1"/>
    <col min="5909" max="5909" width="13.59765625" style="217" customWidth="1"/>
    <col min="5910" max="5910" width="26.69921875" style="217" customWidth="1"/>
    <col min="5911" max="5914" width="13.59765625" style="217" customWidth="1"/>
    <col min="5915" max="6144" width="7.69921875" style="217"/>
    <col min="6145" max="6145" width="2.5" style="217" customWidth="1"/>
    <col min="6146" max="6146" width="7.09765625" style="217" customWidth="1"/>
    <col min="6147" max="6149" width="3.09765625" style="217" customWidth="1"/>
    <col min="6150" max="6150" width="4" style="217" customWidth="1"/>
    <col min="6151" max="6153" width="3.09765625" style="217" customWidth="1"/>
    <col min="6154" max="6154" width="3.59765625" style="217" customWidth="1"/>
    <col min="6155" max="6155" width="4.8984375" style="217" customWidth="1"/>
    <col min="6156" max="6163" width="4.69921875" style="217" customWidth="1"/>
    <col min="6164" max="6164" width="3.09765625" style="217" customWidth="1"/>
    <col min="6165" max="6165" width="13.59765625" style="217" customWidth="1"/>
    <col min="6166" max="6166" width="26.69921875" style="217" customWidth="1"/>
    <col min="6167" max="6170" width="13.59765625" style="217" customWidth="1"/>
    <col min="6171" max="6400" width="7.69921875" style="217"/>
    <col min="6401" max="6401" width="2.5" style="217" customWidth="1"/>
    <col min="6402" max="6402" width="7.09765625" style="217" customWidth="1"/>
    <col min="6403" max="6405" width="3.09765625" style="217" customWidth="1"/>
    <col min="6406" max="6406" width="4" style="217" customWidth="1"/>
    <col min="6407" max="6409" width="3.09765625" style="217" customWidth="1"/>
    <col min="6410" max="6410" width="3.59765625" style="217" customWidth="1"/>
    <col min="6411" max="6411" width="4.8984375" style="217" customWidth="1"/>
    <col min="6412" max="6419" width="4.69921875" style="217" customWidth="1"/>
    <col min="6420" max="6420" width="3.09765625" style="217" customWidth="1"/>
    <col min="6421" max="6421" width="13.59765625" style="217" customWidth="1"/>
    <col min="6422" max="6422" width="26.69921875" style="217" customWidth="1"/>
    <col min="6423" max="6426" width="13.59765625" style="217" customWidth="1"/>
    <col min="6427" max="6656" width="7.69921875" style="217"/>
    <col min="6657" max="6657" width="2.5" style="217" customWidth="1"/>
    <col min="6658" max="6658" width="7.09765625" style="217" customWidth="1"/>
    <col min="6659" max="6661" width="3.09765625" style="217" customWidth="1"/>
    <col min="6662" max="6662" width="4" style="217" customWidth="1"/>
    <col min="6663" max="6665" width="3.09765625" style="217" customWidth="1"/>
    <col min="6666" max="6666" width="3.59765625" style="217" customWidth="1"/>
    <col min="6667" max="6667" width="4.8984375" style="217" customWidth="1"/>
    <col min="6668" max="6675" width="4.69921875" style="217" customWidth="1"/>
    <col min="6676" max="6676" width="3.09765625" style="217" customWidth="1"/>
    <col min="6677" max="6677" width="13.59765625" style="217" customWidth="1"/>
    <col min="6678" max="6678" width="26.69921875" style="217" customWidth="1"/>
    <col min="6679" max="6682" width="13.59765625" style="217" customWidth="1"/>
    <col min="6683" max="6912" width="7.69921875" style="217"/>
    <col min="6913" max="6913" width="2.5" style="217" customWidth="1"/>
    <col min="6914" max="6914" width="7.09765625" style="217" customWidth="1"/>
    <col min="6915" max="6917" width="3.09765625" style="217" customWidth="1"/>
    <col min="6918" max="6918" width="4" style="217" customWidth="1"/>
    <col min="6919" max="6921" width="3.09765625" style="217" customWidth="1"/>
    <col min="6922" max="6922" width="3.59765625" style="217" customWidth="1"/>
    <col min="6923" max="6923" width="4.8984375" style="217" customWidth="1"/>
    <col min="6924" max="6931" width="4.69921875" style="217" customWidth="1"/>
    <col min="6932" max="6932" width="3.09765625" style="217" customWidth="1"/>
    <col min="6933" max="6933" width="13.59765625" style="217" customWidth="1"/>
    <col min="6934" max="6934" width="26.69921875" style="217" customWidth="1"/>
    <col min="6935" max="6938" width="13.59765625" style="217" customWidth="1"/>
    <col min="6939" max="7168" width="7.69921875" style="217"/>
    <col min="7169" max="7169" width="2.5" style="217" customWidth="1"/>
    <col min="7170" max="7170" width="7.09765625" style="217" customWidth="1"/>
    <col min="7171" max="7173" width="3.09765625" style="217" customWidth="1"/>
    <col min="7174" max="7174" width="4" style="217" customWidth="1"/>
    <col min="7175" max="7177" width="3.09765625" style="217" customWidth="1"/>
    <col min="7178" max="7178" width="3.59765625" style="217" customWidth="1"/>
    <col min="7179" max="7179" width="4.8984375" style="217" customWidth="1"/>
    <col min="7180" max="7187" width="4.69921875" style="217" customWidth="1"/>
    <col min="7188" max="7188" width="3.09765625" style="217" customWidth="1"/>
    <col min="7189" max="7189" width="13.59765625" style="217" customWidth="1"/>
    <col min="7190" max="7190" width="26.69921875" style="217" customWidth="1"/>
    <col min="7191" max="7194" width="13.59765625" style="217" customWidth="1"/>
    <col min="7195" max="7424" width="7.69921875" style="217"/>
    <col min="7425" max="7425" width="2.5" style="217" customWidth="1"/>
    <col min="7426" max="7426" width="7.09765625" style="217" customWidth="1"/>
    <col min="7427" max="7429" width="3.09765625" style="217" customWidth="1"/>
    <col min="7430" max="7430" width="4" style="217" customWidth="1"/>
    <col min="7431" max="7433" width="3.09765625" style="217" customWidth="1"/>
    <col min="7434" max="7434" width="3.59765625" style="217" customWidth="1"/>
    <col min="7435" max="7435" width="4.8984375" style="217" customWidth="1"/>
    <col min="7436" max="7443" width="4.69921875" style="217" customWidth="1"/>
    <col min="7444" max="7444" width="3.09765625" style="217" customWidth="1"/>
    <col min="7445" max="7445" width="13.59765625" style="217" customWidth="1"/>
    <col min="7446" max="7446" width="26.69921875" style="217" customWidth="1"/>
    <col min="7447" max="7450" width="13.59765625" style="217" customWidth="1"/>
    <col min="7451" max="7680" width="7.69921875" style="217"/>
    <col min="7681" max="7681" width="2.5" style="217" customWidth="1"/>
    <col min="7682" max="7682" width="7.09765625" style="217" customWidth="1"/>
    <col min="7683" max="7685" width="3.09765625" style="217" customWidth="1"/>
    <col min="7686" max="7686" width="4" style="217" customWidth="1"/>
    <col min="7687" max="7689" width="3.09765625" style="217" customWidth="1"/>
    <col min="7690" max="7690" width="3.59765625" style="217" customWidth="1"/>
    <col min="7691" max="7691" width="4.8984375" style="217" customWidth="1"/>
    <col min="7692" max="7699" width="4.69921875" style="217" customWidth="1"/>
    <col min="7700" max="7700" width="3.09765625" style="217" customWidth="1"/>
    <col min="7701" max="7701" width="13.59765625" style="217" customWidth="1"/>
    <col min="7702" max="7702" width="26.69921875" style="217" customWidth="1"/>
    <col min="7703" max="7706" width="13.59765625" style="217" customWidth="1"/>
    <col min="7707" max="7936" width="7.69921875" style="217"/>
    <col min="7937" max="7937" width="2.5" style="217" customWidth="1"/>
    <col min="7938" max="7938" width="7.09765625" style="217" customWidth="1"/>
    <col min="7939" max="7941" width="3.09765625" style="217" customWidth="1"/>
    <col min="7942" max="7942" width="4" style="217" customWidth="1"/>
    <col min="7943" max="7945" width="3.09765625" style="217" customWidth="1"/>
    <col min="7946" max="7946" width="3.59765625" style="217" customWidth="1"/>
    <col min="7947" max="7947" width="4.8984375" style="217" customWidth="1"/>
    <col min="7948" max="7955" width="4.69921875" style="217" customWidth="1"/>
    <col min="7956" max="7956" width="3.09765625" style="217" customWidth="1"/>
    <col min="7957" max="7957" width="13.59765625" style="217" customWidth="1"/>
    <col min="7958" max="7958" width="26.69921875" style="217" customWidth="1"/>
    <col min="7959" max="7962" width="13.59765625" style="217" customWidth="1"/>
    <col min="7963" max="8192" width="7.69921875" style="217"/>
    <col min="8193" max="8193" width="2.5" style="217" customWidth="1"/>
    <col min="8194" max="8194" width="7.09765625" style="217" customWidth="1"/>
    <col min="8195" max="8197" width="3.09765625" style="217" customWidth="1"/>
    <col min="8198" max="8198" width="4" style="217" customWidth="1"/>
    <col min="8199" max="8201" width="3.09765625" style="217" customWidth="1"/>
    <col min="8202" max="8202" width="3.59765625" style="217" customWidth="1"/>
    <col min="8203" max="8203" width="4.8984375" style="217" customWidth="1"/>
    <col min="8204" max="8211" width="4.69921875" style="217" customWidth="1"/>
    <col min="8212" max="8212" width="3.09765625" style="217" customWidth="1"/>
    <col min="8213" max="8213" width="13.59765625" style="217" customWidth="1"/>
    <col min="8214" max="8214" width="26.69921875" style="217" customWidth="1"/>
    <col min="8215" max="8218" width="13.59765625" style="217" customWidth="1"/>
    <col min="8219" max="8448" width="7.69921875" style="217"/>
    <col min="8449" max="8449" width="2.5" style="217" customWidth="1"/>
    <col min="8450" max="8450" width="7.09765625" style="217" customWidth="1"/>
    <col min="8451" max="8453" width="3.09765625" style="217" customWidth="1"/>
    <col min="8454" max="8454" width="4" style="217" customWidth="1"/>
    <col min="8455" max="8457" width="3.09765625" style="217" customWidth="1"/>
    <col min="8458" max="8458" width="3.59765625" style="217" customWidth="1"/>
    <col min="8459" max="8459" width="4.8984375" style="217" customWidth="1"/>
    <col min="8460" max="8467" width="4.69921875" style="217" customWidth="1"/>
    <col min="8468" max="8468" width="3.09765625" style="217" customWidth="1"/>
    <col min="8469" max="8469" width="13.59765625" style="217" customWidth="1"/>
    <col min="8470" max="8470" width="26.69921875" style="217" customWidth="1"/>
    <col min="8471" max="8474" width="13.59765625" style="217" customWidth="1"/>
    <col min="8475" max="8704" width="7.69921875" style="217"/>
    <col min="8705" max="8705" width="2.5" style="217" customWidth="1"/>
    <col min="8706" max="8706" width="7.09765625" style="217" customWidth="1"/>
    <col min="8707" max="8709" width="3.09765625" style="217" customWidth="1"/>
    <col min="8710" max="8710" width="4" style="217" customWidth="1"/>
    <col min="8711" max="8713" width="3.09765625" style="217" customWidth="1"/>
    <col min="8714" max="8714" width="3.59765625" style="217" customWidth="1"/>
    <col min="8715" max="8715" width="4.8984375" style="217" customWidth="1"/>
    <col min="8716" max="8723" width="4.69921875" style="217" customWidth="1"/>
    <col min="8724" max="8724" width="3.09765625" style="217" customWidth="1"/>
    <col min="8725" max="8725" width="13.59765625" style="217" customWidth="1"/>
    <col min="8726" max="8726" width="26.69921875" style="217" customWidth="1"/>
    <col min="8727" max="8730" width="13.59765625" style="217" customWidth="1"/>
    <col min="8731" max="8960" width="7.69921875" style="217"/>
    <col min="8961" max="8961" width="2.5" style="217" customWidth="1"/>
    <col min="8962" max="8962" width="7.09765625" style="217" customWidth="1"/>
    <col min="8963" max="8965" width="3.09765625" style="217" customWidth="1"/>
    <col min="8966" max="8966" width="4" style="217" customWidth="1"/>
    <col min="8967" max="8969" width="3.09765625" style="217" customWidth="1"/>
    <col min="8970" max="8970" width="3.59765625" style="217" customWidth="1"/>
    <col min="8971" max="8971" width="4.8984375" style="217" customWidth="1"/>
    <col min="8972" max="8979" width="4.69921875" style="217" customWidth="1"/>
    <col min="8980" max="8980" width="3.09765625" style="217" customWidth="1"/>
    <col min="8981" max="8981" width="13.59765625" style="217" customWidth="1"/>
    <col min="8982" max="8982" width="26.69921875" style="217" customWidth="1"/>
    <col min="8983" max="8986" width="13.59765625" style="217" customWidth="1"/>
    <col min="8987" max="9216" width="7.69921875" style="217"/>
    <col min="9217" max="9217" width="2.5" style="217" customWidth="1"/>
    <col min="9218" max="9218" width="7.09765625" style="217" customWidth="1"/>
    <col min="9219" max="9221" width="3.09765625" style="217" customWidth="1"/>
    <col min="9222" max="9222" width="4" style="217" customWidth="1"/>
    <col min="9223" max="9225" width="3.09765625" style="217" customWidth="1"/>
    <col min="9226" max="9226" width="3.59765625" style="217" customWidth="1"/>
    <col min="9227" max="9227" width="4.8984375" style="217" customWidth="1"/>
    <col min="9228" max="9235" width="4.69921875" style="217" customWidth="1"/>
    <col min="9236" max="9236" width="3.09765625" style="217" customWidth="1"/>
    <col min="9237" max="9237" width="13.59765625" style="217" customWidth="1"/>
    <col min="9238" max="9238" width="26.69921875" style="217" customWidth="1"/>
    <col min="9239" max="9242" width="13.59765625" style="217" customWidth="1"/>
    <col min="9243" max="9472" width="7.69921875" style="217"/>
    <col min="9473" max="9473" width="2.5" style="217" customWidth="1"/>
    <col min="9474" max="9474" width="7.09765625" style="217" customWidth="1"/>
    <col min="9475" max="9477" width="3.09765625" style="217" customWidth="1"/>
    <col min="9478" max="9478" width="4" style="217" customWidth="1"/>
    <col min="9479" max="9481" width="3.09765625" style="217" customWidth="1"/>
    <col min="9482" max="9482" width="3.59765625" style="217" customWidth="1"/>
    <col min="9483" max="9483" width="4.8984375" style="217" customWidth="1"/>
    <col min="9484" max="9491" width="4.69921875" style="217" customWidth="1"/>
    <col min="9492" max="9492" width="3.09765625" style="217" customWidth="1"/>
    <col min="9493" max="9493" width="13.59765625" style="217" customWidth="1"/>
    <col min="9494" max="9494" width="26.69921875" style="217" customWidth="1"/>
    <col min="9495" max="9498" width="13.59765625" style="217" customWidth="1"/>
    <col min="9499" max="9728" width="7.69921875" style="217"/>
    <col min="9729" max="9729" width="2.5" style="217" customWidth="1"/>
    <col min="9730" max="9730" width="7.09765625" style="217" customWidth="1"/>
    <col min="9731" max="9733" width="3.09765625" style="217" customWidth="1"/>
    <col min="9734" max="9734" width="4" style="217" customWidth="1"/>
    <col min="9735" max="9737" width="3.09765625" style="217" customWidth="1"/>
    <col min="9738" max="9738" width="3.59765625" style="217" customWidth="1"/>
    <col min="9739" max="9739" width="4.8984375" style="217" customWidth="1"/>
    <col min="9740" max="9747" width="4.69921875" style="217" customWidth="1"/>
    <col min="9748" max="9748" width="3.09765625" style="217" customWidth="1"/>
    <col min="9749" max="9749" width="13.59765625" style="217" customWidth="1"/>
    <col min="9750" max="9750" width="26.69921875" style="217" customWidth="1"/>
    <col min="9751" max="9754" width="13.59765625" style="217" customWidth="1"/>
    <col min="9755" max="9984" width="7.69921875" style="217"/>
    <col min="9985" max="9985" width="2.5" style="217" customWidth="1"/>
    <col min="9986" max="9986" width="7.09765625" style="217" customWidth="1"/>
    <col min="9987" max="9989" width="3.09765625" style="217" customWidth="1"/>
    <col min="9990" max="9990" width="4" style="217" customWidth="1"/>
    <col min="9991" max="9993" width="3.09765625" style="217" customWidth="1"/>
    <col min="9994" max="9994" width="3.59765625" style="217" customWidth="1"/>
    <col min="9995" max="9995" width="4.8984375" style="217" customWidth="1"/>
    <col min="9996" max="10003" width="4.69921875" style="217" customWidth="1"/>
    <col min="10004" max="10004" width="3.09765625" style="217" customWidth="1"/>
    <col min="10005" max="10005" width="13.59765625" style="217" customWidth="1"/>
    <col min="10006" max="10006" width="26.69921875" style="217" customWidth="1"/>
    <col min="10007" max="10010" width="13.59765625" style="217" customWidth="1"/>
    <col min="10011" max="10240" width="7.69921875" style="217"/>
    <col min="10241" max="10241" width="2.5" style="217" customWidth="1"/>
    <col min="10242" max="10242" width="7.09765625" style="217" customWidth="1"/>
    <col min="10243" max="10245" width="3.09765625" style="217" customWidth="1"/>
    <col min="10246" max="10246" width="4" style="217" customWidth="1"/>
    <col min="10247" max="10249" width="3.09765625" style="217" customWidth="1"/>
    <col min="10250" max="10250" width="3.59765625" style="217" customWidth="1"/>
    <col min="10251" max="10251" width="4.8984375" style="217" customWidth="1"/>
    <col min="10252" max="10259" width="4.69921875" style="217" customWidth="1"/>
    <col min="10260" max="10260" width="3.09765625" style="217" customWidth="1"/>
    <col min="10261" max="10261" width="13.59765625" style="217" customWidth="1"/>
    <col min="10262" max="10262" width="26.69921875" style="217" customWidth="1"/>
    <col min="10263" max="10266" width="13.59765625" style="217" customWidth="1"/>
    <col min="10267" max="10496" width="7.69921875" style="217"/>
    <col min="10497" max="10497" width="2.5" style="217" customWidth="1"/>
    <col min="10498" max="10498" width="7.09765625" style="217" customWidth="1"/>
    <col min="10499" max="10501" width="3.09765625" style="217" customWidth="1"/>
    <col min="10502" max="10502" width="4" style="217" customWidth="1"/>
    <col min="10503" max="10505" width="3.09765625" style="217" customWidth="1"/>
    <col min="10506" max="10506" width="3.59765625" style="217" customWidth="1"/>
    <col min="10507" max="10507" width="4.8984375" style="217" customWidth="1"/>
    <col min="10508" max="10515" width="4.69921875" style="217" customWidth="1"/>
    <col min="10516" max="10516" width="3.09765625" style="217" customWidth="1"/>
    <col min="10517" max="10517" width="13.59765625" style="217" customWidth="1"/>
    <col min="10518" max="10518" width="26.69921875" style="217" customWidth="1"/>
    <col min="10519" max="10522" width="13.59765625" style="217" customWidth="1"/>
    <col min="10523" max="10752" width="7.69921875" style="217"/>
    <col min="10753" max="10753" width="2.5" style="217" customWidth="1"/>
    <col min="10754" max="10754" width="7.09765625" style="217" customWidth="1"/>
    <col min="10755" max="10757" width="3.09765625" style="217" customWidth="1"/>
    <col min="10758" max="10758" width="4" style="217" customWidth="1"/>
    <col min="10759" max="10761" width="3.09765625" style="217" customWidth="1"/>
    <col min="10762" max="10762" width="3.59765625" style="217" customWidth="1"/>
    <col min="10763" max="10763" width="4.8984375" style="217" customWidth="1"/>
    <col min="10764" max="10771" width="4.69921875" style="217" customWidth="1"/>
    <col min="10772" max="10772" width="3.09765625" style="217" customWidth="1"/>
    <col min="10773" max="10773" width="13.59765625" style="217" customWidth="1"/>
    <col min="10774" max="10774" width="26.69921875" style="217" customWidth="1"/>
    <col min="10775" max="10778" width="13.59765625" style="217" customWidth="1"/>
    <col min="10779" max="11008" width="7.69921875" style="217"/>
    <col min="11009" max="11009" width="2.5" style="217" customWidth="1"/>
    <col min="11010" max="11010" width="7.09765625" style="217" customWidth="1"/>
    <col min="11011" max="11013" width="3.09765625" style="217" customWidth="1"/>
    <col min="11014" max="11014" width="4" style="217" customWidth="1"/>
    <col min="11015" max="11017" width="3.09765625" style="217" customWidth="1"/>
    <col min="11018" max="11018" width="3.59765625" style="217" customWidth="1"/>
    <col min="11019" max="11019" width="4.8984375" style="217" customWidth="1"/>
    <col min="11020" max="11027" width="4.69921875" style="217" customWidth="1"/>
    <col min="11028" max="11028" width="3.09765625" style="217" customWidth="1"/>
    <col min="11029" max="11029" width="13.59765625" style="217" customWidth="1"/>
    <col min="11030" max="11030" width="26.69921875" style="217" customWidth="1"/>
    <col min="11031" max="11034" width="13.59765625" style="217" customWidth="1"/>
    <col min="11035" max="11264" width="7.69921875" style="217"/>
    <col min="11265" max="11265" width="2.5" style="217" customWidth="1"/>
    <col min="11266" max="11266" width="7.09765625" style="217" customWidth="1"/>
    <col min="11267" max="11269" width="3.09765625" style="217" customWidth="1"/>
    <col min="11270" max="11270" width="4" style="217" customWidth="1"/>
    <col min="11271" max="11273" width="3.09765625" style="217" customWidth="1"/>
    <col min="11274" max="11274" width="3.59765625" style="217" customWidth="1"/>
    <col min="11275" max="11275" width="4.8984375" style="217" customWidth="1"/>
    <col min="11276" max="11283" width="4.69921875" style="217" customWidth="1"/>
    <col min="11284" max="11284" width="3.09765625" style="217" customWidth="1"/>
    <col min="11285" max="11285" width="13.59765625" style="217" customWidth="1"/>
    <col min="11286" max="11286" width="26.69921875" style="217" customWidth="1"/>
    <col min="11287" max="11290" width="13.59765625" style="217" customWidth="1"/>
    <col min="11291" max="11520" width="7.69921875" style="217"/>
    <col min="11521" max="11521" width="2.5" style="217" customWidth="1"/>
    <col min="11522" max="11522" width="7.09765625" style="217" customWidth="1"/>
    <col min="11523" max="11525" width="3.09765625" style="217" customWidth="1"/>
    <col min="11526" max="11526" width="4" style="217" customWidth="1"/>
    <col min="11527" max="11529" width="3.09765625" style="217" customWidth="1"/>
    <col min="11530" max="11530" width="3.59765625" style="217" customWidth="1"/>
    <col min="11531" max="11531" width="4.8984375" style="217" customWidth="1"/>
    <col min="11532" max="11539" width="4.69921875" style="217" customWidth="1"/>
    <col min="11540" max="11540" width="3.09765625" style="217" customWidth="1"/>
    <col min="11541" max="11541" width="13.59765625" style="217" customWidth="1"/>
    <col min="11542" max="11542" width="26.69921875" style="217" customWidth="1"/>
    <col min="11543" max="11546" width="13.59765625" style="217" customWidth="1"/>
    <col min="11547" max="11776" width="7.69921875" style="217"/>
    <col min="11777" max="11777" width="2.5" style="217" customWidth="1"/>
    <col min="11778" max="11778" width="7.09765625" style="217" customWidth="1"/>
    <col min="11779" max="11781" width="3.09765625" style="217" customWidth="1"/>
    <col min="11782" max="11782" width="4" style="217" customWidth="1"/>
    <col min="11783" max="11785" width="3.09765625" style="217" customWidth="1"/>
    <col min="11786" max="11786" width="3.59765625" style="217" customWidth="1"/>
    <col min="11787" max="11787" width="4.8984375" style="217" customWidth="1"/>
    <col min="11788" max="11795" width="4.69921875" style="217" customWidth="1"/>
    <col min="11796" max="11796" width="3.09765625" style="217" customWidth="1"/>
    <col min="11797" max="11797" width="13.59765625" style="217" customWidth="1"/>
    <col min="11798" max="11798" width="26.69921875" style="217" customWidth="1"/>
    <col min="11799" max="11802" width="13.59765625" style="217" customWidth="1"/>
    <col min="11803" max="12032" width="7.69921875" style="217"/>
    <col min="12033" max="12033" width="2.5" style="217" customWidth="1"/>
    <col min="12034" max="12034" width="7.09765625" style="217" customWidth="1"/>
    <col min="12035" max="12037" width="3.09765625" style="217" customWidth="1"/>
    <col min="12038" max="12038" width="4" style="217" customWidth="1"/>
    <col min="12039" max="12041" width="3.09765625" style="217" customWidth="1"/>
    <col min="12042" max="12042" width="3.59765625" style="217" customWidth="1"/>
    <col min="12043" max="12043" width="4.8984375" style="217" customWidth="1"/>
    <col min="12044" max="12051" width="4.69921875" style="217" customWidth="1"/>
    <col min="12052" max="12052" width="3.09765625" style="217" customWidth="1"/>
    <col min="12053" max="12053" width="13.59765625" style="217" customWidth="1"/>
    <col min="12054" max="12054" width="26.69921875" style="217" customWidth="1"/>
    <col min="12055" max="12058" width="13.59765625" style="217" customWidth="1"/>
    <col min="12059" max="12288" width="7.69921875" style="217"/>
    <col min="12289" max="12289" width="2.5" style="217" customWidth="1"/>
    <col min="12290" max="12290" width="7.09765625" style="217" customWidth="1"/>
    <col min="12291" max="12293" width="3.09765625" style="217" customWidth="1"/>
    <col min="12294" max="12294" width="4" style="217" customWidth="1"/>
    <col min="12295" max="12297" width="3.09765625" style="217" customWidth="1"/>
    <col min="12298" max="12298" width="3.59765625" style="217" customWidth="1"/>
    <col min="12299" max="12299" width="4.8984375" style="217" customWidth="1"/>
    <col min="12300" max="12307" width="4.69921875" style="217" customWidth="1"/>
    <col min="12308" max="12308" width="3.09765625" style="217" customWidth="1"/>
    <col min="12309" max="12309" width="13.59765625" style="217" customWidth="1"/>
    <col min="12310" max="12310" width="26.69921875" style="217" customWidth="1"/>
    <col min="12311" max="12314" width="13.59765625" style="217" customWidth="1"/>
    <col min="12315" max="12544" width="7.69921875" style="217"/>
    <col min="12545" max="12545" width="2.5" style="217" customWidth="1"/>
    <col min="12546" max="12546" width="7.09765625" style="217" customWidth="1"/>
    <col min="12547" max="12549" width="3.09765625" style="217" customWidth="1"/>
    <col min="12550" max="12550" width="4" style="217" customWidth="1"/>
    <col min="12551" max="12553" width="3.09765625" style="217" customWidth="1"/>
    <col min="12554" max="12554" width="3.59765625" style="217" customWidth="1"/>
    <col min="12555" max="12555" width="4.8984375" style="217" customWidth="1"/>
    <col min="12556" max="12563" width="4.69921875" style="217" customWidth="1"/>
    <col min="12564" max="12564" width="3.09765625" style="217" customWidth="1"/>
    <col min="12565" max="12565" width="13.59765625" style="217" customWidth="1"/>
    <col min="12566" max="12566" width="26.69921875" style="217" customWidth="1"/>
    <col min="12567" max="12570" width="13.59765625" style="217" customWidth="1"/>
    <col min="12571" max="12800" width="7.69921875" style="217"/>
    <col min="12801" max="12801" width="2.5" style="217" customWidth="1"/>
    <col min="12802" max="12802" width="7.09765625" style="217" customWidth="1"/>
    <col min="12803" max="12805" width="3.09765625" style="217" customWidth="1"/>
    <col min="12806" max="12806" width="4" style="217" customWidth="1"/>
    <col min="12807" max="12809" width="3.09765625" style="217" customWidth="1"/>
    <col min="12810" max="12810" width="3.59765625" style="217" customWidth="1"/>
    <col min="12811" max="12811" width="4.8984375" style="217" customWidth="1"/>
    <col min="12812" max="12819" width="4.69921875" style="217" customWidth="1"/>
    <col min="12820" max="12820" width="3.09765625" style="217" customWidth="1"/>
    <col min="12821" max="12821" width="13.59765625" style="217" customWidth="1"/>
    <col min="12822" max="12822" width="26.69921875" style="217" customWidth="1"/>
    <col min="12823" max="12826" width="13.59765625" style="217" customWidth="1"/>
    <col min="12827" max="13056" width="7.69921875" style="217"/>
    <col min="13057" max="13057" width="2.5" style="217" customWidth="1"/>
    <col min="13058" max="13058" width="7.09765625" style="217" customWidth="1"/>
    <col min="13059" max="13061" width="3.09765625" style="217" customWidth="1"/>
    <col min="13062" max="13062" width="4" style="217" customWidth="1"/>
    <col min="13063" max="13065" width="3.09765625" style="217" customWidth="1"/>
    <col min="13066" max="13066" width="3.59765625" style="217" customWidth="1"/>
    <col min="13067" max="13067" width="4.8984375" style="217" customWidth="1"/>
    <col min="13068" max="13075" width="4.69921875" style="217" customWidth="1"/>
    <col min="13076" max="13076" width="3.09765625" style="217" customWidth="1"/>
    <col min="13077" max="13077" width="13.59765625" style="217" customWidth="1"/>
    <col min="13078" max="13078" width="26.69921875" style="217" customWidth="1"/>
    <col min="13079" max="13082" width="13.59765625" style="217" customWidth="1"/>
    <col min="13083" max="13312" width="7.69921875" style="217"/>
    <col min="13313" max="13313" width="2.5" style="217" customWidth="1"/>
    <col min="13314" max="13314" width="7.09765625" style="217" customWidth="1"/>
    <col min="13315" max="13317" width="3.09765625" style="217" customWidth="1"/>
    <col min="13318" max="13318" width="4" style="217" customWidth="1"/>
    <col min="13319" max="13321" width="3.09765625" style="217" customWidth="1"/>
    <col min="13322" max="13322" width="3.59765625" style="217" customWidth="1"/>
    <col min="13323" max="13323" width="4.8984375" style="217" customWidth="1"/>
    <col min="13324" max="13331" width="4.69921875" style="217" customWidth="1"/>
    <col min="13332" max="13332" width="3.09765625" style="217" customWidth="1"/>
    <col min="13333" max="13333" width="13.59765625" style="217" customWidth="1"/>
    <col min="13334" max="13334" width="26.69921875" style="217" customWidth="1"/>
    <col min="13335" max="13338" width="13.59765625" style="217" customWidth="1"/>
    <col min="13339" max="13568" width="7.69921875" style="217"/>
    <col min="13569" max="13569" width="2.5" style="217" customWidth="1"/>
    <col min="13570" max="13570" width="7.09765625" style="217" customWidth="1"/>
    <col min="13571" max="13573" width="3.09765625" style="217" customWidth="1"/>
    <col min="13574" max="13574" width="4" style="217" customWidth="1"/>
    <col min="13575" max="13577" width="3.09765625" style="217" customWidth="1"/>
    <col min="13578" max="13578" width="3.59765625" style="217" customWidth="1"/>
    <col min="13579" max="13579" width="4.8984375" style="217" customWidth="1"/>
    <col min="13580" max="13587" width="4.69921875" style="217" customWidth="1"/>
    <col min="13588" max="13588" width="3.09765625" style="217" customWidth="1"/>
    <col min="13589" max="13589" width="13.59765625" style="217" customWidth="1"/>
    <col min="13590" max="13590" width="26.69921875" style="217" customWidth="1"/>
    <col min="13591" max="13594" width="13.59765625" style="217" customWidth="1"/>
    <col min="13595" max="13824" width="7.69921875" style="217"/>
    <col min="13825" max="13825" width="2.5" style="217" customWidth="1"/>
    <col min="13826" max="13826" width="7.09765625" style="217" customWidth="1"/>
    <col min="13827" max="13829" width="3.09765625" style="217" customWidth="1"/>
    <col min="13830" max="13830" width="4" style="217" customWidth="1"/>
    <col min="13831" max="13833" width="3.09765625" style="217" customWidth="1"/>
    <col min="13834" max="13834" width="3.59765625" style="217" customWidth="1"/>
    <col min="13835" max="13835" width="4.8984375" style="217" customWidth="1"/>
    <col min="13836" max="13843" width="4.69921875" style="217" customWidth="1"/>
    <col min="13844" max="13844" width="3.09765625" style="217" customWidth="1"/>
    <col min="13845" max="13845" width="13.59765625" style="217" customWidth="1"/>
    <col min="13846" max="13846" width="26.69921875" style="217" customWidth="1"/>
    <col min="13847" max="13850" width="13.59765625" style="217" customWidth="1"/>
    <col min="13851" max="14080" width="7.69921875" style="217"/>
    <col min="14081" max="14081" width="2.5" style="217" customWidth="1"/>
    <col min="14082" max="14082" width="7.09765625" style="217" customWidth="1"/>
    <col min="14083" max="14085" width="3.09765625" style="217" customWidth="1"/>
    <col min="14086" max="14086" width="4" style="217" customWidth="1"/>
    <col min="14087" max="14089" width="3.09765625" style="217" customWidth="1"/>
    <col min="14090" max="14090" width="3.59765625" style="217" customWidth="1"/>
    <col min="14091" max="14091" width="4.8984375" style="217" customWidth="1"/>
    <col min="14092" max="14099" width="4.69921875" style="217" customWidth="1"/>
    <col min="14100" max="14100" width="3.09765625" style="217" customWidth="1"/>
    <col min="14101" max="14101" width="13.59765625" style="217" customWidth="1"/>
    <col min="14102" max="14102" width="26.69921875" style="217" customWidth="1"/>
    <col min="14103" max="14106" width="13.59765625" style="217" customWidth="1"/>
    <col min="14107" max="14336" width="7.69921875" style="217"/>
    <col min="14337" max="14337" width="2.5" style="217" customWidth="1"/>
    <col min="14338" max="14338" width="7.09765625" style="217" customWidth="1"/>
    <col min="14339" max="14341" width="3.09765625" style="217" customWidth="1"/>
    <col min="14342" max="14342" width="4" style="217" customWidth="1"/>
    <col min="14343" max="14345" width="3.09765625" style="217" customWidth="1"/>
    <col min="14346" max="14346" width="3.59765625" style="217" customWidth="1"/>
    <col min="14347" max="14347" width="4.8984375" style="217" customWidth="1"/>
    <col min="14348" max="14355" width="4.69921875" style="217" customWidth="1"/>
    <col min="14356" max="14356" width="3.09765625" style="217" customWidth="1"/>
    <col min="14357" max="14357" width="13.59765625" style="217" customWidth="1"/>
    <col min="14358" max="14358" width="26.69921875" style="217" customWidth="1"/>
    <col min="14359" max="14362" width="13.59765625" style="217" customWidth="1"/>
    <col min="14363" max="14592" width="7.69921875" style="217"/>
    <col min="14593" max="14593" width="2.5" style="217" customWidth="1"/>
    <col min="14594" max="14594" width="7.09765625" style="217" customWidth="1"/>
    <col min="14595" max="14597" width="3.09765625" style="217" customWidth="1"/>
    <col min="14598" max="14598" width="4" style="217" customWidth="1"/>
    <col min="14599" max="14601" width="3.09765625" style="217" customWidth="1"/>
    <col min="14602" max="14602" width="3.59765625" style="217" customWidth="1"/>
    <col min="14603" max="14603" width="4.8984375" style="217" customWidth="1"/>
    <col min="14604" max="14611" width="4.69921875" style="217" customWidth="1"/>
    <col min="14612" max="14612" width="3.09765625" style="217" customWidth="1"/>
    <col min="14613" max="14613" width="13.59765625" style="217" customWidth="1"/>
    <col min="14614" max="14614" width="26.69921875" style="217" customWidth="1"/>
    <col min="14615" max="14618" width="13.59765625" style="217" customWidth="1"/>
    <col min="14619" max="14848" width="7.69921875" style="217"/>
    <col min="14849" max="14849" width="2.5" style="217" customWidth="1"/>
    <col min="14850" max="14850" width="7.09765625" style="217" customWidth="1"/>
    <col min="14851" max="14853" width="3.09765625" style="217" customWidth="1"/>
    <col min="14854" max="14854" width="4" style="217" customWidth="1"/>
    <col min="14855" max="14857" width="3.09765625" style="217" customWidth="1"/>
    <col min="14858" max="14858" width="3.59765625" style="217" customWidth="1"/>
    <col min="14859" max="14859" width="4.8984375" style="217" customWidth="1"/>
    <col min="14860" max="14867" width="4.69921875" style="217" customWidth="1"/>
    <col min="14868" max="14868" width="3.09765625" style="217" customWidth="1"/>
    <col min="14869" max="14869" width="13.59765625" style="217" customWidth="1"/>
    <col min="14870" max="14870" width="26.69921875" style="217" customWidth="1"/>
    <col min="14871" max="14874" width="13.59765625" style="217" customWidth="1"/>
    <col min="14875" max="15104" width="7.69921875" style="217"/>
    <col min="15105" max="15105" width="2.5" style="217" customWidth="1"/>
    <col min="15106" max="15106" width="7.09765625" style="217" customWidth="1"/>
    <col min="15107" max="15109" width="3.09765625" style="217" customWidth="1"/>
    <col min="15110" max="15110" width="4" style="217" customWidth="1"/>
    <col min="15111" max="15113" width="3.09765625" style="217" customWidth="1"/>
    <col min="15114" max="15114" width="3.59765625" style="217" customWidth="1"/>
    <col min="15115" max="15115" width="4.8984375" style="217" customWidth="1"/>
    <col min="15116" max="15123" width="4.69921875" style="217" customWidth="1"/>
    <col min="15124" max="15124" width="3.09765625" style="217" customWidth="1"/>
    <col min="15125" max="15125" width="13.59765625" style="217" customWidth="1"/>
    <col min="15126" max="15126" width="26.69921875" style="217" customWidth="1"/>
    <col min="15127" max="15130" width="13.59765625" style="217" customWidth="1"/>
    <col min="15131" max="15360" width="7.69921875" style="217"/>
    <col min="15361" max="15361" width="2.5" style="217" customWidth="1"/>
    <col min="15362" max="15362" width="7.09765625" style="217" customWidth="1"/>
    <col min="15363" max="15365" width="3.09765625" style="217" customWidth="1"/>
    <col min="15366" max="15366" width="4" style="217" customWidth="1"/>
    <col min="15367" max="15369" width="3.09765625" style="217" customWidth="1"/>
    <col min="15370" max="15370" width="3.59765625" style="217" customWidth="1"/>
    <col min="15371" max="15371" width="4.8984375" style="217" customWidth="1"/>
    <col min="15372" max="15379" width="4.69921875" style="217" customWidth="1"/>
    <col min="15380" max="15380" width="3.09765625" style="217" customWidth="1"/>
    <col min="15381" max="15381" width="13.59765625" style="217" customWidth="1"/>
    <col min="15382" max="15382" width="26.69921875" style="217" customWidth="1"/>
    <col min="15383" max="15386" width="13.59765625" style="217" customWidth="1"/>
    <col min="15387" max="15616" width="7.69921875" style="217"/>
    <col min="15617" max="15617" width="2.5" style="217" customWidth="1"/>
    <col min="15618" max="15618" width="7.09765625" style="217" customWidth="1"/>
    <col min="15619" max="15621" width="3.09765625" style="217" customWidth="1"/>
    <col min="15622" max="15622" width="4" style="217" customWidth="1"/>
    <col min="15623" max="15625" width="3.09765625" style="217" customWidth="1"/>
    <col min="15626" max="15626" width="3.59765625" style="217" customWidth="1"/>
    <col min="15627" max="15627" width="4.8984375" style="217" customWidth="1"/>
    <col min="15628" max="15635" width="4.69921875" style="217" customWidth="1"/>
    <col min="15636" max="15636" width="3.09765625" style="217" customWidth="1"/>
    <col min="15637" max="15637" width="13.59765625" style="217" customWidth="1"/>
    <col min="15638" max="15638" width="26.69921875" style="217" customWidth="1"/>
    <col min="15639" max="15642" width="13.59765625" style="217" customWidth="1"/>
    <col min="15643" max="15872" width="7.69921875" style="217"/>
    <col min="15873" max="15873" width="2.5" style="217" customWidth="1"/>
    <col min="15874" max="15874" width="7.09765625" style="217" customWidth="1"/>
    <col min="15875" max="15877" width="3.09765625" style="217" customWidth="1"/>
    <col min="15878" max="15878" width="4" style="217" customWidth="1"/>
    <col min="15879" max="15881" width="3.09765625" style="217" customWidth="1"/>
    <col min="15882" max="15882" width="3.59765625" style="217" customWidth="1"/>
    <col min="15883" max="15883" width="4.8984375" style="217" customWidth="1"/>
    <col min="15884" max="15891" width="4.69921875" style="217" customWidth="1"/>
    <col min="15892" max="15892" width="3.09765625" style="217" customWidth="1"/>
    <col min="15893" max="15893" width="13.59765625" style="217" customWidth="1"/>
    <col min="15894" max="15894" width="26.69921875" style="217" customWidth="1"/>
    <col min="15895" max="15898" width="13.59765625" style="217" customWidth="1"/>
    <col min="15899" max="16128" width="7.69921875" style="217"/>
    <col min="16129" max="16129" width="2.5" style="217" customWidth="1"/>
    <col min="16130" max="16130" width="7.09765625" style="217" customWidth="1"/>
    <col min="16131" max="16133" width="3.09765625" style="217" customWidth="1"/>
    <col min="16134" max="16134" width="4" style="217" customWidth="1"/>
    <col min="16135" max="16137" width="3.09765625" style="217" customWidth="1"/>
    <col min="16138" max="16138" width="3.59765625" style="217" customWidth="1"/>
    <col min="16139" max="16139" width="4.8984375" style="217" customWidth="1"/>
    <col min="16140" max="16147" width="4.69921875" style="217" customWidth="1"/>
    <col min="16148" max="16148" width="3.09765625" style="217" customWidth="1"/>
    <col min="16149" max="16149" width="13.59765625" style="217" customWidth="1"/>
    <col min="16150" max="16150" width="26.69921875" style="217" customWidth="1"/>
    <col min="16151" max="16154" width="13.59765625" style="217" customWidth="1"/>
    <col min="16155" max="16384" width="7.69921875" style="217"/>
  </cols>
  <sheetData>
    <row r="1" spans="1:26" s="212" customFormat="1" ht="15" customHeight="1">
      <c r="B1" s="247"/>
      <c r="C1" s="247"/>
      <c r="T1" s="247"/>
      <c r="V1" s="213" t="s">
        <v>368</v>
      </c>
    </row>
    <row r="2" spans="1:26" ht="15" customHeight="1">
      <c r="A2" s="214" t="s">
        <v>728</v>
      </c>
      <c r="B2" s="218"/>
      <c r="C2" s="218"/>
      <c r="D2" s="213"/>
      <c r="E2" s="213"/>
      <c r="F2" s="213"/>
      <c r="G2" s="213"/>
      <c r="H2" s="213"/>
      <c r="I2" s="213"/>
      <c r="J2" s="213"/>
      <c r="K2" s="213"/>
      <c r="L2" s="213"/>
      <c r="M2" s="213"/>
      <c r="N2" s="213"/>
      <c r="O2" s="213"/>
      <c r="P2" s="213"/>
      <c r="Q2" s="215" t="str">
        <f>'SP5-1'!L2</f>
        <v>Spreadsheet May 2025</v>
      </c>
      <c r="R2" s="213"/>
      <c r="S2" s="213"/>
      <c r="T2" s="219"/>
      <c r="V2" s="216" t="s">
        <v>369</v>
      </c>
      <c r="W2" s="213"/>
      <c r="X2" s="213"/>
      <c r="Y2" s="213"/>
    </row>
    <row r="3" spans="1:26" s="212" customFormat="1" ht="15" customHeight="1">
      <c r="A3" s="218" t="s">
        <v>756</v>
      </c>
      <c r="B3" s="218"/>
      <c r="C3" s="213"/>
      <c r="D3" s="213"/>
      <c r="E3" s="213"/>
      <c r="F3" s="213"/>
      <c r="G3" s="213"/>
      <c r="H3" s="213"/>
      <c r="I3" s="213"/>
      <c r="J3" s="213"/>
      <c r="K3" s="213"/>
      <c r="L3" s="213"/>
      <c r="M3" s="213"/>
      <c r="N3" s="213"/>
      <c r="O3" s="213"/>
      <c r="P3" s="213"/>
      <c r="Q3" s="213"/>
      <c r="R3" s="213"/>
      <c r="S3" s="213"/>
      <c r="T3" s="213"/>
      <c r="U3" s="213"/>
      <c r="V3" s="213"/>
      <c r="W3" s="213"/>
      <c r="X3" s="213"/>
      <c r="Y3" s="213"/>
    </row>
    <row r="4" spans="1:26" s="212" customFormat="1" ht="15" customHeight="1">
      <c r="A4" s="218"/>
      <c r="B4" s="494" t="s">
        <v>757</v>
      </c>
      <c r="C4" s="495"/>
      <c r="D4" s="495"/>
      <c r="E4" s="495"/>
      <c r="F4" s="495"/>
      <c r="G4" s="495"/>
      <c r="H4" s="495"/>
      <c r="I4" s="495"/>
      <c r="J4" s="495"/>
      <c r="K4" s="495"/>
      <c r="L4" s="495"/>
      <c r="M4" s="495"/>
      <c r="N4" s="495"/>
      <c r="O4" s="495"/>
      <c r="P4" s="495"/>
      <c r="Q4" s="495"/>
      <c r="R4" s="495"/>
      <c r="S4" s="495"/>
      <c r="T4" s="496"/>
      <c r="U4" s="213"/>
      <c r="V4" s="213"/>
      <c r="W4" s="213"/>
      <c r="X4" s="213"/>
      <c r="Y4" s="213"/>
    </row>
    <row r="5" spans="1:26" s="212" customFormat="1" ht="11.25" customHeight="1" thickBot="1">
      <c r="A5" s="219"/>
      <c r="B5" s="219"/>
      <c r="C5" s="213"/>
      <c r="D5" s="213"/>
      <c r="E5" s="213"/>
      <c r="F5" s="213"/>
      <c r="G5" s="213"/>
      <c r="H5" s="213"/>
      <c r="I5" s="213"/>
      <c r="J5" s="213"/>
      <c r="K5" s="213"/>
      <c r="L5" s="213"/>
      <c r="M5" s="213"/>
      <c r="N5" s="213"/>
      <c r="O5" s="213"/>
      <c r="P5" s="213"/>
      <c r="Q5" s="213"/>
      <c r="R5" s="213"/>
      <c r="S5" s="213"/>
      <c r="T5" s="213"/>
      <c r="U5" s="213"/>
      <c r="V5" s="213"/>
      <c r="W5" s="213"/>
      <c r="X5" s="213"/>
      <c r="Y5" s="213"/>
    </row>
    <row r="6" spans="1:26" s="251" customFormat="1" ht="19.5" customHeight="1" thickBot="1">
      <c r="A6" s="220">
        <v>1</v>
      </c>
      <c r="B6" s="488" t="s">
        <v>758</v>
      </c>
      <c r="C6" s="488"/>
      <c r="D6" s="488"/>
      <c r="E6" s="488"/>
      <c r="F6" s="488"/>
      <c r="G6" s="488"/>
      <c r="H6" s="488"/>
      <c r="I6" s="488"/>
      <c r="J6" s="488"/>
      <c r="K6" s="488"/>
      <c r="L6" s="488"/>
      <c r="M6" s="488"/>
      <c r="N6" s="488"/>
      <c r="O6" s="488"/>
      <c r="P6" s="221"/>
      <c r="Q6" s="221"/>
      <c r="R6" s="221"/>
      <c r="S6" s="221"/>
      <c r="T6" s="221"/>
      <c r="U6" s="213"/>
      <c r="V6" s="213"/>
      <c r="W6" s="213"/>
      <c r="X6" s="213"/>
      <c r="Y6" s="213"/>
    </row>
    <row r="7" spans="1:26" s="251" customFormat="1" ht="19.5" customHeight="1" thickBot="1">
      <c r="A7" s="222"/>
      <c r="B7" s="221"/>
      <c r="C7" s="221"/>
      <c r="D7" s="221"/>
      <c r="E7" s="221"/>
      <c r="F7" s="221"/>
      <c r="G7" s="221"/>
      <c r="H7" s="221"/>
      <c r="I7" s="221"/>
      <c r="J7" s="229" t="s">
        <v>264</v>
      </c>
      <c r="K7" s="536"/>
      <c r="L7" s="536"/>
      <c r="M7" s="536"/>
      <c r="N7" s="222" t="s">
        <v>412</v>
      </c>
      <c r="O7" s="221">
        <f>Tables!T6</f>
        <v>0.98039215686274506</v>
      </c>
      <c r="P7" s="229" t="s">
        <v>425</v>
      </c>
      <c r="Q7" s="505">
        <f>K7*O7</f>
        <v>0</v>
      </c>
      <c r="R7" s="505"/>
      <c r="S7" s="505"/>
      <c r="T7" s="223" t="s">
        <v>413</v>
      </c>
      <c r="U7" s="213"/>
      <c r="V7" s="213"/>
      <c r="W7" s="213"/>
      <c r="X7" s="213"/>
      <c r="Y7" s="213"/>
    </row>
    <row r="8" spans="1:26" s="251" customFormat="1" ht="19.5" customHeight="1" thickBot="1">
      <c r="A8" s="220">
        <v>2</v>
      </c>
      <c r="B8" s="488" t="s">
        <v>759</v>
      </c>
      <c r="C8" s="488"/>
      <c r="D8" s="488"/>
      <c r="E8" s="488"/>
      <c r="F8" s="488"/>
      <c r="G8" s="488"/>
      <c r="H8" s="488"/>
      <c r="I8" s="221"/>
      <c r="J8" s="221"/>
      <c r="K8" s="221"/>
      <c r="L8" s="221"/>
      <c r="M8" s="221"/>
      <c r="N8" s="221"/>
      <c r="O8" s="221"/>
      <c r="P8" s="229" t="s">
        <v>760</v>
      </c>
      <c r="Q8" s="536"/>
      <c r="R8" s="536"/>
      <c r="S8" s="536"/>
      <c r="T8" s="223" t="s">
        <v>422</v>
      </c>
      <c r="U8" s="213"/>
      <c r="V8" s="213"/>
      <c r="W8" s="213"/>
      <c r="X8" s="213"/>
      <c r="Y8" s="213"/>
    </row>
    <row r="9" spans="1:26" s="251" customFormat="1" ht="19.5" customHeight="1" thickBot="1">
      <c r="A9" s="220">
        <v>3</v>
      </c>
      <c r="B9" s="488" t="s">
        <v>761</v>
      </c>
      <c r="C9" s="488"/>
      <c r="D9" s="488"/>
      <c r="E9" s="488"/>
      <c r="F9" s="488"/>
      <c r="G9" s="488"/>
      <c r="H9" s="488"/>
      <c r="I9" s="488"/>
      <c r="J9" s="488"/>
      <c r="K9" s="488"/>
      <c r="L9" s="488"/>
      <c r="M9" s="488"/>
      <c r="N9" s="221"/>
      <c r="O9" s="221"/>
      <c r="P9" s="221"/>
      <c r="Q9" s="221"/>
      <c r="R9" s="221"/>
      <c r="S9" s="221"/>
      <c r="T9" s="223"/>
      <c r="U9" s="213"/>
      <c r="V9" s="213"/>
      <c r="W9" s="213"/>
      <c r="X9" s="213"/>
      <c r="Y9" s="213"/>
    </row>
    <row r="10" spans="1:26" s="251" customFormat="1" ht="19.5" customHeight="1" thickBot="1">
      <c r="A10" s="222"/>
      <c r="B10" s="221"/>
      <c r="C10" s="221"/>
      <c r="D10" s="221"/>
      <c r="E10" s="221"/>
      <c r="F10" s="229" t="s">
        <v>426</v>
      </c>
      <c r="G10" s="221">
        <f>'SP5-1'!I23</f>
        <v>0</v>
      </c>
      <c r="H10" s="221"/>
      <c r="I10" s="221"/>
      <c r="J10" s="229" t="s">
        <v>762</v>
      </c>
      <c r="K10" s="536"/>
      <c r="L10" s="536"/>
      <c r="M10" s="536"/>
      <c r="N10" s="222" t="s">
        <v>412</v>
      </c>
      <c r="O10" s="248">
        <f>Tables!O12-Tables!O11</f>
        <v>-0.99016372140870601</v>
      </c>
      <c r="P10" s="229" t="s">
        <v>425</v>
      </c>
      <c r="Q10" s="505">
        <f>K10*O10</f>
        <v>0</v>
      </c>
      <c r="R10" s="505"/>
      <c r="S10" s="505"/>
      <c r="T10" s="223" t="s">
        <v>423</v>
      </c>
      <c r="U10" s="213"/>
      <c r="V10" s="487" t="s">
        <v>853</v>
      </c>
      <c r="W10" s="487"/>
      <c r="X10" s="487"/>
      <c r="Y10" s="487"/>
      <c r="Z10" s="487"/>
    </row>
    <row r="11" spans="1:26" s="251" customFormat="1" ht="19.5" customHeight="1" thickBot="1">
      <c r="A11" s="220">
        <v>4</v>
      </c>
      <c r="B11" s="488" t="s">
        <v>428</v>
      </c>
      <c r="C11" s="488"/>
      <c r="D11" s="488"/>
      <c r="E11" s="488"/>
      <c r="F11" s="488"/>
      <c r="G11" s="488"/>
      <c r="H11" s="488"/>
      <c r="I11" s="221"/>
      <c r="J11" s="221"/>
      <c r="K11" s="221"/>
      <c r="L11" s="221"/>
      <c r="M11" s="221"/>
      <c r="N11" s="221"/>
      <c r="O11" s="221"/>
      <c r="P11" s="221"/>
      <c r="Q11" s="221"/>
      <c r="R11" s="221"/>
      <c r="S11" s="221"/>
      <c r="T11" s="221"/>
      <c r="U11" s="213"/>
      <c r="V11" s="213"/>
      <c r="W11" s="213"/>
      <c r="X11" s="213"/>
      <c r="Y11" s="213"/>
    </row>
    <row r="12" spans="1:26" s="251" customFormat="1" ht="19.5" customHeight="1" thickBot="1">
      <c r="A12" s="222"/>
      <c r="B12" s="221" t="s">
        <v>414</v>
      </c>
      <c r="C12" s="221"/>
      <c r="D12" s="221"/>
      <c r="E12" s="221"/>
      <c r="F12" s="221"/>
      <c r="G12" s="221"/>
      <c r="H12" s="221"/>
      <c r="I12" s="221"/>
      <c r="J12" s="221"/>
      <c r="K12" s="221"/>
      <c r="L12" s="221"/>
      <c r="M12" s="221"/>
      <c r="N12" s="221"/>
      <c r="O12" s="221"/>
      <c r="P12" s="229" t="s">
        <v>415</v>
      </c>
      <c r="Q12" s="541">
        <f>'SP5-1'!I21</f>
        <v>0</v>
      </c>
      <c r="R12" s="541"/>
      <c r="S12" s="541"/>
      <c r="T12" s="221"/>
      <c r="U12" s="213"/>
      <c r="V12" s="213"/>
      <c r="W12" s="213"/>
      <c r="X12" s="213"/>
      <c r="Y12" s="213"/>
    </row>
    <row r="13" spans="1:26" s="251" customFormat="1" ht="19.5" customHeight="1" thickBot="1">
      <c r="A13" s="222"/>
      <c r="B13" s="249" t="s">
        <v>417</v>
      </c>
      <c r="C13" s="542" t="s">
        <v>418</v>
      </c>
      <c r="D13" s="542"/>
      <c r="E13" s="542"/>
      <c r="F13" s="542"/>
      <c r="G13" s="542"/>
      <c r="H13" s="542"/>
      <c r="I13" s="542"/>
      <c r="J13" s="542"/>
      <c r="K13" s="542" t="s">
        <v>419</v>
      </c>
      <c r="L13" s="542"/>
      <c r="M13" s="542"/>
      <c r="N13" s="542" t="s">
        <v>420</v>
      </c>
      <c r="O13" s="542"/>
      <c r="P13" s="542"/>
      <c r="Q13" s="542" t="s">
        <v>752</v>
      </c>
      <c r="R13" s="542"/>
      <c r="S13" s="542"/>
      <c r="T13" s="221"/>
      <c r="U13" s="213"/>
      <c r="V13" s="213"/>
      <c r="W13" s="213"/>
      <c r="X13" s="213"/>
      <c r="Y13" s="213"/>
    </row>
    <row r="14" spans="1:26" s="251" customFormat="1" ht="19.5" customHeight="1" thickBot="1">
      <c r="A14" s="222"/>
      <c r="B14" s="250"/>
      <c r="C14" s="544"/>
      <c r="D14" s="544"/>
      <c r="E14" s="544"/>
      <c r="F14" s="544"/>
      <c r="G14" s="544"/>
      <c r="H14" s="544"/>
      <c r="I14" s="544"/>
      <c r="J14" s="544"/>
      <c r="K14" s="545"/>
      <c r="L14" s="545"/>
      <c r="M14" s="545"/>
      <c r="N14" s="522" t="str">
        <f>Tables!R24</f>
        <v/>
      </c>
      <c r="O14" s="522"/>
      <c r="P14" s="522"/>
      <c r="Q14" s="505" t="str">
        <f>IF(N14="","",K14*N14)</f>
        <v/>
      </c>
      <c r="R14" s="505"/>
      <c r="S14" s="505"/>
      <c r="T14" s="221"/>
      <c r="U14" s="213"/>
      <c r="V14" s="487" t="s">
        <v>848</v>
      </c>
      <c r="W14" s="487"/>
      <c r="X14" s="487"/>
      <c r="Y14" s="487"/>
      <c r="Z14" s="487"/>
    </row>
    <row r="15" spans="1:26" s="251" customFormat="1" ht="19.5" customHeight="1" thickBot="1">
      <c r="A15" s="222"/>
      <c r="B15" s="250"/>
      <c r="C15" s="544"/>
      <c r="D15" s="544"/>
      <c r="E15" s="544"/>
      <c r="F15" s="544"/>
      <c r="G15" s="544"/>
      <c r="H15" s="544"/>
      <c r="I15" s="544"/>
      <c r="J15" s="544"/>
      <c r="K15" s="545"/>
      <c r="L15" s="545"/>
      <c r="M15" s="545"/>
      <c r="N15" s="522" t="str">
        <f>Tables!R25</f>
        <v/>
      </c>
      <c r="O15" s="522"/>
      <c r="P15" s="522"/>
      <c r="Q15" s="505" t="str">
        <f t="shared" ref="Q15:Q22" si="0">IF(N15="","",K15*N15)</f>
        <v/>
      </c>
      <c r="R15" s="505"/>
      <c r="S15" s="505"/>
      <c r="T15" s="221"/>
      <c r="U15" s="213"/>
      <c r="V15" s="487"/>
      <c r="W15" s="487"/>
      <c r="X15" s="487"/>
      <c r="Y15" s="487"/>
      <c r="Z15" s="487"/>
    </row>
    <row r="16" spans="1:26" s="251" customFormat="1" ht="19.5" customHeight="1" thickBot="1">
      <c r="A16" s="222"/>
      <c r="B16" s="250"/>
      <c r="C16" s="544"/>
      <c r="D16" s="544"/>
      <c r="E16" s="544"/>
      <c r="F16" s="544"/>
      <c r="G16" s="544"/>
      <c r="H16" s="544"/>
      <c r="I16" s="544"/>
      <c r="J16" s="544"/>
      <c r="K16" s="545"/>
      <c r="L16" s="545"/>
      <c r="M16" s="545"/>
      <c r="N16" s="522" t="str">
        <f>Tables!R26</f>
        <v/>
      </c>
      <c r="O16" s="522"/>
      <c r="P16" s="522"/>
      <c r="Q16" s="505" t="str">
        <f t="shared" si="0"/>
        <v/>
      </c>
      <c r="R16" s="505"/>
      <c r="S16" s="505"/>
      <c r="T16" s="221"/>
      <c r="U16" s="213"/>
      <c r="V16" s="487"/>
      <c r="W16" s="487"/>
      <c r="X16" s="487"/>
      <c r="Y16" s="487"/>
      <c r="Z16" s="487"/>
    </row>
    <row r="17" spans="1:26" s="251" customFormat="1" ht="19.5" customHeight="1" thickBot="1">
      <c r="A17" s="222"/>
      <c r="B17" s="250"/>
      <c r="C17" s="544"/>
      <c r="D17" s="544"/>
      <c r="E17" s="544"/>
      <c r="F17" s="544"/>
      <c r="G17" s="544"/>
      <c r="H17" s="544"/>
      <c r="I17" s="544"/>
      <c r="J17" s="544"/>
      <c r="K17" s="545"/>
      <c r="L17" s="545"/>
      <c r="M17" s="545"/>
      <c r="N17" s="522" t="str">
        <f>Tables!R27</f>
        <v/>
      </c>
      <c r="O17" s="522"/>
      <c r="P17" s="522"/>
      <c r="Q17" s="505" t="str">
        <f t="shared" si="0"/>
        <v/>
      </c>
      <c r="R17" s="505"/>
      <c r="S17" s="505"/>
      <c r="T17" s="221"/>
      <c r="U17" s="213"/>
      <c r="V17" s="487"/>
      <c r="W17" s="487"/>
      <c r="X17" s="487"/>
      <c r="Y17" s="487"/>
      <c r="Z17" s="487"/>
    </row>
    <row r="18" spans="1:26" s="251" customFormat="1" ht="19.5" customHeight="1" thickBot="1">
      <c r="A18" s="222"/>
      <c r="B18" s="250"/>
      <c r="C18" s="544"/>
      <c r="D18" s="544"/>
      <c r="E18" s="544"/>
      <c r="F18" s="544"/>
      <c r="G18" s="544"/>
      <c r="H18" s="544"/>
      <c r="I18" s="544"/>
      <c r="J18" s="544"/>
      <c r="K18" s="545"/>
      <c r="L18" s="545"/>
      <c r="M18" s="545"/>
      <c r="N18" s="522" t="str">
        <f>Tables!R28</f>
        <v/>
      </c>
      <c r="O18" s="522"/>
      <c r="P18" s="522"/>
      <c r="Q18" s="505" t="str">
        <f>IF(N18="","",K18*N18)</f>
        <v/>
      </c>
      <c r="R18" s="505"/>
      <c r="S18" s="505"/>
      <c r="T18" s="221"/>
      <c r="U18" s="213"/>
      <c r="V18" s="487"/>
      <c r="W18" s="487"/>
      <c r="X18" s="487"/>
      <c r="Y18" s="487"/>
      <c r="Z18" s="487"/>
    </row>
    <row r="19" spans="1:26" s="251" customFormat="1" ht="19.5" customHeight="1" thickBot="1">
      <c r="A19" s="222"/>
      <c r="B19" s="250"/>
      <c r="C19" s="544"/>
      <c r="D19" s="544"/>
      <c r="E19" s="544"/>
      <c r="F19" s="544"/>
      <c r="G19" s="544"/>
      <c r="H19" s="544"/>
      <c r="I19" s="544"/>
      <c r="J19" s="544"/>
      <c r="K19" s="545"/>
      <c r="L19" s="545"/>
      <c r="M19" s="545"/>
      <c r="N19" s="522" t="str">
        <f>Tables!R29</f>
        <v/>
      </c>
      <c r="O19" s="522"/>
      <c r="P19" s="522"/>
      <c r="Q19" s="505" t="str">
        <f>IF(N19="","",K19*N19)</f>
        <v/>
      </c>
      <c r="R19" s="505"/>
      <c r="S19" s="505"/>
      <c r="T19" s="221"/>
      <c r="U19" s="213"/>
      <c r="V19" s="487"/>
      <c r="W19" s="487"/>
      <c r="X19" s="487"/>
      <c r="Y19" s="487"/>
      <c r="Z19" s="487"/>
    </row>
    <row r="20" spans="1:26" s="251" customFormat="1" ht="19.5" customHeight="1" thickBot="1">
      <c r="A20" s="222"/>
      <c r="B20" s="250"/>
      <c r="C20" s="544"/>
      <c r="D20" s="544"/>
      <c r="E20" s="544"/>
      <c r="F20" s="544"/>
      <c r="G20" s="544"/>
      <c r="H20" s="544"/>
      <c r="I20" s="544"/>
      <c r="J20" s="544"/>
      <c r="K20" s="545"/>
      <c r="L20" s="545"/>
      <c r="M20" s="545"/>
      <c r="N20" s="522" t="str">
        <f>Tables!R30</f>
        <v/>
      </c>
      <c r="O20" s="522"/>
      <c r="P20" s="522"/>
      <c r="Q20" s="505" t="str">
        <f t="shared" si="0"/>
        <v/>
      </c>
      <c r="R20" s="505"/>
      <c r="S20" s="505"/>
      <c r="T20" s="221"/>
      <c r="U20" s="213"/>
      <c r="V20" s="487"/>
      <c r="W20" s="487"/>
      <c r="X20" s="487"/>
      <c r="Y20" s="487"/>
      <c r="Z20" s="487"/>
    </row>
    <row r="21" spans="1:26" s="251" customFormat="1" ht="19.5" customHeight="1" thickBot="1">
      <c r="A21" s="222"/>
      <c r="B21" s="250"/>
      <c r="C21" s="544"/>
      <c r="D21" s="544"/>
      <c r="E21" s="544"/>
      <c r="F21" s="544"/>
      <c r="G21" s="544"/>
      <c r="H21" s="544"/>
      <c r="I21" s="544"/>
      <c r="J21" s="544"/>
      <c r="K21" s="545"/>
      <c r="L21" s="545"/>
      <c r="M21" s="545"/>
      <c r="N21" s="522" t="str">
        <f>Tables!R31</f>
        <v/>
      </c>
      <c r="O21" s="522"/>
      <c r="P21" s="522"/>
      <c r="Q21" s="505" t="str">
        <f t="shared" si="0"/>
        <v/>
      </c>
      <c r="R21" s="505"/>
      <c r="S21" s="505"/>
      <c r="T21" s="221"/>
      <c r="U21" s="213"/>
      <c r="V21" s="487"/>
      <c r="W21" s="487"/>
      <c r="X21" s="487"/>
      <c r="Y21" s="487"/>
      <c r="Z21" s="487"/>
    </row>
    <row r="22" spans="1:26" s="251" customFormat="1" ht="19.5" customHeight="1" thickBot="1">
      <c r="A22" s="222"/>
      <c r="B22" s="250"/>
      <c r="C22" s="544"/>
      <c r="D22" s="544"/>
      <c r="E22" s="544"/>
      <c r="F22" s="544"/>
      <c r="G22" s="544"/>
      <c r="H22" s="544"/>
      <c r="I22" s="544"/>
      <c r="J22" s="544"/>
      <c r="K22" s="545"/>
      <c r="L22" s="545"/>
      <c r="M22" s="545"/>
      <c r="N22" s="522" t="str">
        <f>Tables!R32</f>
        <v/>
      </c>
      <c r="O22" s="522"/>
      <c r="P22" s="522"/>
      <c r="Q22" s="505" t="str">
        <f t="shared" si="0"/>
        <v/>
      </c>
      <c r="R22" s="505"/>
      <c r="S22" s="505"/>
      <c r="T22" s="221"/>
      <c r="U22" s="213"/>
      <c r="V22" s="487"/>
      <c r="W22" s="487"/>
      <c r="X22" s="487"/>
      <c r="Y22" s="487"/>
      <c r="Z22" s="487"/>
    </row>
    <row r="23" spans="1:26" s="251" customFormat="1" ht="19.5" customHeight="1" thickBot="1">
      <c r="A23" s="222"/>
      <c r="B23" s="221"/>
      <c r="C23" s="221"/>
      <c r="D23" s="221"/>
      <c r="E23" s="221"/>
      <c r="F23" s="221"/>
      <c r="G23" s="221"/>
      <c r="H23" s="221"/>
      <c r="I23" s="221"/>
      <c r="J23" s="221"/>
      <c r="K23" s="221"/>
      <c r="L23" s="221"/>
      <c r="M23" s="221"/>
      <c r="N23" s="221"/>
      <c r="O23" s="221"/>
      <c r="P23" s="229" t="s">
        <v>763</v>
      </c>
      <c r="Q23" s="549">
        <f>SUM(Q14:S22)</f>
        <v>0</v>
      </c>
      <c r="R23" s="549"/>
      <c r="S23" s="549"/>
      <c r="T23" s="223" t="s">
        <v>429</v>
      </c>
      <c r="U23" s="213"/>
      <c r="V23" s="213"/>
      <c r="W23" s="213"/>
      <c r="X23" s="213"/>
      <c r="Y23" s="213"/>
    </row>
    <row r="24" spans="1:26" s="251" customFormat="1" ht="19.5" customHeight="1" thickBot="1">
      <c r="A24" s="220">
        <v>5</v>
      </c>
      <c r="B24" s="488" t="s">
        <v>764</v>
      </c>
      <c r="C24" s="488"/>
      <c r="D24" s="488"/>
      <c r="E24" s="488"/>
      <c r="F24" s="488"/>
      <c r="G24" s="488"/>
      <c r="H24" s="488"/>
      <c r="I24" s="488"/>
      <c r="J24" s="488"/>
      <c r="K24" s="488"/>
      <c r="L24" s="488"/>
      <c r="M24" s="488"/>
      <c r="N24" s="488"/>
      <c r="O24" s="221"/>
      <c r="P24" s="221"/>
      <c r="Q24" s="221"/>
      <c r="R24" s="221"/>
      <c r="S24" s="221"/>
      <c r="T24" s="221"/>
      <c r="U24" s="213"/>
      <c r="V24" s="213"/>
      <c r="W24" s="213"/>
      <c r="X24" s="213"/>
      <c r="Y24" s="213"/>
    </row>
    <row r="25" spans="1:26" s="251" customFormat="1" ht="24.9" customHeight="1" thickBot="1">
      <c r="A25" s="222"/>
      <c r="B25" s="221"/>
      <c r="C25" s="221"/>
      <c r="D25" s="221"/>
      <c r="E25" s="221"/>
      <c r="F25" s="229" t="s">
        <v>426</v>
      </c>
      <c r="G25" s="221">
        <f>'SP5-1'!I23</f>
        <v>0</v>
      </c>
      <c r="H25" s="221"/>
      <c r="I25" s="221"/>
      <c r="J25" s="229" t="s">
        <v>427</v>
      </c>
      <c r="K25" s="536"/>
      <c r="L25" s="536"/>
      <c r="M25" s="536"/>
      <c r="N25" s="222" t="s">
        <v>412</v>
      </c>
      <c r="O25" s="248">
        <f>O10</f>
        <v>-0.99016372140870601</v>
      </c>
      <c r="P25" s="229" t="s">
        <v>425</v>
      </c>
      <c r="Q25" s="505">
        <f>K25*O25</f>
        <v>0</v>
      </c>
      <c r="R25" s="505"/>
      <c r="S25" s="505"/>
      <c r="T25" s="223" t="s">
        <v>430</v>
      </c>
      <c r="U25" s="213"/>
      <c r="V25" s="491" t="s">
        <v>849</v>
      </c>
      <c r="W25" s="492"/>
      <c r="X25" s="492"/>
      <c r="Y25" s="492"/>
      <c r="Z25" s="493"/>
    </row>
    <row r="26" spans="1:26" s="251" customFormat="1" ht="19.5" customHeight="1" thickBot="1">
      <c r="A26" s="220">
        <v>6</v>
      </c>
      <c r="B26" s="488" t="s">
        <v>765</v>
      </c>
      <c r="C26" s="488"/>
      <c r="D26" s="488"/>
      <c r="E26" s="488"/>
      <c r="F26" s="488"/>
      <c r="G26" s="488"/>
      <c r="H26" s="488"/>
      <c r="I26" s="488"/>
      <c r="J26" s="221"/>
      <c r="K26" s="221"/>
      <c r="L26" s="221"/>
      <c r="M26" s="221"/>
      <c r="N26" s="221"/>
      <c r="O26" s="221"/>
      <c r="P26" s="221"/>
      <c r="Q26" s="221"/>
      <c r="R26" s="221"/>
      <c r="S26" s="221"/>
      <c r="T26" s="221"/>
      <c r="U26" s="213"/>
      <c r="V26" s="213"/>
      <c r="W26" s="213"/>
      <c r="X26" s="213"/>
      <c r="Y26" s="213"/>
    </row>
    <row r="27" spans="1:26" s="251" customFormat="1" ht="19.5" customHeight="1" thickBot="1">
      <c r="A27" s="222"/>
      <c r="B27" s="221"/>
      <c r="C27" s="221"/>
      <c r="D27" s="221"/>
      <c r="E27" s="221"/>
      <c r="F27" s="221"/>
      <c r="G27" s="221"/>
      <c r="H27" s="221"/>
      <c r="I27" s="221"/>
      <c r="J27" s="221"/>
      <c r="K27" s="252"/>
      <c r="L27" s="221"/>
      <c r="M27" s="221"/>
      <c r="N27" s="221"/>
      <c r="O27" s="221"/>
      <c r="P27" s="229" t="s">
        <v>766</v>
      </c>
      <c r="Q27" s="505">
        <f>Q7+Q8+Q10+Q23+Q25</f>
        <v>0</v>
      </c>
      <c r="R27" s="505"/>
      <c r="S27" s="505"/>
      <c r="T27" s="220" t="s">
        <v>395</v>
      </c>
      <c r="U27" s="213"/>
      <c r="V27" s="487" t="s">
        <v>431</v>
      </c>
      <c r="W27" s="487"/>
      <c r="X27" s="487"/>
      <c r="Y27" s="487"/>
      <c r="Z27" s="487"/>
    </row>
    <row r="28" spans="1:26" s="251" customFormat="1" ht="19.5" customHeight="1" thickBot="1">
      <c r="A28" s="222"/>
      <c r="B28" s="221"/>
      <c r="C28" s="221"/>
      <c r="D28" s="221"/>
      <c r="E28" s="221"/>
      <c r="F28" s="221"/>
      <c r="G28" s="221"/>
      <c r="H28" s="221"/>
      <c r="I28" s="221"/>
      <c r="J28" s="221"/>
      <c r="K28" s="221"/>
      <c r="L28" s="221"/>
      <c r="M28" s="221"/>
      <c r="N28" s="221"/>
      <c r="O28" s="221"/>
      <c r="P28" s="221"/>
      <c r="Q28" s="221"/>
      <c r="R28" s="221"/>
      <c r="S28" s="221"/>
      <c r="T28" s="221"/>
      <c r="U28" s="213"/>
      <c r="V28" s="213"/>
      <c r="W28" s="213"/>
      <c r="X28" s="213"/>
      <c r="Y28" s="213"/>
    </row>
    <row r="29" spans="1:26" s="212" customFormat="1" ht="11.4">
      <c r="A29" s="213"/>
      <c r="B29" s="213"/>
      <c r="C29" s="213"/>
      <c r="D29" s="213"/>
      <c r="E29" s="213"/>
      <c r="F29" s="213"/>
      <c r="G29" s="213"/>
      <c r="H29" s="213"/>
      <c r="I29" s="213"/>
      <c r="J29" s="213"/>
      <c r="K29" s="213"/>
      <c r="L29" s="213"/>
      <c r="M29" s="213"/>
      <c r="N29" s="213"/>
      <c r="O29" s="213"/>
      <c r="P29" s="213"/>
      <c r="Q29" s="213"/>
      <c r="R29" s="213"/>
      <c r="S29" s="213"/>
      <c r="T29" s="213"/>
      <c r="U29" s="213"/>
      <c r="V29" s="213"/>
      <c r="W29" s="213"/>
      <c r="X29" s="213"/>
      <c r="Y29" s="213"/>
    </row>
    <row r="30" spans="1:26">
      <c r="A30" s="213"/>
      <c r="B30" s="213"/>
      <c r="C30" s="213"/>
      <c r="D30" s="213"/>
      <c r="E30" s="213"/>
      <c r="F30" s="213"/>
      <c r="G30" s="213"/>
      <c r="H30" s="213"/>
      <c r="I30" s="213"/>
      <c r="J30" s="213"/>
      <c r="K30" s="213"/>
      <c r="L30" s="213"/>
      <c r="M30" s="213"/>
      <c r="N30" s="213"/>
      <c r="O30" s="213"/>
      <c r="P30" s="213"/>
      <c r="Q30" s="213"/>
      <c r="R30" s="213"/>
      <c r="S30" s="213"/>
      <c r="T30" s="213"/>
      <c r="U30" s="213"/>
      <c r="V30" s="213"/>
      <c r="W30" s="213"/>
      <c r="X30" s="213"/>
      <c r="Y30" s="213"/>
    </row>
    <row r="31" spans="1:26" hidden="1">
      <c r="A31" s="213">
        <v>0</v>
      </c>
      <c r="B31" s="213"/>
      <c r="C31" s="213"/>
      <c r="D31" s="213"/>
      <c r="E31" s="213"/>
      <c r="F31" s="213"/>
      <c r="G31" s="213"/>
      <c r="H31" s="213"/>
      <c r="I31" s="213"/>
      <c r="J31" s="213"/>
      <c r="K31" s="213"/>
      <c r="L31" s="213"/>
      <c r="M31" s="213"/>
      <c r="N31" s="213"/>
      <c r="O31" s="213"/>
      <c r="P31" s="213"/>
      <c r="Q31" s="213"/>
      <c r="R31" s="213"/>
      <c r="S31" s="213"/>
      <c r="T31" s="213"/>
      <c r="U31" s="213"/>
      <c r="V31" s="213"/>
      <c r="W31" s="213"/>
      <c r="X31" s="213"/>
      <c r="Y31" s="213"/>
    </row>
    <row r="32" spans="1:26" hidden="1">
      <c r="A32" s="213">
        <v>1</v>
      </c>
      <c r="B32" s="213"/>
      <c r="C32" s="213"/>
      <c r="D32" s="213"/>
      <c r="E32" s="213"/>
      <c r="F32" s="213"/>
      <c r="G32" s="213"/>
      <c r="H32" s="213"/>
      <c r="I32" s="213"/>
      <c r="J32" s="213"/>
      <c r="K32" s="213"/>
      <c r="L32" s="213"/>
      <c r="M32" s="213"/>
      <c r="N32" s="213"/>
      <c r="O32" s="213"/>
      <c r="P32" s="213"/>
      <c r="Q32" s="213"/>
      <c r="R32" s="213"/>
      <c r="S32" s="213"/>
      <c r="T32" s="213"/>
      <c r="U32" s="213"/>
      <c r="V32" s="213"/>
      <c r="W32" s="213"/>
      <c r="X32" s="213"/>
      <c r="Y32" s="213"/>
    </row>
    <row r="33" spans="1:25" hidden="1">
      <c r="A33" s="213">
        <v>2</v>
      </c>
      <c r="B33" s="213"/>
      <c r="C33" s="213"/>
      <c r="D33" s="213"/>
      <c r="E33" s="213"/>
      <c r="F33" s="213"/>
      <c r="G33" s="213"/>
      <c r="H33" s="213"/>
      <c r="I33" s="213"/>
      <c r="J33" s="213"/>
      <c r="K33" s="213"/>
      <c r="L33" s="213"/>
      <c r="M33" s="213"/>
      <c r="N33" s="213"/>
      <c r="O33" s="213"/>
      <c r="P33" s="213"/>
      <c r="Q33" s="213"/>
      <c r="R33" s="213"/>
      <c r="S33" s="213"/>
      <c r="T33" s="213"/>
      <c r="U33" s="213"/>
      <c r="V33" s="213"/>
      <c r="W33" s="213"/>
      <c r="X33" s="213"/>
      <c r="Y33" s="213"/>
    </row>
    <row r="34" spans="1:25" hidden="1">
      <c r="A34" s="213">
        <v>3</v>
      </c>
      <c r="B34" s="213"/>
      <c r="C34" s="213"/>
      <c r="D34" s="213"/>
      <c r="E34" s="213"/>
      <c r="F34" s="213"/>
      <c r="G34" s="213"/>
      <c r="H34" s="213"/>
      <c r="I34" s="213"/>
      <c r="J34" s="213"/>
      <c r="K34" s="213"/>
      <c r="L34" s="213"/>
      <c r="M34" s="213"/>
      <c r="N34" s="213"/>
      <c r="O34" s="213"/>
      <c r="P34" s="213"/>
      <c r="Q34" s="213"/>
      <c r="R34" s="213"/>
      <c r="S34" s="213"/>
      <c r="T34" s="213"/>
      <c r="U34" s="213"/>
      <c r="V34" s="213"/>
      <c r="W34" s="213"/>
      <c r="X34" s="213"/>
      <c r="Y34" s="213"/>
    </row>
    <row r="35" spans="1:25" hidden="1">
      <c r="A35" s="213">
        <v>4</v>
      </c>
      <c r="B35" s="213"/>
      <c r="C35" s="213"/>
      <c r="D35" s="213"/>
      <c r="E35" s="213"/>
      <c r="F35" s="213"/>
      <c r="G35" s="213"/>
      <c r="H35" s="213"/>
      <c r="I35" s="213"/>
      <c r="J35" s="213"/>
      <c r="K35" s="213"/>
      <c r="L35" s="213"/>
      <c r="M35" s="213"/>
      <c r="N35" s="213"/>
      <c r="O35" s="213"/>
      <c r="P35" s="213"/>
      <c r="Q35" s="213"/>
      <c r="R35" s="213"/>
      <c r="S35" s="213"/>
      <c r="T35" s="213"/>
      <c r="U35" s="213"/>
      <c r="V35" s="213"/>
      <c r="W35" s="213"/>
      <c r="X35" s="213"/>
      <c r="Y35" s="213"/>
    </row>
    <row r="36" spans="1:25" hidden="1">
      <c r="A36" s="213">
        <v>5</v>
      </c>
      <c r="B36" s="213"/>
      <c r="C36" s="213"/>
      <c r="D36" s="213"/>
      <c r="E36" s="213"/>
      <c r="F36" s="213"/>
      <c r="G36" s="213"/>
      <c r="H36" s="213"/>
      <c r="I36" s="213"/>
      <c r="J36" s="213"/>
      <c r="K36" s="213"/>
      <c r="L36" s="213"/>
      <c r="M36" s="213"/>
      <c r="N36" s="213"/>
      <c r="O36" s="213"/>
      <c r="P36" s="213"/>
      <c r="Q36" s="213"/>
      <c r="R36" s="213"/>
      <c r="S36" s="213"/>
      <c r="T36" s="213"/>
      <c r="U36" s="213"/>
      <c r="V36" s="213"/>
      <c r="W36" s="213"/>
      <c r="X36" s="213"/>
      <c r="Y36" s="213"/>
    </row>
    <row r="37" spans="1:25" hidden="1">
      <c r="A37" s="213">
        <v>6</v>
      </c>
      <c r="B37" s="213"/>
      <c r="C37" s="213"/>
      <c r="D37" s="213"/>
      <c r="E37" s="213"/>
      <c r="F37" s="213"/>
      <c r="G37" s="213"/>
      <c r="H37" s="213"/>
      <c r="I37" s="213"/>
      <c r="J37" s="213"/>
      <c r="K37" s="213"/>
      <c r="L37" s="213"/>
      <c r="M37" s="213"/>
      <c r="N37" s="213"/>
      <c r="O37" s="213"/>
      <c r="P37" s="213"/>
      <c r="Q37" s="213"/>
      <c r="R37" s="213"/>
      <c r="S37" s="213"/>
      <c r="T37" s="213"/>
      <c r="U37" s="213"/>
      <c r="V37" s="213"/>
      <c r="W37" s="213"/>
      <c r="X37" s="213"/>
      <c r="Y37" s="213"/>
    </row>
    <row r="38" spans="1:25" hidden="1">
      <c r="A38" s="213">
        <v>7</v>
      </c>
      <c r="B38" s="213"/>
      <c r="C38" s="213"/>
      <c r="D38" s="213"/>
      <c r="E38" s="213"/>
      <c r="F38" s="213"/>
      <c r="G38" s="213"/>
      <c r="H38" s="213"/>
      <c r="I38" s="213"/>
      <c r="J38" s="213"/>
      <c r="K38" s="213"/>
      <c r="L38" s="213"/>
      <c r="M38" s="213"/>
      <c r="N38" s="213"/>
      <c r="O38" s="213"/>
      <c r="P38" s="213"/>
      <c r="Q38" s="213"/>
      <c r="R38" s="213"/>
      <c r="S38" s="213"/>
      <c r="T38" s="213"/>
      <c r="U38" s="213"/>
      <c r="V38" s="213"/>
      <c r="W38" s="213"/>
      <c r="X38" s="213"/>
      <c r="Y38" s="213"/>
    </row>
    <row r="39" spans="1:25" hidden="1">
      <c r="A39" s="213">
        <v>8</v>
      </c>
      <c r="B39" s="213"/>
      <c r="C39" s="213"/>
      <c r="D39" s="213"/>
      <c r="E39" s="213"/>
      <c r="F39" s="213"/>
      <c r="G39" s="213"/>
      <c r="H39" s="213"/>
      <c r="I39" s="213"/>
      <c r="J39" s="213"/>
      <c r="K39" s="213"/>
      <c r="L39" s="213"/>
      <c r="M39" s="213"/>
      <c r="N39" s="213"/>
      <c r="O39" s="213"/>
      <c r="P39" s="213"/>
      <c r="Q39" s="213"/>
      <c r="R39" s="213"/>
      <c r="S39" s="213"/>
      <c r="T39" s="213"/>
      <c r="U39" s="213"/>
      <c r="V39" s="213"/>
      <c r="W39" s="213"/>
      <c r="X39" s="213"/>
      <c r="Y39" s="213"/>
    </row>
    <row r="40" spans="1:25" hidden="1">
      <c r="A40" s="213">
        <v>9</v>
      </c>
      <c r="B40" s="213"/>
      <c r="C40" s="213"/>
      <c r="D40" s="213"/>
      <c r="E40" s="213"/>
      <c r="F40" s="213"/>
      <c r="G40" s="213"/>
      <c r="H40" s="213"/>
      <c r="I40" s="213"/>
      <c r="J40" s="213"/>
      <c r="K40" s="213"/>
      <c r="L40" s="213"/>
      <c r="M40" s="213"/>
      <c r="N40" s="213"/>
      <c r="O40" s="213"/>
      <c r="P40" s="213"/>
      <c r="Q40" s="213"/>
      <c r="R40" s="213"/>
      <c r="S40" s="213"/>
      <c r="T40" s="213"/>
      <c r="U40" s="213"/>
      <c r="V40" s="213"/>
      <c r="W40" s="213"/>
      <c r="X40" s="213"/>
      <c r="Y40" s="213"/>
    </row>
    <row r="41" spans="1:25" hidden="1">
      <c r="A41" s="213">
        <v>10</v>
      </c>
      <c r="B41" s="213"/>
      <c r="C41" s="213"/>
      <c r="D41" s="213"/>
      <c r="E41" s="213"/>
      <c r="F41" s="213"/>
      <c r="G41" s="213"/>
      <c r="H41" s="213"/>
      <c r="I41" s="213"/>
      <c r="J41" s="213"/>
      <c r="K41" s="213"/>
      <c r="L41" s="213"/>
      <c r="M41" s="213"/>
      <c r="N41" s="213"/>
      <c r="O41" s="213"/>
      <c r="P41" s="213"/>
      <c r="Q41" s="213"/>
      <c r="R41" s="213"/>
      <c r="S41" s="213"/>
      <c r="T41" s="213"/>
      <c r="U41" s="213"/>
      <c r="V41" s="213"/>
      <c r="W41" s="213"/>
      <c r="X41" s="213"/>
      <c r="Y41" s="213"/>
    </row>
    <row r="42" spans="1:25" hidden="1">
      <c r="A42" s="213">
        <v>11</v>
      </c>
      <c r="B42" s="213"/>
      <c r="C42" s="213"/>
      <c r="D42" s="213"/>
      <c r="E42" s="213"/>
      <c r="F42" s="213"/>
      <c r="G42" s="213"/>
      <c r="H42" s="213"/>
      <c r="I42" s="213"/>
      <c r="J42" s="213"/>
      <c r="K42" s="213"/>
      <c r="L42" s="213"/>
      <c r="M42" s="213"/>
      <c r="N42" s="213"/>
      <c r="O42" s="213"/>
      <c r="P42" s="213"/>
      <c r="Q42" s="213"/>
      <c r="R42" s="213"/>
      <c r="S42" s="213"/>
      <c r="T42" s="213"/>
      <c r="U42" s="213"/>
      <c r="V42" s="213"/>
      <c r="W42" s="213"/>
      <c r="X42" s="213"/>
      <c r="Y42" s="213"/>
    </row>
    <row r="43" spans="1:25" hidden="1">
      <c r="A43" s="213">
        <v>12</v>
      </c>
      <c r="B43" s="213"/>
      <c r="C43" s="213"/>
      <c r="D43" s="213"/>
      <c r="E43" s="213"/>
      <c r="F43" s="213"/>
      <c r="G43" s="213"/>
      <c r="H43" s="213"/>
      <c r="I43" s="213"/>
      <c r="J43" s="213"/>
      <c r="K43" s="213"/>
      <c r="L43" s="213"/>
      <c r="M43" s="213"/>
      <c r="N43" s="213"/>
      <c r="O43" s="213"/>
      <c r="P43" s="213"/>
      <c r="Q43" s="213"/>
      <c r="R43" s="213"/>
      <c r="S43" s="213"/>
      <c r="T43" s="213"/>
      <c r="U43" s="213"/>
      <c r="V43" s="213"/>
      <c r="W43" s="213"/>
      <c r="X43" s="213"/>
      <c r="Y43" s="213"/>
    </row>
    <row r="44" spans="1:25" hidden="1">
      <c r="A44" s="213">
        <v>13</v>
      </c>
      <c r="B44" s="213"/>
      <c r="C44" s="213"/>
      <c r="D44" s="213"/>
      <c r="E44" s="213"/>
      <c r="F44" s="213"/>
      <c r="G44" s="213"/>
      <c r="H44" s="213"/>
      <c r="I44" s="213"/>
      <c r="J44" s="213"/>
      <c r="K44" s="213"/>
      <c r="L44" s="213"/>
      <c r="M44" s="213"/>
      <c r="N44" s="213"/>
      <c r="O44" s="213"/>
      <c r="P44" s="213"/>
      <c r="Q44" s="213"/>
      <c r="R44" s="213"/>
      <c r="S44" s="213"/>
      <c r="T44" s="213"/>
      <c r="U44" s="213"/>
      <c r="V44" s="213"/>
      <c r="W44" s="213"/>
      <c r="X44" s="213"/>
      <c r="Y44" s="213"/>
    </row>
    <row r="45" spans="1:25" hidden="1">
      <c r="A45" s="213">
        <v>14</v>
      </c>
      <c r="B45" s="213"/>
      <c r="C45" s="213"/>
      <c r="D45" s="213"/>
      <c r="E45" s="213"/>
      <c r="F45" s="213"/>
      <c r="G45" s="213"/>
      <c r="H45" s="213"/>
      <c r="I45" s="213"/>
      <c r="J45" s="213"/>
      <c r="K45" s="213"/>
      <c r="L45" s="213"/>
      <c r="M45" s="213"/>
      <c r="N45" s="213"/>
      <c r="O45" s="213"/>
      <c r="P45" s="213"/>
      <c r="Q45" s="213"/>
      <c r="R45" s="213"/>
      <c r="S45" s="213"/>
      <c r="T45" s="213"/>
      <c r="U45" s="213"/>
      <c r="V45" s="213"/>
      <c r="W45" s="213"/>
      <c r="X45" s="213"/>
      <c r="Y45" s="213"/>
    </row>
    <row r="46" spans="1:25" hidden="1">
      <c r="A46" s="213">
        <v>15</v>
      </c>
      <c r="B46" s="213"/>
      <c r="C46" s="213"/>
      <c r="D46" s="213"/>
      <c r="E46" s="213"/>
      <c r="F46" s="213"/>
      <c r="G46" s="213"/>
      <c r="H46" s="213"/>
      <c r="I46" s="213"/>
      <c r="J46" s="213"/>
      <c r="K46" s="213"/>
      <c r="L46" s="213"/>
      <c r="M46" s="213"/>
      <c r="N46" s="213"/>
      <c r="O46" s="213"/>
      <c r="P46" s="213"/>
      <c r="Q46" s="213"/>
      <c r="R46" s="213"/>
      <c r="S46" s="213"/>
      <c r="T46" s="213"/>
      <c r="U46" s="213"/>
      <c r="V46" s="213"/>
      <c r="W46" s="213"/>
      <c r="X46" s="213"/>
      <c r="Y46" s="213"/>
    </row>
    <row r="47" spans="1:25" hidden="1">
      <c r="A47" s="213">
        <v>16</v>
      </c>
      <c r="B47" s="213"/>
      <c r="C47" s="213"/>
      <c r="D47" s="213"/>
      <c r="E47" s="213"/>
      <c r="F47" s="213"/>
      <c r="G47" s="213"/>
      <c r="H47" s="213"/>
      <c r="I47" s="213"/>
      <c r="J47" s="213"/>
      <c r="K47" s="213"/>
      <c r="L47" s="213"/>
      <c r="M47" s="213"/>
      <c r="N47" s="213"/>
      <c r="O47" s="213"/>
      <c r="P47" s="213"/>
      <c r="Q47" s="213"/>
      <c r="R47" s="213"/>
      <c r="S47" s="213"/>
      <c r="T47" s="213"/>
      <c r="U47" s="213"/>
      <c r="V47" s="213"/>
      <c r="W47" s="213"/>
      <c r="X47" s="213"/>
      <c r="Y47" s="213"/>
    </row>
    <row r="48" spans="1:25" hidden="1">
      <c r="A48" s="213">
        <v>17</v>
      </c>
      <c r="B48" s="213"/>
      <c r="C48" s="213"/>
      <c r="D48" s="213"/>
      <c r="E48" s="213"/>
      <c r="F48" s="213"/>
      <c r="G48" s="213"/>
      <c r="H48" s="213"/>
      <c r="I48" s="213"/>
      <c r="J48" s="213"/>
      <c r="K48" s="213"/>
      <c r="L48" s="213"/>
      <c r="M48" s="213"/>
      <c r="N48" s="213"/>
      <c r="O48" s="213"/>
      <c r="P48" s="213"/>
      <c r="Q48" s="213"/>
      <c r="R48" s="213"/>
      <c r="S48" s="213"/>
      <c r="T48" s="213"/>
      <c r="U48" s="213"/>
      <c r="V48" s="213"/>
      <c r="W48" s="213"/>
      <c r="X48" s="213"/>
      <c r="Y48" s="213"/>
    </row>
    <row r="49" spans="1:25" hidden="1">
      <c r="A49" s="213">
        <v>18</v>
      </c>
      <c r="B49" s="213"/>
      <c r="C49" s="213"/>
      <c r="D49" s="213"/>
      <c r="E49" s="213"/>
      <c r="F49" s="213"/>
      <c r="G49" s="213"/>
      <c r="H49" s="213"/>
      <c r="I49" s="213"/>
      <c r="J49" s="213"/>
      <c r="K49" s="213"/>
      <c r="L49" s="213"/>
      <c r="M49" s="213"/>
      <c r="N49" s="213"/>
      <c r="O49" s="213"/>
      <c r="P49" s="213"/>
      <c r="Q49" s="213"/>
      <c r="R49" s="213"/>
      <c r="S49" s="213"/>
      <c r="T49" s="213"/>
      <c r="U49" s="213"/>
      <c r="V49" s="213"/>
      <c r="W49" s="213"/>
      <c r="X49" s="213"/>
      <c r="Y49" s="213"/>
    </row>
    <row r="50" spans="1:25" hidden="1">
      <c r="A50" s="213">
        <v>19</v>
      </c>
      <c r="B50" s="213"/>
      <c r="C50" s="213"/>
      <c r="D50" s="213"/>
      <c r="E50" s="213"/>
      <c r="F50" s="213"/>
      <c r="G50" s="213"/>
      <c r="H50" s="213"/>
      <c r="I50" s="213"/>
      <c r="J50" s="213"/>
      <c r="K50" s="213"/>
      <c r="L50" s="213"/>
      <c r="M50" s="213"/>
      <c r="N50" s="213"/>
      <c r="O50" s="213"/>
      <c r="P50" s="213"/>
      <c r="Q50" s="213"/>
      <c r="R50" s="213"/>
      <c r="S50" s="213"/>
      <c r="T50" s="213"/>
      <c r="U50" s="213"/>
      <c r="V50" s="213"/>
      <c r="W50" s="213"/>
      <c r="X50" s="213"/>
      <c r="Y50" s="213"/>
    </row>
    <row r="51" spans="1:25" hidden="1">
      <c r="A51" s="213">
        <v>20</v>
      </c>
      <c r="B51" s="213"/>
      <c r="C51" s="213"/>
      <c r="D51" s="213"/>
      <c r="E51" s="213"/>
      <c r="F51" s="213"/>
      <c r="G51" s="213"/>
      <c r="H51" s="213"/>
      <c r="I51" s="213"/>
      <c r="J51" s="213"/>
      <c r="K51" s="213"/>
      <c r="L51" s="213"/>
      <c r="M51" s="213"/>
      <c r="N51" s="213"/>
      <c r="O51" s="213"/>
      <c r="P51" s="213"/>
      <c r="Q51" s="213"/>
      <c r="R51" s="213"/>
      <c r="S51" s="213"/>
      <c r="T51" s="213"/>
      <c r="U51" s="213"/>
      <c r="V51" s="213"/>
      <c r="W51" s="213"/>
      <c r="X51" s="213"/>
      <c r="Y51" s="213"/>
    </row>
    <row r="52" spans="1:25" hidden="1">
      <c r="A52" s="213">
        <v>21</v>
      </c>
      <c r="B52" s="213"/>
      <c r="C52" s="213"/>
      <c r="D52" s="213"/>
      <c r="E52" s="213"/>
      <c r="F52" s="213"/>
      <c r="G52" s="213"/>
      <c r="H52" s="213"/>
      <c r="I52" s="213"/>
      <c r="J52" s="213"/>
      <c r="K52" s="213"/>
      <c r="L52" s="213"/>
      <c r="M52" s="213"/>
      <c r="N52" s="213"/>
      <c r="O52" s="213"/>
      <c r="P52" s="213"/>
      <c r="Q52" s="213"/>
      <c r="R52" s="213"/>
      <c r="S52" s="213"/>
      <c r="T52" s="213"/>
      <c r="U52" s="213"/>
      <c r="V52" s="213"/>
      <c r="W52" s="213"/>
      <c r="X52" s="213"/>
      <c r="Y52" s="213"/>
    </row>
    <row r="53" spans="1:25" hidden="1">
      <c r="A53" s="213">
        <v>22</v>
      </c>
      <c r="B53" s="213"/>
      <c r="C53" s="213"/>
      <c r="D53" s="213"/>
      <c r="E53" s="213"/>
      <c r="F53" s="213"/>
      <c r="G53" s="213"/>
      <c r="H53" s="213"/>
      <c r="I53" s="213"/>
      <c r="J53" s="213"/>
      <c r="K53" s="213"/>
      <c r="L53" s="213"/>
      <c r="M53" s="213"/>
      <c r="N53" s="213"/>
      <c r="O53" s="213"/>
      <c r="P53" s="213"/>
      <c r="Q53" s="213"/>
      <c r="R53" s="213"/>
      <c r="S53" s="213"/>
      <c r="T53" s="213"/>
      <c r="U53" s="213"/>
      <c r="V53" s="213"/>
      <c r="W53" s="213"/>
      <c r="X53" s="213"/>
      <c r="Y53" s="213"/>
    </row>
    <row r="54" spans="1:25" hidden="1">
      <c r="A54" s="213">
        <v>23</v>
      </c>
      <c r="B54" s="213"/>
      <c r="C54" s="213"/>
      <c r="D54" s="213"/>
      <c r="E54" s="213"/>
      <c r="F54" s="213"/>
      <c r="G54" s="213"/>
      <c r="H54" s="213"/>
      <c r="I54" s="213"/>
      <c r="J54" s="213"/>
      <c r="K54" s="213"/>
      <c r="L54" s="213"/>
      <c r="M54" s="213"/>
      <c r="N54" s="213"/>
      <c r="O54" s="213"/>
      <c r="P54" s="213"/>
      <c r="Q54" s="213"/>
      <c r="R54" s="213"/>
      <c r="S54" s="213"/>
      <c r="T54" s="213"/>
      <c r="U54" s="213"/>
      <c r="V54" s="213"/>
      <c r="W54" s="213"/>
      <c r="X54" s="213"/>
      <c r="Y54" s="213"/>
    </row>
    <row r="55" spans="1:25" hidden="1">
      <c r="A55" s="213">
        <v>24</v>
      </c>
      <c r="B55" s="213"/>
      <c r="C55" s="213"/>
      <c r="D55" s="213"/>
      <c r="E55" s="213"/>
      <c r="F55" s="213"/>
      <c r="G55" s="213"/>
      <c r="H55" s="213"/>
      <c r="I55" s="213"/>
      <c r="J55" s="213"/>
      <c r="K55" s="213"/>
      <c r="L55" s="213"/>
      <c r="M55" s="213"/>
      <c r="N55" s="213"/>
      <c r="O55" s="213"/>
      <c r="P55" s="213"/>
      <c r="Q55" s="213"/>
      <c r="R55" s="213"/>
      <c r="S55" s="213"/>
      <c r="T55" s="213"/>
      <c r="U55" s="213"/>
      <c r="V55" s="213"/>
      <c r="W55" s="213"/>
      <c r="X55" s="213"/>
      <c r="Y55" s="213"/>
    </row>
    <row r="56" spans="1:25" hidden="1">
      <c r="A56" s="213">
        <v>25</v>
      </c>
      <c r="B56" s="213"/>
      <c r="C56" s="213"/>
      <c r="D56" s="213"/>
      <c r="E56" s="213"/>
      <c r="F56" s="213"/>
      <c r="G56" s="213"/>
      <c r="H56" s="213"/>
      <c r="I56" s="213"/>
      <c r="J56" s="213"/>
      <c r="K56" s="213"/>
      <c r="L56" s="213"/>
      <c r="M56" s="213"/>
      <c r="N56" s="213"/>
      <c r="O56" s="213"/>
      <c r="P56" s="213"/>
      <c r="Q56" s="213"/>
      <c r="R56" s="213"/>
      <c r="S56" s="213"/>
      <c r="T56" s="213"/>
      <c r="U56" s="213"/>
      <c r="V56" s="213"/>
      <c r="W56" s="213"/>
      <c r="X56" s="213"/>
      <c r="Y56" s="213"/>
    </row>
    <row r="57" spans="1:25" hidden="1">
      <c r="A57" s="213">
        <v>26</v>
      </c>
      <c r="B57" s="213"/>
      <c r="C57" s="213"/>
      <c r="D57" s="213"/>
      <c r="E57" s="213"/>
      <c r="F57" s="213"/>
      <c r="G57" s="213"/>
      <c r="H57" s="213"/>
      <c r="I57" s="213"/>
      <c r="J57" s="213"/>
      <c r="K57" s="213"/>
      <c r="L57" s="213"/>
      <c r="M57" s="213"/>
      <c r="N57" s="213"/>
      <c r="O57" s="213"/>
      <c r="P57" s="213"/>
      <c r="Q57" s="213"/>
      <c r="R57" s="213"/>
      <c r="S57" s="213"/>
      <c r="T57" s="213"/>
      <c r="U57" s="213"/>
      <c r="V57" s="213"/>
      <c r="W57" s="213"/>
      <c r="X57" s="213"/>
      <c r="Y57" s="213"/>
    </row>
    <row r="58" spans="1:25" hidden="1">
      <c r="A58" s="213">
        <v>27</v>
      </c>
      <c r="B58" s="213"/>
      <c r="C58" s="213"/>
      <c r="D58" s="213"/>
      <c r="E58" s="213"/>
      <c r="F58" s="213"/>
      <c r="G58" s="213"/>
      <c r="H58" s="213"/>
      <c r="I58" s="213"/>
      <c r="J58" s="213"/>
      <c r="K58" s="213"/>
      <c r="L58" s="213"/>
      <c r="M58" s="213"/>
      <c r="N58" s="213"/>
      <c r="O58" s="213"/>
      <c r="P58" s="213"/>
      <c r="Q58" s="213"/>
      <c r="R58" s="213"/>
      <c r="S58" s="213"/>
      <c r="T58" s="213"/>
      <c r="U58" s="213"/>
      <c r="V58" s="213"/>
      <c r="W58" s="213"/>
      <c r="X58" s="213"/>
      <c r="Y58" s="213"/>
    </row>
    <row r="59" spans="1:25" hidden="1">
      <c r="A59" s="213">
        <v>28</v>
      </c>
      <c r="B59" s="213"/>
      <c r="C59" s="213"/>
      <c r="D59" s="213"/>
      <c r="E59" s="213"/>
      <c r="F59" s="213"/>
      <c r="G59" s="213"/>
      <c r="H59" s="213"/>
      <c r="I59" s="213"/>
      <c r="J59" s="213"/>
      <c r="K59" s="213"/>
      <c r="L59" s="213"/>
      <c r="M59" s="213"/>
      <c r="N59" s="213"/>
      <c r="O59" s="213"/>
      <c r="P59" s="213"/>
      <c r="Q59" s="213"/>
      <c r="R59" s="213"/>
      <c r="S59" s="213"/>
      <c r="T59" s="213"/>
      <c r="U59" s="213"/>
      <c r="V59" s="213"/>
      <c r="W59" s="213"/>
      <c r="X59" s="213"/>
      <c r="Y59" s="213"/>
    </row>
    <row r="60" spans="1:25" hidden="1">
      <c r="A60" s="213">
        <v>29</v>
      </c>
      <c r="B60" s="213"/>
      <c r="C60" s="213"/>
      <c r="D60" s="213"/>
      <c r="E60" s="213"/>
      <c r="F60" s="213"/>
      <c r="G60" s="213"/>
      <c r="H60" s="213"/>
      <c r="I60" s="213"/>
      <c r="J60" s="213"/>
      <c r="K60" s="213"/>
      <c r="L60" s="213"/>
      <c r="M60" s="213"/>
      <c r="N60" s="213"/>
      <c r="O60" s="213"/>
      <c r="P60" s="213"/>
      <c r="Q60" s="213"/>
      <c r="R60" s="213"/>
      <c r="S60" s="213"/>
      <c r="T60" s="213"/>
      <c r="U60" s="213"/>
      <c r="V60" s="213"/>
      <c r="W60" s="213"/>
      <c r="X60" s="213"/>
      <c r="Y60" s="213"/>
    </row>
    <row r="61" spans="1:25" hidden="1">
      <c r="A61" s="213">
        <v>30</v>
      </c>
      <c r="B61" s="213"/>
      <c r="C61" s="213"/>
      <c r="D61" s="213"/>
      <c r="E61" s="213"/>
      <c r="F61" s="213"/>
      <c r="G61" s="213"/>
      <c r="H61" s="213"/>
      <c r="I61" s="213"/>
      <c r="J61" s="213"/>
      <c r="K61" s="213"/>
      <c r="L61" s="213"/>
      <c r="M61" s="213"/>
      <c r="N61" s="213"/>
      <c r="O61" s="213"/>
      <c r="P61" s="213"/>
      <c r="Q61" s="213"/>
      <c r="R61" s="213"/>
      <c r="S61" s="213"/>
      <c r="T61" s="213"/>
      <c r="U61" s="213"/>
      <c r="V61" s="213"/>
      <c r="W61" s="213"/>
      <c r="X61" s="213"/>
      <c r="Y61" s="213"/>
    </row>
    <row r="62" spans="1:25" hidden="1">
      <c r="A62" s="213">
        <v>31</v>
      </c>
      <c r="B62" s="213"/>
      <c r="C62" s="213"/>
      <c r="D62" s="213"/>
      <c r="E62" s="213"/>
      <c r="F62" s="213"/>
      <c r="G62" s="213"/>
      <c r="H62" s="213"/>
      <c r="I62" s="213"/>
      <c r="J62" s="213"/>
      <c r="K62" s="213"/>
      <c r="L62" s="213"/>
      <c r="M62" s="213"/>
      <c r="N62" s="213"/>
      <c r="O62" s="213"/>
      <c r="P62" s="213"/>
      <c r="Q62" s="213"/>
      <c r="R62" s="213"/>
      <c r="S62" s="213"/>
      <c r="T62" s="213"/>
      <c r="U62" s="213"/>
      <c r="V62" s="213"/>
      <c r="W62" s="213"/>
      <c r="X62" s="213"/>
      <c r="Y62" s="213"/>
    </row>
    <row r="63" spans="1:25" hidden="1">
      <c r="A63" s="213">
        <v>32</v>
      </c>
      <c r="B63" s="213"/>
      <c r="C63" s="213"/>
      <c r="D63" s="213"/>
      <c r="E63" s="213"/>
      <c r="F63" s="213"/>
      <c r="G63" s="213"/>
      <c r="H63" s="213"/>
      <c r="I63" s="213"/>
      <c r="J63" s="213"/>
      <c r="K63" s="213"/>
      <c r="L63" s="213"/>
      <c r="M63" s="213"/>
      <c r="N63" s="213"/>
      <c r="O63" s="213"/>
      <c r="P63" s="213"/>
      <c r="Q63" s="213"/>
      <c r="R63" s="213"/>
      <c r="S63" s="213"/>
      <c r="T63" s="213"/>
      <c r="U63" s="213"/>
      <c r="V63" s="213"/>
      <c r="W63" s="213"/>
      <c r="X63" s="213"/>
      <c r="Y63" s="213"/>
    </row>
    <row r="64" spans="1:25" hidden="1">
      <c r="A64" s="213">
        <v>33</v>
      </c>
      <c r="B64" s="213"/>
      <c r="C64" s="213"/>
      <c r="D64" s="213"/>
      <c r="E64" s="213"/>
      <c r="F64" s="213"/>
      <c r="G64" s="213"/>
      <c r="H64" s="213"/>
      <c r="I64" s="213"/>
      <c r="J64" s="213"/>
      <c r="K64" s="213"/>
      <c r="L64" s="213"/>
      <c r="M64" s="213"/>
      <c r="N64" s="213"/>
      <c r="O64" s="213"/>
      <c r="P64" s="213"/>
      <c r="Q64" s="213"/>
      <c r="R64" s="213"/>
      <c r="S64" s="213"/>
      <c r="T64" s="213"/>
      <c r="U64" s="213"/>
      <c r="V64" s="213"/>
      <c r="W64" s="213"/>
      <c r="X64" s="213"/>
      <c r="Y64" s="213"/>
    </row>
    <row r="65" spans="1:25" hidden="1">
      <c r="A65" s="213">
        <v>34</v>
      </c>
      <c r="B65" s="213"/>
      <c r="C65" s="213"/>
      <c r="D65" s="213"/>
      <c r="E65" s="213"/>
      <c r="F65" s="213"/>
      <c r="G65" s="213"/>
      <c r="H65" s="213"/>
      <c r="I65" s="213"/>
      <c r="J65" s="213"/>
      <c r="K65" s="213"/>
      <c r="L65" s="213"/>
      <c r="M65" s="213"/>
      <c r="N65" s="213"/>
      <c r="O65" s="213"/>
      <c r="P65" s="213"/>
      <c r="Q65" s="213"/>
      <c r="R65" s="213"/>
      <c r="S65" s="213"/>
      <c r="T65" s="213"/>
      <c r="U65" s="213"/>
      <c r="V65" s="213"/>
      <c r="W65" s="213"/>
      <c r="X65" s="213"/>
      <c r="Y65" s="213"/>
    </row>
    <row r="66" spans="1:25" hidden="1">
      <c r="A66" s="213">
        <v>35</v>
      </c>
      <c r="B66" s="213"/>
      <c r="C66" s="213"/>
      <c r="D66" s="213"/>
      <c r="E66" s="213"/>
      <c r="F66" s="213"/>
      <c r="G66" s="213"/>
      <c r="H66" s="213"/>
      <c r="I66" s="213"/>
      <c r="J66" s="213"/>
      <c r="K66" s="213"/>
      <c r="L66" s="213"/>
      <c r="M66" s="213"/>
      <c r="N66" s="213"/>
      <c r="O66" s="213"/>
      <c r="P66" s="213"/>
      <c r="Q66" s="213"/>
      <c r="R66" s="213"/>
      <c r="S66" s="213"/>
      <c r="T66" s="213"/>
      <c r="U66" s="213"/>
      <c r="V66" s="213"/>
      <c r="W66" s="213"/>
      <c r="X66" s="213"/>
      <c r="Y66" s="213"/>
    </row>
    <row r="67" spans="1:25" hidden="1">
      <c r="A67" s="213">
        <v>36</v>
      </c>
      <c r="B67" s="213"/>
      <c r="C67" s="213"/>
      <c r="D67" s="213"/>
      <c r="E67" s="213"/>
      <c r="F67" s="213"/>
      <c r="G67" s="213"/>
      <c r="H67" s="213"/>
      <c r="I67" s="213"/>
      <c r="J67" s="213"/>
      <c r="K67" s="213"/>
      <c r="L67" s="213"/>
      <c r="M67" s="213"/>
      <c r="N67" s="213"/>
      <c r="O67" s="213"/>
      <c r="P67" s="213"/>
      <c r="Q67" s="213"/>
      <c r="R67" s="213"/>
      <c r="S67" s="213"/>
      <c r="T67" s="213"/>
      <c r="U67" s="213"/>
      <c r="V67" s="213"/>
      <c r="W67" s="213"/>
      <c r="X67" s="213"/>
      <c r="Y67" s="213"/>
    </row>
    <row r="68" spans="1:25" hidden="1">
      <c r="A68" s="213">
        <v>37</v>
      </c>
      <c r="B68" s="213"/>
      <c r="C68" s="213"/>
      <c r="D68" s="213"/>
      <c r="E68" s="213"/>
      <c r="F68" s="213"/>
      <c r="G68" s="213"/>
      <c r="H68" s="213"/>
      <c r="I68" s="213"/>
      <c r="J68" s="213"/>
      <c r="K68" s="213"/>
      <c r="L68" s="213"/>
      <c r="M68" s="213"/>
      <c r="N68" s="213"/>
      <c r="O68" s="213"/>
      <c r="P68" s="213"/>
      <c r="Q68" s="213"/>
      <c r="R68" s="213"/>
      <c r="S68" s="213"/>
      <c r="T68" s="213"/>
      <c r="U68" s="213"/>
      <c r="V68" s="213"/>
      <c r="W68" s="213"/>
      <c r="X68" s="213"/>
      <c r="Y68" s="213"/>
    </row>
    <row r="69" spans="1:25" hidden="1">
      <c r="A69" s="213">
        <v>38</v>
      </c>
      <c r="B69" s="213"/>
      <c r="C69" s="213"/>
      <c r="D69" s="213"/>
      <c r="E69" s="213"/>
      <c r="F69" s="213"/>
      <c r="G69" s="213"/>
      <c r="H69" s="213"/>
      <c r="I69" s="213"/>
      <c r="J69" s="213"/>
      <c r="K69" s="213"/>
      <c r="L69" s="213"/>
      <c r="M69" s="213"/>
      <c r="N69" s="213"/>
      <c r="O69" s="213"/>
      <c r="P69" s="213"/>
      <c r="Q69" s="213"/>
      <c r="R69" s="213"/>
      <c r="S69" s="213"/>
      <c r="T69" s="213"/>
      <c r="U69" s="213"/>
      <c r="V69" s="213"/>
      <c r="W69" s="213"/>
      <c r="X69" s="213"/>
      <c r="Y69" s="213"/>
    </row>
    <row r="70" spans="1:25" hidden="1">
      <c r="A70" s="213">
        <v>39</v>
      </c>
      <c r="B70" s="213"/>
      <c r="C70" s="213"/>
      <c r="D70" s="213"/>
      <c r="E70" s="213"/>
      <c r="F70" s="213"/>
      <c r="G70" s="213"/>
      <c r="H70" s="213"/>
      <c r="I70" s="213"/>
      <c r="J70" s="213"/>
      <c r="K70" s="213"/>
      <c r="L70" s="213"/>
      <c r="M70" s="213"/>
      <c r="N70" s="213"/>
      <c r="O70" s="213"/>
      <c r="P70" s="213"/>
      <c r="Q70" s="213"/>
      <c r="R70" s="213"/>
      <c r="S70" s="213"/>
      <c r="T70" s="213"/>
      <c r="U70" s="213"/>
      <c r="V70" s="213"/>
      <c r="W70" s="213"/>
      <c r="X70" s="213"/>
      <c r="Y70" s="213"/>
    </row>
    <row r="71" spans="1:25" hidden="1">
      <c r="A71" s="213">
        <v>40</v>
      </c>
      <c r="B71" s="213"/>
      <c r="C71" s="213"/>
      <c r="D71" s="213"/>
      <c r="E71" s="213"/>
      <c r="F71" s="213"/>
      <c r="G71" s="213"/>
      <c r="H71" s="213"/>
      <c r="I71" s="213"/>
      <c r="J71" s="213"/>
      <c r="K71" s="213"/>
      <c r="L71" s="213"/>
      <c r="M71" s="213"/>
      <c r="N71" s="213"/>
      <c r="O71" s="213"/>
      <c r="P71" s="213"/>
      <c r="Q71" s="213"/>
      <c r="R71" s="213"/>
      <c r="S71" s="213"/>
      <c r="T71" s="213"/>
      <c r="U71" s="213"/>
      <c r="V71" s="213"/>
      <c r="W71" s="213"/>
      <c r="X71" s="213"/>
      <c r="Y71" s="213"/>
    </row>
  </sheetData>
  <sheetProtection algorithmName="SHA-512" hashValue="fnXyJTps8FuT6zvfARvJf1oDVTXyX17dT22+dCu3yf4BYcDB96/g+dRJtVxI8Gr2VwhvHWXr6M3qJk+yVL5D/A==" saltValue="BDDiNoSsI1lt+Cn3kpP57A==" spinCount="100000" sheet="1" selectLockedCells="1"/>
  <protectedRanges>
    <protectedRange sqref="T25 P7:Q7 T23 P25 R6:S7 N6:N7 O6:Q6 J7:M7 E6:M6 P10 T6:T10 C6:D7" name="Range1"/>
    <protectedRange sqref="T15:T16" name="Range3"/>
    <protectedRange sqref="H23:O23 T20:T22" name="Range5"/>
    <protectedRange sqref="K28" name="Range8"/>
    <protectedRange sqref="P23" name="Range5_4"/>
    <protectedRange sqref="Q14:S22" name="Range5_1"/>
    <protectedRange sqref="N14:P22" name="Range5_2"/>
  </protectedRanges>
  <mergeCells count="61">
    <mergeCell ref="B9:M9"/>
    <mergeCell ref="K10:M10"/>
    <mergeCell ref="Q10:S10"/>
    <mergeCell ref="B4:T4"/>
    <mergeCell ref="B6:O6"/>
    <mergeCell ref="K7:M7"/>
    <mergeCell ref="Q7:S7"/>
    <mergeCell ref="B8:H8"/>
    <mergeCell ref="Q8:S8"/>
    <mergeCell ref="V10:Z10"/>
    <mergeCell ref="B11:H11"/>
    <mergeCell ref="C13:J13"/>
    <mergeCell ref="K13:M13"/>
    <mergeCell ref="N13:P13"/>
    <mergeCell ref="Q13:S13"/>
    <mergeCell ref="Q12:S12"/>
    <mergeCell ref="C14:J14"/>
    <mergeCell ref="K14:M14"/>
    <mergeCell ref="N14:P14"/>
    <mergeCell ref="Q14:S14"/>
    <mergeCell ref="V14:Z22"/>
    <mergeCell ref="C15:J15"/>
    <mergeCell ref="K15:M15"/>
    <mergeCell ref="N15:P15"/>
    <mergeCell ref="Q15:S15"/>
    <mergeCell ref="C16:J16"/>
    <mergeCell ref="K16:M16"/>
    <mergeCell ref="N16:P16"/>
    <mergeCell ref="Q16:S16"/>
    <mergeCell ref="C17:J17"/>
    <mergeCell ref="K17:M17"/>
    <mergeCell ref="N17:P17"/>
    <mergeCell ref="Q17:S17"/>
    <mergeCell ref="C18:J18"/>
    <mergeCell ref="K18:M18"/>
    <mergeCell ref="N18:P18"/>
    <mergeCell ref="Q18:S18"/>
    <mergeCell ref="C19:J19"/>
    <mergeCell ref="K19:M19"/>
    <mergeCell ref="N19:P19"/>
    <mergeCell ref="Q19:S19"/>
    <mergeCell ref="C20:J20"/>
    <mergeCell ref="K20:M20"/>
    <mergeCell ref="N20:P20"/>
    <mergeCell ref="Q20:S20"/>
    <mergeCell ref="C21:J21"/>
    <mergeCell ref="K21:M21"/>
    <mergeCell ref="N21:P21"/>
    <mergeCell ref="Q21:S21"/>
    <mergeCell ref="C22:J22"/>
    <mergeCell ref="K22:M22"/>
    <mergeCell ref="N22:P22"/>
    <mergeCell ref="Q22:S22"/>
    <mergeCell ref="Q27:S27"/>
    <mergeCell ref="V27:Z27"/>
    <mergeCell ref="Q23:S23"/>
    <mergeCell ref="B24:N24"/>
    <mergeCell ref="K25:M25"/>
    <mergeCell ref="Q25:S25"/>
    <mergeCell ref="V25:Z25"/>
    <mergeCell ref="B26:I26"/>
  </mergeCells>
  <dataValidations count="1">
    <dataValidation type="list" allowBlank="1" showInputMessage="1" showErrorMessage="1" sqref="B14:B22 IX14:IX22 ST14:ST22 ACP14:ACP22 AML14:AML22 AWH14:AWH22 BGD14:BGD22 BPZ14:BPZ22 BZV14:BZV22 CJR14:CJR22 CTN14:CTN22 DDJ14:DDJ22 DNF14:DNF22 DXB14:DXB22 EGX14:EGX22 EQT14:EQT22 FAP14:FAP22 FKL14:FKL22 FUH14:FUH22 GED14:GED22 GNZ14:GNZ22 GXV14:GXV22 HHR14:HHR22 HRN14:HRN22 IBJ14:IBJ22 ILF14:ILF22 IVB14:IVB22 JEX14:JEX22 JOT14:JOT22 JYP14:JYP22 KIL14:KIL22 KSH14:KSH22 LCD14:LCD22 LLZ14:LLZ22 LVV14:LVV22 MFR14:MFR22 MPN14:MPN22 MZJ14:MZJ22 NJF14:NJF22 NTB14:NTB22 OCX14:OCX22 OMT14:OMT22 OWP14:OWP22 PGL14:PGL22 PQH14:PQH22 QAD14:QAD22 QJZ14:QJZ22 QTV14:QTV22 RDR14:RDR22 RNN14:RNN22 RXJ14:RXJ22 SHF14:SHF22 SRB14:SRB22 TAX14:TAX22 TKT14:TKT22 TUP14:TUP22 UEL14:UEL22 UOH14:UOH22 UYD14:UYD22 VHZ14:VHZ22 VRV14:VRV22 WBR14:WBR22 WLN14:WLN22 WVJ14:WVJ22 B65550:B65558 IX65550:IX65558 ST65550:ST65558 ACP65550:ACP65558 AML65550:AML65558 AWH65550:AWH65558 BGD65550:BGD65558 BPZ65550:BPZ65558 BZV65550:BZV65558 CJR65550:CJR65558 CTN65550:CTN65558 DDJ65550:DDJ65558 DNF65550:DNF65558 DXB65550:DXB65558 EGX65550:EGX65558 EQT65550:EQT65558 FAP65550:FAP65558 FKL65550:FKL65558 FUH65550:FUH65558 GED65550:GED65558 GNZ65550:GNZ65558 GXV65550:GXV65558 HHR65550:HHR65558 HRN65550:HRN65558 IBJ65550:IBJ65558 ILF65550:ILF65558 IVB65550:IVB65558 JEX65550:JEX65558 JOT65550:JOT65558 JYP65550:JYP65558 KIL65550:KIL65558 KSH65550:KSH65558 LCD65550:LCD65558 LLZ65550:LLZ65558 LVV65550:LVV65558 MFR65550:MFR65558 MPN65550:MPN65558 MZJ65550:MZJ65558 NJF65550:NJF65558 NTB65550:NTB65558 OCX65550:OCX65558 OMT65550:OMT65558 OWP65550:OWP65558 PGL65550:PGL65558 PQH65550:PQH65558 QAD65550:QAD65558 QJZ65550:QJZ65558 QTV65550:QTV65558 RDR65550:RDR65558 RNN65550:RNN65558 RXJ65550:RXJ65558 SHF65550:SHF65558 SRB65550:SRB65558 TAX65550:TAX65558 TKT65550:TKT65558 TUP65550:TUP65558 UEL65550:UEL65558 UOH65550:UOH65558 UYD65550:UYD65558 VHZ65550:VHZ65558 VRV65550:VRV65558 WBR65550:WBR65558 WLN65550:WLN65558 WVJ65550:WVJ65558 B131086:B131094 IX131086:IX131094 ST131086:ST131094 ACP131086:ACP131094 AML131086:AML131094 AWH131086:AWH131094 BGD131086:BGD131094 BPZ131086:BPZ131094 BZV131086:BZV131094 CJR131086:CJR131094 CTN131086:CTN131094 DDJ131086:DDJ131094 DNF131086:DNF131094 DXB131086:DXB131094 EGX131086:EGX131094 EQT131086:EQT131094 FAP131086:FAP131094 FKL131086:FKL131094 FUH131086:FUH131094 GED131086:GED131094 GNZ131086:GNZ131094 GXV131086:GXV131094 HHR131086:HHR131094 HRN131086:HRN131094 IBJ131086:IBJ131094 ILF131086:ILF131094 IVB131086:IVB131094 JEX131086:JEX131094 JOT131086:JOT131094 JYP131086:JYP131094 KIL131086:KIL131094 KSH131086:KSH131094 LCD131086:LCD131094 LLZ131086:LLZ131094 LVV131086:LVV131094 MFR131086:MFR131094 MPN131086:MPN131094 MZJ131086:MZJ131094 NJF131086:NJF131094 NTB131086:NTB131094 OCX131086:OCX131094 OMT131086:OMT131094 OWP131086:OWP131094 PGL131086:PGL131094 PQH131086:PQH131094 QAD131086:QAD131094 QJZ131086:QJZ131094 QTV131086:QTV131094 RDR131086:RDR131094 RNN131086:RNN131094 RXJ131086:RXJ131094 SHF131086:SHF131094 SRB131086:SRB131094 TAX131086:TAX131094 TKT131086:TKT131094 TUP131086:TUP131094 UEL131086:UEL131094 UOH131086:UOH131094 UYD131086:UYD131094 VHZ131086:VHZ131094 VRV131086:VRV131094 WBR131086:WBR131094 WLN131086:WLN131094 WVJ131086:WVJ131094 B196622:B196630 IX196622:IX196630 ST196622:ST196630 ACP196622:ACP196630 AML196622:AML196630 AWH196622:AWH196630 BGD196622:BGD196630 BPZ196622:BPZ196630 BZV196622:BZV196630 CJR196622:CJR196630 CTN196622:CTN196630 DDJ196622:DDJ196630 DNF196622:DNF196630 DXB196622:DXB196630 EGX196622:EGX196630 EQT196622:EQT196630 FAP196622:FAP196630 FKL196622:FKL196630 FUH196622:FUH196630 GED196622:GED196630 GNZ196622:GNZ196630 GXV196622:GXV196630 HHR196622:HHR196630 HRN196622:HRN196630 IBJ196622:IBJ196630 ILF196622:ILF196630 IVB196622:IVB196630 JEX196622:JEX196630 JOT196622:JOT196630 JYP196622:JYP196630 KIL196622:KIL196630 KSH196622:KSH196630 LCD196622:LCD196630 LLZ196622:LLZ196630 LVV196622:LVV196630 MFR196622:MFR196630 MPN196622:MPN196630 MZJ196622:MZJ196630 NJF196622:NJF196630 NTB196622:NTB196630 OCX196622:OCX196630 OMT196622:OMT196630 OWP196622:OWP196630 PGL196622:PGL196630 PQH196622:PQH196630 QAD196622:QAD196630 QJZ196622:QJZ196630 QTV196622:QTV196630 RDR196622:RDR196630 RNN196622:RNN196630 RXJ196622:RXJ196630 SHF196622:SHF196630 SRB196622:SRB196630 TAX196622:TAX196630 TKT196622:TKT196630 TUP196622:TUP196630 UEL196622:UEL196630 UOH196622:UOH196630 UYD196622:UYD196630 VHZ196622:VHZ196630 VRV196622:VRV196630 WBR196622:WBR196630 WLN196622:WLN196630 WVJ196622:WVJ196630 B262158:B262166 IX262158:IX262166 ST262158:ST262166 ACP262158:ACP262166 AML262158:AML262166 AWH262158:AWH262166 BGD262158:BGD262166 BPZ262158:BPZ262166 BZV262158:BZV262166 CJR262158:CJR262166 CTN262158:CTN262166 DDJ262158:DDJ262166 DNF262158:DNF262166 DXB262158:DXB262166 EGX262158:EGX262166 EQT262158:EQT262166 FAP262158:FAP262166 FKL262158:FKL262166 FUH262158:FUH262166 GED262158:GED262166 GNZ262158:GNZ262166 GXV262158:GXV262166 HHR262158:HHR262166 HRN262158:HRN262166 IBJ262158:IBJ262166 ILF262158:ILF262166 IVB262158:IVB262166 JEX262158:JEX262166 JOT262158:JOT262166 JYP262158:JYP262166 KIL262158:KIL262166 KSH262158:KSH262166 LCD262158:LCD262166 LLZ262158:LLZ262166 LVV262158:LVV262166 MFR262158:MFR262166 MPN262158:MPN262166 MZJ262158:MZJ262166 NJF262158:NJF262166 NTB262158:NTB262166 OCX262158:OCX262166 OMT262158:OMT262166 OWP262158:OWP262166 PGL262158:PGL262166 PQH262158:PQH262166 QAD262158:QAD262166 QJZ262158:QJZ262166 QTV262158:QTV262166 RDR262158:RDR262166 RNN262158:RNN262166 RXJ262158:RXJ262166 SHF262158:SHF262166 SRB262158:SRB262166 TAX262158:TAX262166 TKT262158:TKT262166 TUP262158:TUP262166 UEL262158:UEL262166 UOH262158:UOH262166 UYD262158:UYD262166 VHZ262158:VHZ262166 VRV262158:VRV262166 WBR262158:WBR262166 WLN262158:WLN262166 WVJ262158:WVJ262166 B327694:B327702 IX327694:IX327702 ST327694:ST327702 ACP327694:ACP327702 AML327694:AML327702 AWH327694:AWH327702 BGD327694:BGD327702 BPZ327694:BPZ327702 BZV327694:BZV327702 CJR327694:CJR327702 CTN327694:CTN327702 DDJ327694:DDJ327702 DNF327694:DNF327702 DXB327694:DXB327702 EGX327694:EGX327702 EQT327694:EQT327702 FAP327694:FAP327702 FKL327694:FKL327702 FUH327694:FUH327702 GED327694:GED327702 GNZ327694:GNZ327702 GXV327694:GXV327702 HHR327694:HHR327702 HRN327694:HRN327702 IBJ327694:IBJ327702 ILF327694:ILF327702 IVB327694:IVB327702 JEX327694:JEX327702 JOT327694:JOT327702 JYP327694:JYP327702 KIL327694:KIL327702 KSH327694:KSH327702 LCD327694:LCD327702 LLZ327694:LLZ327702 LVV327694:LVV327702 MFR327694:MFR327702 MPN327694:MPN327702 MZJ327694:MZJ327702 NJF327694:NJF327702 NTB327694:NTB327702 OCX327694:OCX327702 OMT327694:OMT327702 OWP327694:OWP327702 PGL327694:PGL327702 PQH327694:PQH327702 QAD327694:QAD327702 QJZ327694:QJZ327702 QTV327694:QTV327702 RDR327694:RDR327702 RNN327694:RNN327702 RXJ327694:RXJ327702 SHF327694:SHF327702 SRB327694:SRB327702 TAX327694:TAX327702 TKT327694:TKT327702 TUP327694:TUP327702 UEL327694:UEL327702 UOH327694:UOH327702 UYD327694:UYD327702 VHZ327694:VHZ327702 VRV327694:VRV327702 WBR327694:WBR327702 WLN327694:WLN327702 WVJ327694:WVJ327702 B393230:B393238 IX393230:IX393238 ST393230:ST393238 ACP393230:ACP393238 AML393230:AML393238 AWH393230:AWH393238 BGD393230:BGD393238 BPZ393230:BPZ393238 BZV393230:BZV393238 CJR393230:CJR393238 CTN393230:CTN393238 DDJ393230:DDJ393238 DNF393230:DNF393238 DXB393230:DXB393238 EGX393230:EGX393238 EQT393230:EQT393238 FAP393230:FAP393238 FKL393230:FKL393238 FUH393230:FUH393238 GED393230:GED393238 GNZ393230:GNZ393238 GXV393230:GXV393238 HHR393230:HHR393238 HRN393230:HRN393238 IBJ393230:IBJ393238 ILF393230:ILF393238 IVB393230:IVB393238 JEX393230:JEX393238 JOT393230:JOT393238 JYP393230:JYP393238 KIL393230:KIL393238 KSH393230:KSH393238 LCD393230:LCD393238 LLZ393230:LLZ393238 LVV393230:LVV393238 MFR393230:MFR393238 MPN393230:MPN393238 MZJ393230:MZJ393238 NJF393230:NJF393238 NTB393230:NTB393238 OCX393230:OCX393238 OMT393230:OMT393238 OWP393230:OWP393238 PGL393230:PGL393238 PQH393230:PQH393238 QAD393230:QAD393238 QJZ393230:QJZ393238 QTV393230:QTV393238 RDR393230:RDR393238 RNN393230:RNN393238 RXJ393230:RXJ393238 SHF393230:SHF393238 SRB393230:SRB393238 TAX393230:TAX393238 TKT393230:TKT393238 TUP393230:TUP393238 UEL393230:UEL393238 UOH393230:UOH393238 UYD393230:UYD393238 VHZ393230:VHZ393238 VRV393230:VRV393238 WBR393230:WBR393238 WLN393230:WLN393238 WVJ393230:WVJ393238 B458766:B458774 IX458766:IX458774 ST458766:ST458774 ACP458766:ACP458774 AML458766:AML458774 AWH458766:AWH458774 BGD458766:BGD458774 BPZ458766:BPZ458774 BZV458766:BZV458774 CJR458766:CJR458774 CTN458766:CTN458774 DDJ458766:DDJ458774 DNF458766:DNF458774 DXB458766:DXB458774 EGX458766:EGX458774 EQT458766:EQT458774 FAP458766:FAP458774 FKL458766:FKL458774 FUH458766:FUH458774 GED458766:GED458774 GNZ458766:GNZ458774 GXV458766:GXV458774 HHR458766:HHR458774 HRN458766:HRN458774 IBJ458766:IBJ458774 ILF458766:ILF458774 IVB458766:IVB458774 JEX458766:JEX458774 JOT458766:JOT458774 JYP458766:JYP458774 KIL458766:KIL458774 KSH458766:KSH458774 LCD458766:LCD458774 LLZ458766:LLZ458774 LVV458766:LVV458774 MFR458766:MFR458774 MPN458766:MPN458774 MZJ458766:MZJ458774 NJF458766:NJF458774 NTB458766:NTB458774 OCX458766:OCX458774 OMT458766:OMT458774 OWP458766:OWP458774 PGL458766:PGL458774 PQH458766:PQH458774 QAD458766:QAD458774 QJZ458766:QJZ458774 QTV458766:QTV458774 RDR458766:RDR458774 RNN458766:RNN458774 RXJ458766:RXJ458774 SHF458766:SHF458774 SRB458766:SRB458774 TAX458766:TAX458774 TKT458766:TKT458774 TUP458766:TUP458774 UEL458766:UEL458774 UOH458766:UOH458774 UYD458766:UYD458774 VHZ458766:VHZ458774 VRV458766:VRV458774 WBR458766:WBR458774 WLN458766:WLN458774 WVJ458766:WVJ458774 B524302:B524310 IX524302:IX524310 ST524302:ST524310 ACP524302:ACP524310 AML524302:AML524310 AWH524302:AWH524310 BGD524302:BGD524310 BPZ524302:BPZ524310 BZV524302:BZV524310 CJR524302:CJR524310 CTN524302:CTN524310 DDJ524302:DDJ524310 DNF524302:DNF524310 DXB524302:DXB524310 EGX524302:EGX524310 EQT524302:EQT524310 FAP524302:FAP524310 FKL524302:FKL524310 FUH524302:FUH524310 GED524302:GED524310 GNZ524302:GNZ524310 GXV524302:GXV524310 HHR524302:HHR524310 HRN524302:HRN524310 IBJ524302:IBJ524310 ILF524302:ILF524310 IVB524302:IVB524310 JEX524302:JEX524310 JOT524302:JOT524310 JYP524302:JYP524310 KIL524302:KIL524310 KSH524302:KSH524310 LCD524302:LCD524310 LLZ524302:LLZ524310 LVV524302:LVV524310 MFR524302:MFR524310 MPN524302:MPN524310 MZJ524302:MZJ524310 NJF524302:NJF524310 NTB524302:NTB524310 OCX524302:OCX524310 OMT524302:OMT524310 OWP524302:OWP524310 PGL524302:PGL524310 PQH524302:PQH524310 QAD524302:QAD524310 QJZ524302:QJZ524310 QTV524302:QTV524310 RDR524302:RDR524310 RNN524302:RNN524310 RXJ524302:RXJ524310 SHF524302:SHF524310 SRB524302:SRB524310 TAX524302:TAX524310 TKT524302:TKT524310 TUP524302:TUP524310 UEL524302:UEL524310 UOH524302:UOH524310 UYD524302:UYD524310 VHZ524302:VHZ524310 VRV524302:VRV524310 WBR524302:WBR524310 WLN524302:WLN524310 WVJ524302:WVJ524310 B589838:B589846 IX589838:IX589846 ST589838:ST589846 ACP589838:ACP589846 AML589838:AML589846 AWH589838:AWH589846 BGD589838:BGD589846 BPZ589838:BPZ589846 BZV589838:BZV589846 CJR589838:CJR589846 CTN589838:CTN589846 DDJ589838:DDJ589846 DNF589838:DNF589846 DXB589838:DXB589846 EGX589838:EGX589846 EQT589838:EQT589846 FAP589838:FAP589846 FKL589838:FKL589846 FUH589838:FUH589846 GED589838:GED589846 GNZ589838:GNZ589846 GXV589838:GXV589846 HHR589838:HHR589846 HRN589838:HRN589846 IBJ589838:IBJ589846 ILF589838:ILF589846 IVB589838:IVB589846 JEX589838:JEX589846 JOT589838:JOT589846 JYP589838:JYP589846 KIL589838:KIL589846 KSH589838:KSH589846 LCD589838:LCD589846 LLZ589838:LLZ589846 LVV589838:LVV589846 MFR589838:MFR589846 MPN589838:MPN589846 MZJ589838:MZJ589846 NJF589838:NJF589846 NTB589838:NTB589846 OCX589838:OCX589846 OMT589838:OMT589846 OWP589838:OWP589846 PGL589838:PGL589846 PQH589838:PQH589846 QAD589838:QAD589846 QJZ589838:QJZ589846 QTV589838:QTV589846 RDR589838:RDR589846 RNN589838:RNN589846 RXJ589838:RXJ589846 SHF589838:SHF589846 SRB589838:SRB589846 TAX589838:TAX589846 TKT589838:TKT589846 TUP589838:TUP589846 UEL589838:UEL589846 UOH589838:UOH589846 UYD589838:UYD589846 VHZ589838:VHZ589846 VRV589838:VRV589846 WBR589838:WBR589846 WLN589838:WLN589846 WVJ589838:WVJ589846 B655374:B655382 IX655374:IX655382 ST655374:ST655382 ACP655374:ACP655382 AML655374:AML655382 AWH655374:AWH655382 BGD655374:BGD655382 BPZ655374:BPZ655382 BZV655374:BZV655382 CJR655374:CJR655382 CTN655374:CTN655382 DDJ655374:DDJ655382 DNF655374:DNF655382 DXB655374:DXB655382 EGX655374:EGX655382 EQT655374:EQT655382 FAP655374:FAP655382 FKL655374:FKL655382 FUH655374:FUH655382 GED655374:GED655382 GNZ655374:GNZ655382 GXV655374:GXV655382 HHR655374:HHR655382 HRN655374:HRN655382 IBJ655374:IBJ655382 ILF655374:ILF655382 IVB655374:IVB655382 JEX655374:JEX655382 JOT655374:JOT655382 JYP655374:JYP655382 KIL655374:KIL655382 KSH655374:KSH655382 LCD655374:LCD655382 LLZ655374:LLZ655382 LVV655374:LVV655382 MFR655374:MFR655382 MPN655374:MPN655382 MZJ655374:MZJ655382 NJF655374:NJF655382 NTB655374:NTB655382 OCX655374:OCX655382 OMT655374:OMT655382 OWP655374:OWP655382 PGL655374:PGL655382 PQH655374:PQH655382 QAD655374:QAD655382 QJZ655374:QJZ655382 QTV655374:QTV655382 RDR655374:RDR655382 RNN655374:RNN655382 RXJ655374:RXJ655382 SHF655374:SHF655382 SRB655374:SRB655382 TAX655374:TAX655382 TKT655374:TKT655382 TUP655374:TUP655382 UEL655374:UEL655382 UOH655374:UOH655382 UYD655374:UYD655382 VHZ655374:VHZ655382 VRV655374:VRV655382 WBR655374:WBR655382 WLN655374:WLN655382 WVJ655374:WVJ655382 B720910:B720918 IX720910:IX720918 ST720910:ST720918 ACP720910:ACP720918 AML720910:AML720918 AWH720910:AWH720918 BGD720910:BGD720918 BPZ720910:BPZ720918 BZV720910:BZV720918 CJR720910:CJR720918 CTN720910:CTN720918 DDJ720910:DDJ720918 DNF720910:DNF720918 DXB720910:DXB720918 EGX720910:EGX720918 EQT720910:EQT720918 FAP720910:FAP720918 FKL720910:FKL720918 FUH720910:FUH720918 GED720910:GED720918 GNZ720910:GNZ720918 GXV720910:GXV720918 HHR720910:HHR720918 HRN720910:HRN720918 IBJ720910:IBJ720918 ILF720910:ILF720918 IVB720910:IVB720918 JEX720910:JEX720918 JOT720910:JOT720918 JYP720910:JYP720918 KIL720910:KIL720918 KSH720910:KSH720918 LCD720910:LCD720918 LLZ720910:LLZ720918 LVV720910:LVV720918 MFR720910:MFR720918 MPN720910:MPN720918 MZJ720910:MZJ720918 NJF720910:NJF720918 NTB720910:NTB720918 OCX720910:OCX720918 OMT720910:OMT720918 OWP720910:OWP720918 PGL720910:PGL720918 PQH720910:PQH720918 QAD720910:QAD720918 QJZ720910:QJZ720918 QTV720910:QTV720918 RDR720910:RDR720918 RNN720910:RNN720918 RXJ720910:RXJ720918 SHF720910:SHF720918 SRB720910:SRB720918 TAX720910:TAX720918 TKT720910:TKT720918 TUP720910:TUP720918 UEL720910:UEL720918 UOH720910:UOH720918 UYD720910:UYD720918 VHZ720910:VHZ720918 VRV720910:VRV720918 WBR720910:WBR720918 WLN720910:WLN720918 WVJ720910:WVJ720918 B786446:B786454 IX786446:IX786454 ST786446:ST786454 ACP786446:ACP786454 AML786446:AML786454 AWH786446:AWH786454 BGD786446:BGD786454 BPZ786446:BPZ786454 BZV786446:BZV786454 CJR786446:CJR786454 CTN786446:CTN786454 DDJ786446:DDJ786454 DNF786446:DNF786454 DXB786446:DXB786454 EGX786446:EGX786454 EQT786446:EQT786454 FAP786446:FAP786454 FKL786446:FKL786454 FUH786446:FUH786454 GED786446:GED786454 GNZ786446:GNZ786454 GXV786446:GXV786454 HHR786446:HHR786454 HRN786446:HRN786454 IBJ786446:IBJ786454 ILF786446:ILF786454 IVB786446:IVB786454 JEX786446:JEX786454 JOT786446:JOT786454 JYP786446:JYP786454 KIL786446:KIL786454 KSH786446:KSH786454 LCD786446:LCD786454 LLZ786446:LLZ786454 LVV786446:LVV786454 MFR786446:MFR786454 MPN786446:MPN786454 MZJ786446:MZJ786454 NJF786446:NJF786454 NTB786446:NTB786454 OCX786446:OCX786454 OMT786446:OMT786454 OWP786446:OWP786454 PGL786446:PGL786454 PQH786446:PQH786454 QAD786446:QAD786454 QJZ786446:QJZ786454 QTV786446:QTV786454 RDR786446:RDR786454 RNN786446:RNN786454 RXJ786446:RXJ786454 SHF786446:SHF786454 SRB786446:SRB786454 TAX786446:TAX786454 TKT786446:TKT786454 TUP786446:TUP786454 UEL786446:UEL786454 UOH786446:UOH786454 UYD786446:UYD786454 VHZ786446:VHZ786454 VRV786446:VRV786454 WBR786446:WBR786454 WLN786446:WLN786454 WVJ786446:WVJ786454 B851982:B851990 IX851982:IX851990 ST851982:ST851990 ACP851982:ACP851990 AML851982:AML851990 AWH851982:AWH851990 BGD851982:BGD851990 BPZ851982:BPZ851990 BZV851982:BZV851990 CJR851982:CJR851990 CTN851982:CTN851990 DDJ851982:DDJ851990 DNF851982:DNF851990 DXB851982:DXB851990 EGX851982:EGX851990 EQT851982:EQT851990 FAP851982:FAP851990 FKL851982:FKL851990 FUH851982:FUH851990 GED851982:GED851990 GNZ851982:GNZ851990 GXV851982:GXV851990 HHR851982:HHR851990 HRN851982:HRN851990 IBJ851982:IBJ851990 ILF851982:ILF851990 IVB851982:IVB851990 JEX851982:JEX851990 JOT851982:JOT851990 JYP851982:JYP851990 KIL851982:KIL851990 KSH851982:KSH851990 LCD851982:LCD851990 LLZ851982:LLZ851990 LVV851982:LVV851990 MFR851982:MFR851990 MPN851982:MPN851990 MZJ851982:MZJ851990 NJF851982:NJF851990 NTB851982:NTB851990 OCX851982:OCX851990 OMT851982:OMT851990 OWP851982:OWP851990 PGL851982:PGL851990 PQH851982:PQH851990 QAD851982:QAD851990 QJZ851982:QJZ851990 QTV851982:QTV851990 RDR851982:RDR851990 RNN851982:RNN851990 RXJ851982:RXJ851990 SHF851982:SHF851990 SRB851982:SRB851990 TAX851982:TAX851990 TKT851982:TKT851990 TUP851982:TUP851990 UEL851982:UEL851990 UOH851982:UOH851990 UYD851982:UYD851990 VHZ851982:VHZ851990 VRV851982:VRV851990 WBR851982:WBR851990 WLN851982:WLN851990 WVJ851982:WVJ851990 B917518:B917526 IX917518:IX917526 ST917518:ST917526 ACP917518:ACP917526 AML917518:AML917526 AWH917518:AWH917526 BGD917518:BGD917526 BPZ917518:BPZ917526 BZV917518:BZV917526 CJR917518:CJR917526 CTN917518:CTN917526 DDJ917518:DDJ917526 DNF917518:DNF917526 DXB917518:DXB917526 EGX917518:EGX917526 EQT917518:EQT917526 FAP917518:FAP917526 FKL917518:FKL917526 FUH917518:FUH917526 GED917518:GED917526 GNZ917518:GNZ917526 GXV917518:GXV917526 HHR917518:HHR917526 HRN917518:HRN917526 IBJ917518:IBJ917526 ILF917518:ILF917526 IVB917518:IVB917526 JEX917518:JEX917526 JOT917518:JOT917526 JYP917518:JYP917526 KIL917518:KIL917526 KSH917518:KSH917526 LCD917518:LCD917526 LLZ917518:LLZ917526 LVV917518:LVV917526 MFR917518:MFR917526 MPN917518:MPN917526 MZJ917518:MZJ917526 NJF917518:NJF917526 NTB917518:NTB917526 OCX917518:OCX917526 OMT917518:OMT917526 OWP917518:OWP917526 PGL917518:PGL917526 PQH917518:PQH917526 QAD917518:QAD917526 QJZ917518:QJZ917526 QTV917518:QTV917526 RDR917518:RDR917526 RNN917518:RNN917526 RXJ917518:RXJ917526 SHF917518:SHF917526 SRB917518:SRB917526 TAX917518:TAX917526 TKT917518:TKT917526 TUP917518:TUP917526 UEL917518:UEL917526 UOH917518:UOH917526 UYD917518:UYD917526 VHZ917518:VHZ917526 VRV917518:VRV917526 WBR917518:WBR917526 WLN917518:WLN917526 WVJ917518:WVJ917526 B983054:B983062 IX983054:IX983062 ST983054:ST983062 ACP983054:ACP983062 AML983054:AML983062 AWH983054:AWH983062 BGD983054:BGD983062 BPZ983054:BPZ983062 BZV983054:BZV983062 CJR983054:CJR983062 CTN983054:CTN983062 DDJ983054:DDJ983062 DNF983054:DNF983062 DXB983054:DXB983062 EGX983054:EGX983062 EQT983054:EQT983062 FAP983054:FAP983062 FKL983054:FKL983062 FUH983054:FUH983062 GED983054:GED983062 GNZ983054:GNZ983062 GXV983054:GXV983062 HHR983054:HHR983062 HRN983054:HRN983062 IBJ983054:IBJ983062 ILF983054:ILF983062 IVB983054:IVB983062 JEX983054:JEX983062 JOT983054:JOT983062 JYP983054:JYP983062 KIL983054:KIL983062 KSH983054:KSH983062 LCD983054:LCD983062 LLZ983054:LLZ983062 LVV983054:LVV983062 MFR983054:MFR983062 MPN983054:MPN983062 MZJ983054:MZJ983062 NJF983054:NJF983062 NTB983054:NTB983062 OCX983054:OCX983062 OMT983054:OMT983062 OWP983054:OWP983062 PGL983054:PGL983062 PQH983054:PQH983062 QAD983054:QAD983062 QJZ983054:QJZ983062 QTV983054:QTV983062 RDR983054:RDR983062 RNN983054:RNN983062 RXJ983054:RXJ983062 SHF983054:SHF983062 SRB983054:SRB983062 TAX983054:TAX983062 TKT983054:TKT983062 TUP983054:TUP983062 UEL983054:UEL983062 UOH983054:UOH983062 UYD983054:UYD983062 VHZ983054:VHZ983062 VRV983054:VRV983062 WBR983054:WBR983062 WLN983054:WLN983062 WVJ983054:WVJ983062" xr:uid="{443B227B-6A6B-426E-8171-09C979AA08B1}">
      <formula1>$A$31:$A$71</formula1>
    </dataValidation>
  </dataValidations>
  <printOptions horizontalCentered="1"/>
  <pageMargins left="0.74803149606299213" right="0.70866141732283472" top="0.74803149606299213" bottom="0.9055118110236221" header="0.39370078740157483" footer="0.39370078740157483"/>
  <pageSetup paperSize="9" scale="94" orientation="portrait" r:id="rId1"/>
  <headerFooter scaleWithDoc="0" alignWithMargins="0">
    <oddHeader xml:space="preserve">&amp;L&amp;"-,Regular"&amp;8&amp;F&amp;R&amp;"-,Regular"&amp;8&amp;A
__________________________________________________________________________________________________
</oddHeader>
    <oddFooter>&amp;L&amp;"-,Regular"&amp;8__________________________________________________________________________________________
NZ Transport Agency’s Economic evaluation manual 
Effective from Jul 2013</oddFooter>
  </headerFooter>
  <drawing r:id="rId2"/>
  <legacyDrawing r:id="rId3"/>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2811EC-C2BB-47C6-8C98-411D956B8C45}">
  <sheetPr codeName="Sheet10">
    <pageSetUpPr fitToPage="1"/>
  </sheetPr>
  <dimension ref="A1:V86"/>
  <sheetViews>
    <sheetView zoomScale="110" zoomScaleNormal="110" workbookViewId="0"/>
  </sheetViews>
  <sheetFormatPr defaultRowHeight="12.6"/>
  <cols>
    <col min="1" max="1" width="2.09765625" style="217" customWidth="1"/>
    <col min="2" max="9" width="3.8984375" style="217" customWidth="1"/>
    <col min="10" max="14" width="10.59765625" style="275" customWidth="1"/>
    <col min="15" max="15" width="1.8984375" style="217" customWidth="1"/>
    <col min="16" max="16" width="4.8984375" style="217" customWidth="1"/>
    <col min="17" max="17" width="9.19921875" style="217" customWidth="1"/>
    <col min="18" max="18" width="26.69921875" style="217" customWidth="1"/>
    <col min="19" max="21" width="13.59765625" style="217" customWidth="1"/>
    <col min="22" max="22" width="22.3984375" style="217" customWidth="1"/>
    <col min="23" max="256" width="9" style="217"/>
    <col min="257" max="257" width="2.09765625" style="217" customWidth="1"/>
    <col min="258" max="265" width="3.8984375" style="217" customWidth="1"/>
    <col min="266" max="270" width="10.59765625" style="217" customWidth="1"/>
    <col min="271" max="271" width="1.8984375" style="217" customWidth="1"/>
    <col min="272" max="272" width="4.8984375" style="217" customWidth="1"/>
    <col min="273" max="273" width="9.19921875" style="217" customWidth="1"/>
    <col min="274" max="274" width="26.69921875" style="217" customWidth="1"/>
    <col min="275" max="277" width="13.59765625" style="217" customWidth="1"/>
    <col min="278" max="278" width="17.3984375" style="217" bestFit="1" customWidth="1"/>
    <col min="279" max="512" width="9" style="217"/>
    <col min="513" max="513" width="2.09765625" style="217" customWidth="1"/>
    <col min="514" max="521" width="3.8984375" style="217" customWidth="1"/>
    <col min="522" max="526" width="10.59765625" style="217" customWidth="1"/>
    <col min="527" max="527" width="1.8984375" style="217" customWidth="1"/>
    <col min="528" max="528" width="4.8984375" style="217" customWidth="1"/>
    <col min="529" max="529" width="9.19921875" style="217" customWidth="1"/>
    <col min="530" max="530" width="26.69921875" style="217" customWidth="1"/>
    <col min="531" max="533" width="13.59765625" style="217" customWidth="1"/>
    <col min="534" max="534" width="17.3984375" style="217" bestFit="1" customWidth="1"/>
    <col min="535" max="768" width="9" style="217"/>
    <col min="769" max="769" width="2.09765625" style="217" customWidth="1"/>
    <col min="770" max="777" width="3.8984375" style="217" customWidth="1"/>
    <col min="778" max="782" width="10.59765625" style="217" customWidth="1"/>
    <col min="783" max="783" width="1.8984375" style="217" customWidth="1"/>
    <col min="784" max="784" width="4.8984375" style="217" customWidth="1"/>
    <col min="785" max="785" width="9.19921875" style="217" customWidth="1"/>
    <col min="786" max="786" width="26.69921875" style="217" customWidth="1"/>
    <col min="787" max="789" width="13.59765625" style="217" customWidth="1"/>
    <col min="790" max="790" width="17.3984375" style="217" bestFit="1" customWidth="1"/>
    <col min="791" max="1024" width="9" style="217"/>
    <col min="1025" max="1025" width="2.09765625" style="217" customWidth="1"/>
    <col min="1026" max="1033" width="3.8984375" style="217" customWidth="1"/>
    <col min="1034" max="1038" width="10.59765625" style="217" customWidth="1"/>
    <col min="1039" max="1039" width="1.8984375" style="217" customWidth="1"/>
    <col min="1040" max="1040" width="4.8984375" style="217" customWidth="1"/>
    <col min="1041" max="1041" width="9.19921875" style="217" customWidth="1"/>
    <col min="1042" max="1042" width="26.69921875" style="217" customWidth="1"/>
    <col min="1043" max="1045" width="13.59765625" style="217" customWidth="1"/>
    <col min="1046" max="1046" width="17.3984375" style="217" bestFit="1" customWidth="1"/>
    <col min="1047" max="1280" width="9" style="217"/>
    <col min="1281" max="1281" width="2.09765625" style="217" customWidth="1"/>
    <col min="1282" max="1289" width="3.8984375" style="217" customWidth="1"/>
    <col min="1290" max="1294" width="10.59765625" style="217" customWidth="1"/>
    <col min="1295" max="1295" width="1.8984375" style="217" customWidth="1"/>
    <col min="1296" max="1296" width="4.8984375" style="217" customWidth="1"/>
    <col min="1297" max="1297" width="9.19921875" style="217" customWidth="1"/>
    <col min="1298" max="1298" width="26.69921875" style="217" customWidth="1"/>
    <col min="1299" max="1301" width="13.59765625" style="217" customWidth="1"/>
    <col min="1302" max="1302" width="17.3984375" style="217" bestFit="1" customWidth="1"/>
    <col min="1303" max="1536" width="9" style="217"/>
    <col min="1537" max="1537" width="2.09765625" style="217" customWidth="1"/>
    <col min="1538" max="1545" width="3.8984375" style="217" customWidth="1"/>
    <col min="1546" max="1550" width="10.59765625" style="217" customWidth="1"/>
    <col min="1551" max="1551" width="1.8984375" style="217" customWidth="1"/>
    <col min="1552" max="1552" width="4.8984375" style="217" customWidth="1"/>
    <col min="1553" max="1553" width="9.19921875" style="217" customWidth="1"/>
    <col min="1554" max="1554" width="26.69921875" style="217" customWidth="1"/>
    <col min="1555" max="1557" width="13.59765625" style="217" customWidth="1"/>
    <col min="1558" max="1558" width="17.3984375" style="217" bestFit="1" customWidth="1"/>
    <col min="1559" max="1792" width="9" style="217"/>
    <col min="1793" max="1793" width="2.09765625" style="217" customWidth="1"/>
    <col min="1794" max="1801" width="3.8984375" style="217" customWidth="1"/>
    <col min="1802" max="1806" width="10.59765625" style="217" customWidth="1"/>
    <col min="1807" max="1807" width="1.8984375" style="217" customWidth="1"/>
    <col min="1808" max="1808" width="4.8984375" style="217" customWidth="1"/>
    <col min="1809" max="1809" width="9.19921875" style="217" customWidth="1"/>
    <col min="1810" max="1810" width="26.69921875" style="217" customWidth="1"/>
    <col min="1811" max="1813" width="13.59765625" style="217" customWidth="1"/>
    <col min="1814" max="1814" width="17.3984375" style="217" bestFit="1" customWidth="1"/>
    <col min="1815" max="2048" width="9" style="217"/>
    <col min="2049" max="2049" width="2.09765625" style="217" customWidth="1"/>
    <col min="2050" max="2057" width="3.8984375" style="217" customWidth="1"/>
    <col min="2058" max="2062" width="10.59765625" style="217" customWidth="1"/>
    <col min="2063" max="2063" width="1.8984375" style="217" customWidth="1"/>
    <col min="2064" max="2064" width="4.8984375" style="217" customWidth="1"/>
    <col min="2065" max="2065" width="9.19921875" style="217" customWidth="1"/>
    <col min="2066" max="2066" width="26.69921875" style="217" customWidth="1"/>
    <col min="2067" max="2069" width="13.59765625" style="217" customWidth="1"/>
    <col min="2070" max="2070" width="17.3984375" style="217" bestFit="1" customWidth="1"/>
    <col min="2071" max="2304" width="9" style="217"/>
    <col min="2305" max="2305" width="2.09765625" style="217" customWidth="1"/>
    <col min="2306" max="2313" width="3.8984375" style="217" customWidth="1"/>
    <col min="2314" max="2318" width="10.59765625" style="217" customWidth="1"/>
    <col min="2319" max="2319" width="1.8984375" style="217" customWidth="1"/>
    <col min="2320" max="2320" width="4.8984375" style="217" customWidth="1"/>
    <col min="2321" max="2321" width="9.19921875" style="217" customWidth="1"/>
    <col min="2322" max="2322" width="26.69921875" style="217" customWidth="1"/>
    <col min="2323" max="2325" width="13.59765625" style="217" customWidth="1"/>
    <col min="2326" max="2326" width="17.3984375" style="217" bestFit="1" customWidth="1"/>
    <col min="2327" max="2560" width="9" style="217"/>
    <col min="2561" max="2561" width="2.09765625" style="217" customWidth="1"/>
    <col min="2562" max="2569" width="3.8984375" style="217" customWidth="1"/>
    <col min="2570" max="2574" width="10.59765625" style="217" customWidth="1"/>
    <col min="2575" max="2575" width="1.8984375" style="217" customWidth="1"/>
    <col min="2576" max="2576" width="4.8984375" style="217" customWidth="1"/>
    <col min="2577" max="2577" width="9.19921875" style="217" customWidth="1"/>
    <col min="2578" max="2578" width="26.69921875" style="217" customWidth="1"/>
    <col min="2579" max="2581" width="13.59765625" style="217" customWidth="1"/>
    <col min="2582" max="2582" width="17.3984375" style="217" bestFit="1" customWidth="1"/>
    <col min="2583" max="2816" width="9" style="217"/>
    <col min="2817" max="2817" width="2.09765625" style="217" customWidth="1"/>
    <col min="2818" max="2825" width="3.8984375" style="217" customWidth="1"/>
    <col min="2826" max="2830" width="10.59765625" style="217" customWidth="1"/>
    <col min="2831" max="2831" width="1.8984375" style="217" customWidth="1"/>
    <col min="2832" max="2832" width="4.8984375" style="217" customWidth="1"/>
    <col min="2833" max="2833" width="9.19921875" style="217" customWidth="1"/>
    <col min="2834" max="2834" width="26.69921875" style="217" customWidth="1"/>
    <col min="2835" max="2837" width="13.59765625" style="217" customWidth="1"/>
    <col min="2838" max="2838" width="17.3984375" style="217" bestFit="1" customWidth="1"/>
    <col min="2839" max="3072" width="9" style="217"/>
    <col min="3073" max="3073" width="2.09765625" style="217" customWidth="1"/>
    <col min="3074" max="3081" width="3.8984375" style="217" customWidth="1"/>
    <col min="3082" max="3086" width="10.59765625" style="217" customWidth="1"/>
    <col min="3087" max="3087" width="1.8984375" style="217" customWidth="1"/>
    <col min="3088" max="3088" width="4.8984375" style="217" customWidth="1"/>
    <col min="3089" max="3089" width="9.19921875" style="217" customWidth="1"/>
    <col min="3090" max="3090" width="26.69921875" style="217" customWidth="1"/>
    <col min="3091" max="3093" width="13.59765625" style="217" customWidth="1"/>
    <col min="3094" max="3094" width="17.3984375" style="217" bestFit="1" customWidth="1"/>
    <col min="3095" max="3328" width="9" style="217"/>
    <col min="3329" max="3329" width="2.09765625" style="217" customWidth="1"/>
    <col min="3330" max="3337" width="3.8984375" style="217" customWidth="1"/>
    <col min="3338" max="3342" width="10.59765625" style="217" customWidth="1"/>
    <col min="3343" max="3343" width="1.8984375" style="217" customWidth="1"/>
    <col min="3344" max="3344" width="4.8984375" style="217" customWidth="1"/>
    <col min="3345" max="3345" width="9.19921875" style="217" customWidth="1"/>
    <col min="3346" max="3346" width="26.69921875" style="217" customWidth="1"/>
    <col min="3347" max="3349" width="13.59765625" style="217" customWidth="1"/>
    <col min="3350" max="3350" width="17.3984375" style="217" bestFit="1" customWidth="1"/>
    <col min="3351" max="3584" width="9" style="217"/>
    <col min="3585" max="3585" width="2.09765625" style="217" customWidth="1"/>
    <col min="3586" max="3593" width="3.8984375" style="217" customWidth="1"/>
    <col min="3594" max="3598" width="10.59765625" style="217" customWidth="1"/>
    <col min="3599" max="3599" width="1.8984375" style="217" customWidth="1"/>
    <col min="3600" max="3600" width="4.8984375" style="217" customWidth="1"/>
    <col min="3601" max="3601" width="9.19921875" style="217" customWidth="1"/>
    <col min="3602" max="3602" width="26.69921875" style="217" customWidth="1"/>
    <col min="3603" max="3605" width="13.59765625" style="217" customWidth="1"/>
    <col min="3606" max="3606" width="17.3984375" style="217" bestFit="1" customWidth="1"/>
    <col min="3607" max="3840" width="9" style="217"/>
    <col min="3841" max="3841" width="2.09765625" style="217" customWidth="1"/>
    <col min="3842" max="3849" width="3.8984375" style="217" customWidth="1"/>
    <col min="3850" max="3854" width="10.59765625" style="217" customWidth="1"/>
    <col min="3855" max="3855" width="1.8984375" style="217" customWidth="1"/>
    <col min="3856" max="3856" width="4.8984375" style="217" customWidth="1"/>
    <col min="3857" max="3857" width="9.19921875" style="217" customWidth="1"/>
    <col min="3858" max="3858" width="26.69921875" style="217" customWidth="1"/>
    <col min="3859" max="3861" width="13.59765625" style="217" customWidth="1"/>
    <col min="3862" max="3862" width="17.3984375" style="217" bestFit="1" customWidth="1"/>
    <col min="3863" max="4096" width="9" style="217"/>
    <col min="4097" max="4097" width="2.09765625" style="217" customWidth="1"/>
    <col min="4098" max="4105" width="3.8984375" style="217" customWidth="1"/>
    <col min="4106" max="4110" width="10.59765625" style="217" customWidth="1"/>
    <col min="4111" max="4111" width="1.8984375" style="217" customWidth="1"/>
    <col min="4112" max="4112" width="4.8984375" style="217" customWidth="1"/>
    <col min="4113" max="4113" width="9.19921875" style="217" customWidth="1"/>
    <col min="4114" max="4114" width="26.69921875" style="217" customWidth="1"/>
    <col min="4115" max="4117" width="13.59765625" style="217" customWidth="1"/>
    <col min="4118" max="4118" width="17.3984375" style="217" bestFit="1" customWidth="1"/>
    <col min="4119" max="4352" width="9" style="217"/>
    <col min="4353" max="4353" width="2.09765625" style="217" customWidth="1"/>
    <col min="4354" max="4361" width="3.8984375" style="217" customWidth="1"/>
    <col min="4362" max="4366" width="10.59765625" style="217" customWidth="1"/>
    <col min="4367" max="4367" width="1.8984375" style="217" customWidth="1"/>
    <col min="4368" max="4368" width="4.8984375" style="217" customWidth="1"/>
    <col min="4369" max="4369" width="9.19921875" style="217" customWidth="1"/>
    <col min="4370" max="4370" width="26.69921875" style="217" customWidth="1"/>
    <col min="4371" max="4373" width="13.59765625" style="217" customWidth="1"/>
    <col min="4374" max="4374" width="17.3984375" style="217" bestFit="1" customWidth="1"/>
    <col min="4375" max="4608" width="9" style="217"/>
    <col min="4609" max="4609" width="2.09765625" style="217" customWidth="1"/>
    <col min="4610" max="4617" width="3.8984375" style="217" customWidth="1"/>
    <col min="4618" max="4622" width="10.59765625" style="217" customWidth="1"/>
    <col min="4623" max="4623" width="1.8984375" style="217" customWidth="1"/>
    <col min="4624" max="4624" width="4.8984375" style="217" customWidth="1"/>
    <col min="4625" max="4625" width="9.19921875" style="217" customWidth="1"/>
    <col min="4626" max="4626" width="26.69921875" style="217" customWidth="1"/>
    <col min="4627" max="4629" width="13.59765625" style="217" customWidth="1"/>
    <col min="4630" max="4630" width="17.3984375" style="217" bestFit="1" customWidth="1"/>
    <col min="4631" max="4864" width="9" style="217"/>
    <col min="4865" max="4865" width="2.09765625" style="217" customWidth="1"/>
    <col min="4866" max="4873" width="3.8984375" style="217" customWidth="1"/>
    <col min="4874" max="4878" width="10.59765625" style="217" customWidth="1"/>
    <col min="4879" max="4879" width="1.8984375" style="217" customWidth="1"/>
    <col min="4880" max="4880" width="4.8984375" style="217" customWidth="1"/>
    <col min="4881" max="4881" width="9.19921875" style="217" customWidth="1"/>
    <col min="4882" max="4882" width="26.69921875" style="217" customWidth="1"/>
    <col min="4883" max="4885" width="13.59765625" style="217" customWidth="1"/>
    <col min="4886" max="4886" width="17.3984375" style="217" bestFit="1" customWidth="1"/>
    <col min="4887" max="5120" width="9" style="217"/>
    <col min="5121" max="5121" width="2.09765625" style="217" customWidth="1"/>
    <col min="5122" max="5129" width="3.8984375" style="217" customWidth="1"/>
    <col min="5130" max="5134" width="10.59765625" style="217" customWidth="1"/>
    <col min="5135" max="5135" width="1.8984375" style="217" customWidth="1"/>
    <col min="5136" max="5136" width="4.8984375" style="217" customWidth="1"/>
    <col min="5137" max="5137" width="9.19921875" style="217" customWidth="1"/>
    <col min="5138" max="5138" width="26.69921875" style="217" customWidth="1"/>
    <col min="5139" max="5141" width="13.59765625" style="217" customWidth="1"/>
    <col min="5142" max="5142" width="17.3984375" style="217" bestFit="1" customWidth="1"/>
    <col min="5143" max="5376" width="9" style="217"/>
    <col min="5377" max="5377" width="2.09765625" style="217" customWidth="1"/>
    <col min="5378" max="5385" width="3.8984375" style="217" customWidth="1"/>
    <col min="5386" max="5390" width="10.59765625" style="217" customWidth="1"/>
    <col min="5391" max="5391" width="1.8984375" style="217" customWidth="1"/>
    <col min="5392" max="5392" width="4.8984375" style="217" customWidth="1"/>
    <col min="5393" max="5393" width="9.19921875" style="217" customWidth="1"/>
    <col min="5394" max="5394" width="26.69921875" style="217" customWidth="1"/>
    <col min="5395" max="5397" width="13.59765625" style="217" customWidth="1"/>
    <col min="5398" max="5398" width="17.3984375" style="217" bestFit="1" customWidth="1"/>
    <col min="5399" max="5632" width="9" style="217"/>
    <col min="5633" max="5633" width="2.09765625" style="217" customWidth="1"/>
    <col min="5634" max="5641" width="3.8984375" style="217" customWidth="1"/>
    <col min="5642" max="5646" width="10.59765625" style="217" customWidth="1"/>
    <col min="5647" max="5647" width="1.8984375" style="217" customWidth="1"/>
    <col min="5648" max="5648" width="4.8984375" style="217" customWidth="1"/>
    <col min="5649" max="5649" width="9.19921875" style="217" customWidth="1"/>
    <col min="5650" max="5650" width="26.69921875" style="217" customWidth="1"/>
    <col min="5651" max="5653" width="13.59765625" style="217" customWidth="1"/>
    <col min="5654" max="5654" width="17.3984375" style="217" bestFit="1" customWidth="1"/>
    <col min="5655" max="5888" width="9" style="217"/>
    <col min="5889" max="5889" width="2.09765625" style="217" customWidth="1"/>
    <col min="5890" max="5897" width="3.8984375" style="217" customWidth="1"/>
    <col min="5898" max="5902" width="10.59765625" style="217" customWidth="1"/>
    <col min="5903" max="5903" width="1.8984375" style="217" customWidth="1"/>
    <col min="5904" max="5904" width="4.8984375" style="217" customWidth="1"/>
    <col min="5905" max="5905" width="9.19921875" style="217" customWidth="1"/>
    <col min="5906" max="5906" width="26.69921875" style="217" customWidth="1"/>
    <col min="5907" max="5909" width="13.59765625" style="217" customWidth="1"/>
    <col min="5910" max="5910" width="17.3984375" style="217" bestFit="1" customWidth="1"/>
    <col min="5911" max="6144" width="9" style="217"/>
    <col min="6145" max="6145" width="2.09765625" style="217" customWidth="1"/>
    <col min="6146" max="6153" width="3.8984375" style="217" customWidth="1"/>
    <col min="6154" max="6158" width="10.59765625" style="217" customWidth="1"/>
    <col min="6159" max="6159" width="1.8984375" style="217" customWidth="1"/>
    <col min="6160" max="6160" width="4.8984375" style="217" customWidth="1"/>
    <col min="6161" max="6161" width="9.19921875" style="217" customWidth="1"/>
    <col min="6162" max="6162" width="26.69921875" style="217" customWidth="1"/>
    <col min="6163" max="6165" width="13.59765625" style="217" customWidth="1"/>
    <col min="6166" max="6166" width="17.3984375" style="217" bestFit="1" customWidth="1"/>
    <col min="6167" max="6400" width="9" style="217"/>
    <col min="6401" max="6401" width="2.09765625" style="217" customWidth="1"/>
    <col min="6402" max="6409" width="3.8984375" style="217" customWidth="1"/>
    <col min="6410" max="6414" width="10.59765625" style="217" customWidth="1"/>
    <col min="6415" max="6415" width="1.8984375" style="217" customWidth="1"/>
    <col min="6416" max="6416" width="4.8984375" style="217" customWidth="1"/>
    <col min="6417" max="6417" width="9.19921875" style="217" customWidth="1"/>
    <col min="6418" max="6418" width="26.69921875" style="217" customWidth="1"/>
    <col min="6419" max="6421" width="13.59765625" style="217" customWidth="1"/>
    <col min="6422" max="6422" width="17.3984375" style="217" bestFit="1" customWidth="1"/>
    <col min="6423" max="6656" width="9" style="217"/>
    <col min="6657" max="6657" width="2.09765625" style="217" customWidth="1"/>
    <col min="6658" max="6665" width="3.8984375" style="217" customWidth="1"/>
    <col min="6666" max="6670" width="10.59765625" style="217" customWidth="1"/>
    <col min="6671" max="6671" width="1.8984375" style="217" customWidth="1"/>
    <col min="6672" max="6672" width="4.8984375" style="217" customWidth="1"/>
    <col min="6673" max="6673" width="9.19921875" style="217" customWidth="1"/>
    <col min="6674" max="6674" width="26.69921875" style="217" customWidth="1"/>
    <col min="6675" max="6677" width="13.59765625" style="217" customWidth="1"/>
    <col min="6678" max="6678" width="17.3984375" style="217" bestFit="1" customWidth="1"/>
    <col min="6679" max="6912" width="9" style="217"/>
    <col min="6913" max="6913" width="2.09765625" style="217" customWidth="1"/>
    <col min="6914" max="6921" width="3.8984375" style="217" customWidth="1"/>
    <col min="6922" max="6926" width="10.59765625" style="217" customWidth="1"/>
    <col min="6927" max="6927" width="1.8984375" style="217" customWidth="1"/>
    <col min="6928" max="6928" width="4.8984375" style="217" customWidth="1"/>
    <col min="6929" max="6929" width="9.19921875" style="217" customWidth="1"/>
    <col min="6930" max="6930" width="26.69921875" style="217" customWidth="1"/>
    <col min="6931" max="6933" width="13.59765625" style="217" customWidth="1"/>
    <col min="6934" max="6934" width="17.3984375" style="217" bestFit="1" customWidth="1"/>
    <col min="6935" max="7168" width="9" style="217"/>
    <col min="7169" max="7169" width="2.09765625" style="217" customWidth="1"/>
    <col min="7170" max="7177" width="3.8984375" style="217" customWidth="1"/>
    <col min="7178" max="7182" width="10.59765625" style="217" customWidth="1"/>
    <col min="7183" max="7183" width="1.8984375" style="217" customWidth="1"/>
    <col min="7184" max="7184" width="4.8984375" style="217" customWidth="1"/>
    <col min="7185" max="7185" width="9.19921875" style="217" customWidth="1"/>
    <col min="7186" max="7186" width="26.69921875" style="217" customWidth="1"/>
    <col min="7187" max="7189" width="13.59765625" style="217" customWidth="1"/>
    <col min="7190" max="7190" width="17.3984375" style="217" bestFit="1" customWidth="1"/>
    <col min="7191" max="7424" width="9" style="217"/>
    <col min="7425" max="7425" width="2.09765625" style="217" customWidth="1"/>
    <col min="7426" max="7433" width="3.8984375" style="217" customWidth="1"/>
    <col min="7434" max="7438" width="10.59765625" style="217" customWidth="1"/>
    <col min="7439" max="7439" width="1.8984375" style="217" customWidth="1"/>
    <col min="7440" max="7440" width="4.8984375" style="217" customWidth="1"/>
    <col min="7441" max="7441" width="9.19921875" style="217" customWidth="1"/>
    <col min="7442" max="7442" width="26.69921875" style="217" customWidth="1"/>
    <col min="7443" max="7445" width="13.59765625" style="217" customWidth="1"/>
    <col min="7446" max="7446" width="17.3984375" style="217" bestFit="1" customWidth="1"/>
    <col min="7447" max="7680" width="9" style="217"/>
    <col min="7681" max="7681" width="2.09765625" style="217" customWidth="1"/>
    <col min="7682" max="7689" width="3.8984375" style="217" customWidth="1"/>
    <col min="7690" max="7694" width="10.59765625" style="217" customWidth="1"/>
    <col min="7695" max="7695" width="1.8984375" style="217" customWidth="1"/>
    <col min="7696" max="7696" width="4.8984375" style="217" customWidth="1"/>
    <col min="7697" max="7697" width="9.19921875" style="217" customWidth="1"/>
    <col min="7698" max="7698" width="26.69921875" style="217" customWidth="1"/>
    <col min="7699" max="7701" width="13.59765625" style="217" customWidth="1"/>
    <col min="7702" max="7702" width="17.3984375" style="217" bestFit="1" customWidth="1"/>
    <col min="7703" max="7936" width="9" style="217"/>
    <col min="7937" max="7937" width="2.09765625" style="217" customWidth="1"/>
    <col min="7938" max="7945" width="3.8984375" style="217" customWidth="1"/>
    <col min="7946" max="7950" width="10.59765625" style="217" customWidth="1"/>
    <col min="7951" max="7951" width="1.8984375" style="217" customWidth="1"/>
    <col min="7952" max="7952" width="4.8984375" style="217" customWidth="1"/>
    <col min="7953" max="7953" width="9.19921875" style="217" customWidth="1"/>
    <col min="7954" max="7954" width="26.69921875" style="217" customWidth="1"/>
    <col min="7955" max="7957" width="13.59765625" style="217" customWidth="1"/>
    <col min="7958" max="7958" width="17.3984375" style="217" bestFit="1" customWidth="1"/>
    <col min="7959" max="8192" width="9" style="217"/>
    <col min="8193" max="8193" width="2.09765625" style="217" customWidth="1"/>
    <col min="8194" max="8201" width="3.8984375" style="217" customWidth="1"/>
    <col min="8202" max="8206" width="10.59765625" style="217" customWidth="1"/>
    <col min="8207" max="8207" width="1.8984375" style="217" customWidth="1"/>
    <col min="8208" max="8208" width="4.8984375" style="217" customWidth="1"/>
    <col min="8209" max="8209" width="9.19921875" style="217" customWidth="1"/>
    <col min="8210" max="8210" width="26.69921875" style="217" customWidth="1"/>
    <col min="8211" max="8213" width="13.59765625" style="217" customWidth="1"/>
    <col min="8214" max="8214" width="17.3984375" style="217" bestFit="1" customWidth="1"/>
    <col min="8215" max="8448" width="9" style="217"/>
    <col min="8449" max="8449" width="2.09765625" style="217" customWidth="1"/>
    <col min="8450" max="8457" width="3.8984375" style="217" customWidth="1"/>
    <col min="8458" max="8462" width="10.59765625" style="217" customWidth="1"/>
    <col min="8463" max="8463" width="1.8984375" style="217" customWidth="1"/>
    <col min="8464" max="8464" width="4.8984375" style="217" customWidth="1"/>
    <col min="8465" max="8465" width="9.19921875" style="217" customWidth="1"/>
    <col min="8466" max="8466" width="26.69921875" style="217" customWidth="1"/>
    <col min="8467" max="8469" width="13.59765625" style="217" customWidth="1"/>
    <col min="8470" max="8470" width="17.3984375" style="217" bestFit="1" customWidth="1"/>
    <col min="8471" max="8704" width="9" style="217"/>
    <col min="8705" max="8705" width="2.09765625" style="217" customWidth="1"/>
    <col min="8706" max="8713" width="3.8984375" style="217" customWidth="1"/>
    <col min="8714" max="8718" width="10.59765625" style="217" customWidth="1"/>
    <col min="8719" max="8719" width="1.8984375" style="217" customWidth="1"/>
    <col min="8720" max="8720" width="4.8984375" style="217" customWidth="1"/>
    <col min="8721" max="8721" width="9.19921875" style="217" customWidth="1"/>
    <col min="8722" max="8722" width="26.69921875" style="217" customWidth="1"/>
    <col min="8723" max="8725" width="13.59765625" style="217" customWidth="1"/>
    <col min="8726" max="8726" width="17.3984375" style="217" bestFit="1" customWidth="1"/>
    <col min="8727" max="8960" width="9" style="217"/>
    <col min="8961" max="8961" width="2.09765625" style="217" customWidth="1"/>
    <col min="8962" max="8969" width="3.8984375" style="217" customWidth="1"/>
    <col min="8970" max="8974" width="10.59765625" style="217" customWidth="1"/>
    <col min="8975" max="8975" width="1.8984375" style="217" customWidth="1"/>
    <col min="8976" max="8976" width="4.8984375" style="217" customWidth="1"/>
    <col min="8977" max="8977" width="9.19921875" style="217" customWidth="1"/>
    <col min="8978" max="8978" width="26.69921875" style="217" customWidth="1"/>
    <col min="8979" max="8981" width="13.59765625" style="217" customWidth="1"/>
    <col min="8982" max="8982" width="17.3984375" style="217" bestFit="1" customWidth="1"/>
    <col min="8983" max="9216" width="9" style="217"/>
    <col min="9217" max="9217" width="2.09765625" style="217" customWidth="1"/>
    <col min="9218" max="9225" width="3.8984375" style="217" customWidth="1"/>
    <col min="9226" max="9230" width="10.59765625" style="217" customWidth="1"/>
    <col min="9231" max="9231" width="1.8984375" style="217" customWidth="1"/>
    <col min="9232" max="9232" width="4.8984375" style="217" customWidth="1"/>
    <col min="9233" max="9233" width="9.19921875" style="217" customWidth="1"/>
    <col min="9234" max="9234" width="26.69921875" style="217" customWidth="1"/>
    <col min="9235" max="9237" width="13.59765625" style="217" customWidth="1"/>
    <col min="9238" max="9238" width="17.3984375" style="217" bestFit="1" customWidth="1"/>
    <col min="9239" max="9472" width="9" style="217"/>
    <col min="9473" max="9473" width="2.09765625" style="217" customWidth="1"/>
    <col min="9474" max="9481" width="3.8984375" style="217" customWidth="1"/>
    <col min="9482" max="9486" width="10.59765625" style="217" customWidth="1"/>
    <col min="9487" max="9487" width="1.8984375" style="217" customWidth="1"/>
    <col min="9488" max="9488" width="4.8984375" style="217" customWidth="1"/>
    <col min="9489" max="9489" width="9.19921875" style="217" customWidth="1"/>
    <col min="9490" max="9490" width="26.69921875" style="217" customWidth="1"/>
    <col min="9491" max="9493" width="13.59765625" style="217" customWidth="1"/>
    <col min="9494" max="9494" width="17.3984375" style="217" bestFit="1" customWidth="1"/>
    <col min="9495" max="9728" width="9" style="217"/>
    <col min="9729" max="9729" width="2.09765625" style="217" customWidth="1"/>
    <col min="9730" max="9737" width="3.8984375" style="217" customWidth="1"/>
    <col min="9738" max="9742" width="10.59765625" style="217" customWidth="1"/>
    <col min="9743" max="9743" width="1.8984375" style="217" customWidth="1"/>
    <col min="9744" max="9744" width="4.8984375" style="217" customWidth="1"/>
    <col min="9745" max="9745" width="9.19921875" style="217" customWidth="1"/>
    <col min="9746" max="9746" width="26.69921875" style="217" customWidth="1"/>
    <col min="9747" max="9749" width="13.59765625" style="217" customWidth="1"/>
    <col min="9750" max="9750" width="17.3984375" style="217" bestFit="1" customWidth="1"/>
    <col min="9751" max="9984" width="9" style="217"/>
    <col min="9985" max="9985" width="2.09765625" style="217" customWidth="1"/>
    <col min="9986" max="9993" width="3.8984375" style="217" customWidth="1"/>
    <col min="9994" max="9998" width="10.59765625" style="217" customWidth="1"/>
    <col min="9999" max="9999" width="1.8984375" style="217" customWidth="1"/>
    <col min="10000" max="10000" width="4.8984375" style="217" customWidth="1"/>
    <col min="10001" max="10001" width="9.19921875" style="217" customWidth="1"/>
    <col min="10002" max="10002" width="26.69921875" style="217" customWidth="1"/>
    <col min="10003" max="10005" width="13.59765625" style="217" customWidth="1"/>
    <col min="10006" max="10006" width="17.3984375" style="217" bestFit="1" customWidth="1"/>
    <col min="10007" max="10240" width="9" style="217"/>
    <col min="10241" max="10241" width="2.09765625" style="217" customWidth="1"/>
    <col min="10242" max="10249" width="3.8984375" style="217" customWidth="1"/>
    <col min="10250" max="10254" width="10.59765625" style="217" customWidth="1"/>
    <col min="10255" max="10255" width="1.8984375" style="217" customWidth="1"/>
    <col min="10256" max="10256" width="4.8984375" style="217" customWidth="1"/>
    <col min="10257" max="10257" width="9.19921875" style="217" customWidth="1"/>
    <col min="10258" max="10258" width="26.69921875" style="217" customWidth="1"/>
    <col min="10259" max="10261" width="13.59765625" style="217" customWidth="1"/>
    <col min="10262" max="10262" width="17.3984375" style="217" bestFit="1" customWidth="1"/>
    <col min="10263" max="10496" width="9" style="217"/>
    <col min="10497" max="10497" width="2.09765625" style="217" customWidth="1"/>
    <col min="10498" max="10505" width="3.8984375" style="217" customWidth="1"/>
    <col min="10506" max="10510" width="10.59765625" style="217" customWidth="1"/>
    <col min="10511" max="10511" width="1.8984375" style="217" customWidth="1"/>
    <col min="10512" max="10512" width="4.8984375" style="217" customWidth="1"/>
    <col min="10513" max="10513" width="9.19921875" style="217" customWidth="1"/>
    <col min="10514" max="10514" width="26.69921875" style="217" customWidth="1"/>
    <col min="10515" max="10517" width="13.59765625" style="217" customWidth="1"/>
    <col min="10518" max="10518" width="17.3984375" style="217" bestFit="1" customWidth="1"/>
    <col min="10519" max="10752" width="9" style="217"/>
    <col min="10753" max="10753" width="2.09765625" style="217" customWidth="1"/>
    <col min="10754" max="10761" width="3.8984375" style="217" customWidth="1"/>
    <col min="10762" max="10766" width="10.59765625" style="217" customWidth="1"/>
    <col min="10767" max="10767" width="1.8984375" style="217" customWidth="1"/>
    <col min="10768" max="10768" width="4.8984375" style="217" customWidth="1"/>
    <col min="10769" max="10769" width="9.19921875" style="217" customWidth="1"/>
    <col min="10770" max="10770" width="26.69921875" style="217" customWidth="1"/>
    <col min="10771" max="10773" width="13.59765625" style="217" customWidth="1"/>
    <col min="10774" max="10774" width="17.3984375" style="217" bestFit="1" customWidth="1"/>
    <col min="10775" max="11008" width="9" style="217"/>
    <col min="11009" max="11009" width="2.09765625" style="217" customWidth="1"/>
    <col min="11010" max="11017" width="3.8984375" style="217" customWidth="1"/>
    <col min="11018" max="11022" width="10.59765625" style="217" customWidth="1"/>
    <col min="11023" max="11023" width="1.8984375" style="217" customWidth="1"/>
    <col min="11024" max="11024" width="4.8984375" style="217" customWidth="1"/>
    <col min="11025" max="11025" width="9.19921875" style="217" customWidth="1"/>
    <col min="11026" max="11026" width="26.69921875" style="217" customWidth="1"/>
    <col min="11027" max="11029" width="13.59765625" style="217" customWidth="1"/>
    <col min="11030" max="11030" width="17.3984375" style="217" bestFit="1" customWidth="1"/>
    <col min="11031" max="11264" width="9" style="217"/>
    <col min="11265" max="11265" width="2.09765625" style="217" customWidth="1"/>
    <col min="11266" max="11273" width="3.8984375" style="217" customWidth="1"/>
    <col min="11274" max="11278" width="10.59765625" style="217" customWidth="1"/>
    <col min="11279" max="11279" width="1.8984375" style="217" customWidth="1"/>
    <col min="11280" max="11280" width="4.8984375" style="217" customWidth="1"/>
    <col min="11281" max="11281" width="9.19921875" style="217" customWidth="1"/>
    <col min="11282" max="11282" width="26.69921875" style="217" customWidth="1"/>
    <col min="11283" max="11285" width="13.59765625" style="217" customWidth="1"/>
    <col min="11286" max="11286" width="17.3984375" style="217" bestFit="1" customWidth="1"/>
    <col min="11287" max="11520" width="9" style="217"/>
    <col min="11521" max="11521" width="2.09765625" style="217" customWidth="1"/>
    <col min="11522" max="11529" width="3.8984375" style="217" customWidth="1"/>
    <col min="11530" max="11534" width="10.59765625" style="217" customWidth="1"/>
    <col min="11535" max="11535" width="1.8984375" style="217" customWidth="1"/>
    <col min="11536" max="11536" width="4.8984375" style="217" customWidth="1"/>
    <col min="11537" max="11537" width="9.19921875" style="217" customWidth="1"/>
    <col min="11538" max="11538" width="26.69921875" style="217" customWidth="1"/>
    <col min="11539" max="11541" width="13.59765625" style="217" customWidth="1"/>
    <col min="11542" max="11542" width="17.3984375" style="217" bestFit="1" customWidth="1"/>
    <col min="11543" max="11776" width="9" style="217"/>
    <col min="11777" max="11777" width="2.09765625" style="217" customWidth="1"/>
    <col min="11778" max="11785" width="3.8984375" style="217" customWidth="1"/>
    <col min="11786" max="11790" width="10.59765625" style="217" customWidth="1"/>
    <col min="11791" max="11791" width="1.8984375" style="217" customWidth="1"/>
    <col min="11792" max="11792" width="4.8984375" style="217" customWidth="1"/>
    <col min="11793" max="11793" width="9.19921875" style="217" customWidth="1"/>
    <col min="11794" max="11794" width="26.69921875" style="217" customWidth="1"/>
    <col min="11795" max="11797" width="13.59765625" style="217" customWidth="1"/>
    <col min="11798" max="11798" width="17.3984375" style="217" bestFit="1" customWidth="1"/>
    <col min="11799" max="12032" width="9" style="217"/>
    <col min="12033" max="12033" width="2.09765625" style="217" customWidth="1"/>
    <col min="12034" max="12041" width="3.8984375" style="217" customWidth="1"/>
    <col min="12042" max="12046" width="10.59765625" style="217" customWidth="1"/>
    <col min="12047" max="12047" width="1.8984375" style="217" customWidth="1"/>
    <col min="12048" max="12048" width="4.8984375" style="217" customWidth="1"/>
    <col min="12049" max="12049" width="9.19921875" style="217" customWidth="1"/>
    <col min="12050" max="12050" width="26.69921875" style="217" customWidth="1"/>
    <col min="12051" max="12053" width="13.59765625" style="217" customWidth="1"/>
    <col min="12054" max="12054" width="17.3984375" style="217" bestFit="1" customWidth="1"/>
    <col min="12055" max="12288" width="9" style="217"/>
    <col min="12289" max="12289" width="2.09765625" style="217" customWidth="1"/>
    <col min="12290" max="12297" width="3.8984375" style="217" customWidth="1"/>
    <col min="12298" max="12302" width="10.59765625" style="217" customWidth="1"/>
    <col min="12303" max="12303" width="1.8984375" style="217" customWidth="1"/>
    <col min="12304" max="12304" width="4.8984375" style="217" customWidth="1"/>
    <col min="12305" max="12305" width="9.19921875" style="217" customWidth="1"/>
    <col min="12306" max="12306" width="26.69921875" style="217" customWidth="1"/>
    <col min="12307" max="12309" width="13.59765625" style="217" customWidth="1"/>
    <col min="12310" max="12310" width="17.3984375" style="217" bestFit="1" customWidth="1"/>
    <col min="12311" max="12544" width="9" style="217"/>
    <col min="12545" max="12545" width="2.09765625" style="217" customWidth="1"/>
    <col min="12546" max="12553" width="3.8984375" style="217" customWidth="1"/>
    <col min="12554" max="12558" width="10.59765625" style="217" customWidth="1"/>
    <col min="12559" max="12559" width="1.8984375" style="217" customWidth="1"/>
    <col min="12560" max="12560" width="4.8984375" style="217" customWidth="1"/>
    <col min="12561" max="12561" width="9.19921875" style="217" customWidth="1"/>
    <col min="12562" max="12562" width="26.69921875" style="217" customWidth="1"/>
    <col min="12563" max="12565" width="13.59765625" style="217" customWidth="1"/>
    <col min="12566" max="12566" width="17.3984375" style="217" bestFit="1" customWidth="1"/>
    <col min="12567" max="12800" width="9" style="217"/>
    <col min="12801" max="12801" width="2.09765625" style="217" customWidth="1"/>
    <col min="12802" max="12809" width="3.8984375" style="217" customWidth="1"/>
    <col min="12810" max="12814" width="10.59765625" style="217" customWidth="1"/>
    <col min="12815" max="12815" width="1.8984375" style="217" customWidth="1"/>
    <col min="12816" max="12816" width="4.8984375" style="217" customWidth="1"/>
    <col min="12817" max="12817" width="9.19921875" style="217" customWidth="1"/>
    <col min="12818" max="12818" width="26.69921875" style="217" customWidth="1"/>
    <col min="12819" max="12821" width="13.59765625" style="217" customWidth="1"/>
    <col min="12822" max="12822" width="17.3984375" style="217" bestFit="1" customWidth="1"/>
    <col min="12823" max="13056" width="9" style="217"/>
    <col min="13057" max="13057" width="2.09765625" style="217" customWidth="1"/>
    <col min="13058" max="13065" width="3.8984375" style="217" customWidth="1"/>
    <col min="13066" max="13070" width="10.59765625" style="217" customWidth="1"/>
    <col min="13071" max="13071" width="1.8984375" style="217" customWidth="1"/>
    <col min="13072" max="13072" width="4.8984375" style="217" customWidth="1"/>
    <col min="13073" max="13073" width="9.19921875" style="217" customWidth="1"/>
    <col min="13074" max="13074" width="26.69921875" style="217" customWidth="1"/>
    <col min="13075" max="13077" width="13.59765625" style="217" customWidth="1"/>
    <col min="13078" max="13078" width="17.3984375" style="217" bestFit="1" customWidth="1"/>
    <col min="13079" max="13312" width="9" style="217"/>
    <col min="13313" max="13313" width="2.09765625" style="217" customWidth="1"/>
    <col min="13314" max="13321" width="3.8984375" style="217" customWidth="1"/>
    <col min="13322" max="13326" width="10.59765625" style="217" customWidth="1"/>
    <col min="13327" max="13327" width="1.8984375" style="217" customWidth="1"/>
    <col min="13328" max="13328" width="4.8984375" style="217" customWidth="1"/>
    <col min="13329" max="13329" width="9.19921875" style="217" customWidth="1"/>
    <col min="13330" max="13330" width="26.69921875" style="217" customWidth="1"/>
    <col min="13331" max="13333" width="13.59765625" style="217" customWidth="1"/>
    <col min="13334" max="13334" width="17.3984375" style="217" bestFit="1" customWidth="1"/>
    <col min="13335" max="13568" width="9" style="217"/>
    <col min="13569" max="13569" width="2.09765625" style="217" customWidth="1"/>
    <col min="13570" max="13577" width="3.8984375" style="217" customWidth="1"/>
    <col min="13578" max="13582" width="10.59765625" style="217" customWidth="1"/>
    <col min="13583" max="13583" width="1.8984375" style="217" customWidth="1"/>
    <col min="13584" max="13584" width="4.8984375" style="217" customWidth="1"/>
    <col min="13585" max="13585" width="9.19921875" style="217" customWidth="1"/>
    <col min="13586" max="13586" width="26.69921875" style="217" customWidth="1"/>
    <col min="13587" max="13589" width="13.59765625" style="217" customWidth="1"/>
    <col min="13590" max="13590" width="17.3984375" style="217" bestFit="1" customWidth="1"/>
    <col min="13591" max="13824" width="9" style="217"/>
    <col min="13825" max="13825" width="2.09765625" style="217" customWidth="1"/>
    <col min="13826" max="13833" width="3.8984375" style="217" customWidth="1"/>
    <col min="13834" max="13838" width="10.59765625" style="217" customWidth="1"/>
    <col min="13839" max="13839" width="1.8984375" style="217" customWidth="1"/>
    <col min="13840" max="13840" width="4.8984375" style="217" customWidth="1"/>
    <col min="13841" max="13841" width="9.19921875" style="217" customWidth="1"/>
    <col min="13842" max="13842" width="26.69921875" style="217" customWidth="1"/>
    <col min="13843" max="13845" width="13.59765625" style="217" customWidth="1"/>
    <col min="13846" max="13846" width="17.3984375" style="217" bestFit="1" customWidth="1"/>
    <col min="13847" max="14080" width="9" style="217"/>
    <col min="14081" max="14081" width="2.09765625" style="217" customWidth="1"/>
    <col min="14082" max="14089" width="3.8984375" style="217" customWidth="1"/>
    <col min="14090" max="14094" width="10.59765625" style="217" customWidth="1"/>
    <col min="14095" max="14095" width="1.8984375" style="217" customWidth="1"/>
    <col min="14096" max="14096" width="4.8984375" style="217" customWidth="1"/>
    <col min="14097" max="14097" width="9.19921875" style="217" customWidth="1"/>
    <col min="14098" max="14098" width="26.69921875" style="217" customWidth="1"/>
    <col min="14099" max="14101" width="13.59765625" style="217" customWidth="1"/>
    <col min="14102" max="14102" width="17.3984375" style="217" bestFit="1" customWidth="1"/>
    <col min="14103" max="14336" width="9" style="217"/>
    <col min="14337" max="14337" width="2.09765625" style="217" customWidth="1"/>
    <col min="14338" max="14345" width="3.8984375" style="217" customWidth="1"/>
    <col min="14346" max="14350" width="10.59765625" style="217" customWidth="1"/>
    <col min="14351" max="14351" width="1.8984375" style="217" customWidth="1"/>
    <col min="14352" max="14352" width="4.8984375" style="217" customWidth="1"/>
    <col min="14353" max="14353" width="9.19921875" style="217" customWidth="1"/>
    <col min="14354" max="14354" width="26.69921875" style="217" customWidth="1"/>
    <col min="14355" max="14357" width="13.59765625" style="217" customWidth="1"/>
    <col min="14358" max="14358" width="17.3984375" style="217" bestFit="1" customWidth="1"/>
    <col min="14359" max="14592" width="9" style="217"/>
    <col min="14593" max="14593" width="2.09765625" style="217" customWidth="1"/>
    <col min="14594" max="14601" width="3.8984375" style="217" customWidth="1"/>
    <col min="14602" max="14606" width="10.59765625" style="217" customWidth="1"/>
    <col min="14607" max="14607" width="1.8984375" style="217" customWidth="1"/>
    <col min="14608" max="14608" width="4.8984375" style="217" customWidth="1"/>
    <col min="14609" max="14609" width="9.19921875" style="217" customWidth="1"/>
    <col min="14610" max="14610" width="26.69921875" style="217" customWidth="1"/>
    <col min="14611" max="14613" width="13.59765625" style="217" customWidth="1"/>
    <col min="14614" max="14614" width="17.3984375" style="217" bestFit="1" customWidth="1"/>
    <col min="14615" max="14848" width="9" style="217"/>
    <col min="14849" max="14849" width="2.09765625" style="217" customWidth="1"/>
    <col min="14850" max="14857" width="3.8984375" style="217" customWidth="1"/>
    <col min="14858" max="14862" width="10.59765625" style="217" customWidth="1"/>
    <col min="14863" max="14863" width="1.8984375" style="217" customWidth="1"/>
    <col min="14864" max="14864" width="4.8984375" style="217" customWidth="1"/>
    <col min="14865" max="14865" width="9.19921875" style="217" customWidth="1"/>
    <col min="14866" max="14866" width="26.69921875" style="217" customWidth="1"/>
    <col min="14867" max="14869" width="13.59765625" style="217" customWidth="1"/>
    <col min="14870" max="14870" width="17.3984375" style="217" bestFit="1" customWidth="1"/>
    <col min="14871" max="15104" width="9" style="217"/>
    <col min="15105" max="15105" width="2.09765625" style="217" customWidth="1"/>
    <col min="15106" max="15113" width="3.8984375" style="217" customWidth="1"/>
    <col min="15114" max="15118" width="10.59765625" style="217" customWidth="1"/>
    <col min="15119" max="15119" width="1.8984375" style="217" customWidth="1"/>
    <col min="15120" max="15120" width="4.8984375" style="217" customWidth="1"/>
    <col min="15121" max="15121" width="9.19921875" style="217" customWidth="1"/>
    <col min="15122" max="15122" width="26.69921875" style="217" customWidth="1"/>
    <col min="15123" max="15125" width="13.59765625" style="217" customWidth="1"/>
    <col min="15126" max="15126" width="17.3984375" style="217" bestFit="1" customWidth="1"/>
    <col min="15127" max="15360" width="9" style="217"/>
    <col min="15361" max="15361" width="2.09765625" style="217" customWidth="1"/>
    <col min="15362" max="15369" width="3.8984375" style="217" customWidth="1"/>
    <col min="15370" max="15374" width="10.59765625" style="217" customWidth="1"/>
    <col min="15375" max="15375" width="1.8984375" style="217" customWidth="1"/>
    <col min="15376" max="15376" width="4.8984375" style="217" customWidth="1"/>
    <col min="15377" max="15377" width="9.19921875" style="217" customWidth="1"/>
    <col min="15378" max="15378" width="26.69921875" style="217" customWidth="1"/>
    <col min="15379" max="15381" width="13.59765625" style="217" customWidth="1"/>
    <col min="15382" max="15382" width="17.3984375" style="217" bestFit="1" customWidth="1"/>
    <col min="15383" max="15616" width="9" style="217"/>
    <col min="15617" max="15617" width="2.09765625" style="217" customWidth="1"/>
    <col min="15618" max="15625" width="3.8984375" style="217" customWidth="1"/>
    <col min="15626" max="15630" width="10.59765625" style="217" customWidth="1"/>
    <col min="15631" max="15631" width="1.8984375" style="217" customWidth="1"/>
    <col min="15632" max="15632" width="4.8984375" style="217" customWidth="1"/>
    <col min="15633" max="15633" width="9.19921875" style="217" customWidth="1"/>
    <col min="15634" max="15634" width="26.69921875" style="217" customWidth="1"/>
    <col min="15635" max="15637" width="13.59765625" style="217" customWidth="1"/>
    <col min="15638" max="15638" width="17.3984375" style="217" bestFit="1" customWidth="1"/>
    <col min="15639" max="15872" width="9" style="217"/>
    <col min="15873" max="15873" width="2.09765625" style="217" customWidth="1"/>
    <col min="15874" max="15881" width="3.8984375" style="217" customWidth="1"/>
    <col min="15882" max="15886" width="10.59765625" style="217" customWidth="1"/>
    <col min="15887" max="15887" width="1.8984375" style="217" customWidth="1"/>
    <col min="15888" max="15888" width="4.8984375" style="217" customWidth="1"/>
    <col min="15889" max="15889" width="9.19921875" style="217" customWidth="1"/>
    <col min="15890" max="15890" width="26.69921875" style="217" customWidth="1"/>
    <col min="15891" max="15893" width="13.59765625" style="217" customWidth="1"/>
    <col min="15894" max="15894" width="17.3984375" style="217" bestFit="1" customWidth="1"/>
    <col min="15895" max="16128" width="9" style="217"/>
    <col min="16129" max="16129" width="2.09765625" style="217" customWidth="1"/>
    <col min="16130" max="16137" width="3.8984375" style="217" customWidth="1"/>
    <col min="16138" max="16142" width="10.59765625" style="217" customWidth="1"/>
    <col min="16143" max="16143" width="1.8984375" style="217" customWidth="1"/>
    <col min="16144" max="16144" width="4.8984375" style="217" customWidth="1"/>
    <col min="16145" max="16145" width="9.19921875" style="217" customWidth="1"/>
    <col min="16146" max="16146" width="26.69921875" style="217" customWidth="1"/>
    <col min="16147" max="16149" width="13.59765625" style="217" customWidth="1"/>
    <col min="16150" max="16150" width="17.3984375" style="217" bestFit="1" customWidth="1"/>
    <col min="16151" max="16384" width="9" style="217"/>
  </cols>
  <sheetData>
    <row r="1" spans="1:22" s="212" customFormat="1" ht="15" customHeight="1">
      <c r="B1" s="247"/>
      <c r="C1" s="247"/>
      <c r="D1" s="247"/>
      <c r="O1" s="247"/>
      <c r="R1" s="213" t="s">
        <v>368</v>
      </c>
    </row>
    <row r="2" spans="1:22" ht="15" customHeight="1">
      <c r="A2" s="214" t="s">
        <v>728</v>
      </c>
      <c r="B2" s="218"/>
      <c r="C2" s="218"/>
      <c r="D2" s="218"/>
      <c r="E2" s="213"/>
      <c r="F2" s="213"/>
      <c r="G2" s="213"/>
      <c r="H2" s="213"/>
      <c r="I2" s="213"/>
      <c r="J2" s="213"/>
      <c r="K2" s="213"/>
      <c r="L2" s="213"/>
      <c r="M2" s="215" t="str">
        <f>'SP5-1'!L2</f>
        <v>Spreadsheet May 2025</v>
      </c>
      <c r="N2" s="213"/>
      <c r="O2" s="219"/>
      <c r="Q2" s="213"/>
      <c r="R2" s="216" t="s">
        <v>369</v>
      </c>
      <c r="S2" s="213"/>
      <c r="T2" s="213"/>
    </row>
    <row r="3" spans="1:22" s="212" customFormat="1" ht="15" customHeight="1">
      <c r="A3" s="218" t="s">
        <v>432</v>
      </c>
      <c r="B3" s="218"/>
      <c r="C3" s="218"/>
      <c r="D3" s="213"/>
      <c r="E3" s="213"/>
      <c r="F3" s="213"/>
      <c r="G3" s="213"/>
      <c r="H3" s="213"/>
      <c r="I3" s="213"/>
      <c r="J3" s="213"/>
      <c r="K3" s="213"/>
      <c r="L3" s="213"/>
      <c r="M3" s="213"/>
      <c r="N3" s="213"/>
      <c r="O3" s="213"/>
      <c r="P3" s="213"/>
      <c r="Q3" s="213"/>
      <c r="R3" s="213"/>
      <c r="S3" s="213"/>
      <c r="T3" s="213"/>
    </row>
    <row r="4" spans="1:22" s="212" customFormat="1" ht="15" customHeight="1">
      <c r="A4" s="218"/>
      <c r="B4" s="550" t="s">
        <v>767</v>
      </c>
      <c r="C4" s="550"/>
      <c r="D4" s="550"/>
      <c r="E4" s="550"/>
      <c r="F4" s="550"/>
      <c r="G4" s="550"/>
      <c r="H4" s="550"/>
      <c r="I4" s="550"/>
      <c r="J4" s="550"/>
      <c r="K4" s="550"/>
      <c r="L4" s="550"/>
      <c r="M4" s="550"/>
      <c r="N4" s="550"/>
      <c r="O4" s="550"/>
      <c r="P4" s="213"/>
      <c r="Q4" s="213"/>
      <c r="R4" s="213"/>
      <c r="S4" s="213"/>
      <c r="T4" s="213"/>
    </row>
    <row r="5" spans="1:22" s="212" customFormat="1" ht="104.25" customHeight="1">
      <c r="A5" s="213"/>
      <c r="B5" s="550"/>
      <c r="C5" s="550"/>
      <c r="D5" s="550"/>
      <c r="E5" s="550"/>
      <c r="F5" s="550"/>
      <c r="G5" s="550"/>
      <c r="H5" s="550"/>
      <c r="I5" s="550"/>
      <c r="J5" s="550"/>
      <c r="K5" s="550"/>
      <c r="L5" s="550"/>
      <c r="M5" s="550"/>
      <c r="N5" s="550"/>
      <c r="O5" s="550"/>
      <c r="P5" s="213"/>
      <c r="Q5" s="213"/>
      <c r="R5" s="213"/>
      <c r="S5" s="213"/>
      <c r="T5" s="213"/>
    </row>
    <row r="6" spans="1:22" s="212" customFormat="1" ht="6" customHeight="1">
      <c r="A6" s="213"/>
      <c r="B6" s="213"/>
      <c r="C6" s="213"/>
      <c r="D6" s="213"/>
      <c r="E6" s="213"/>
      <c r="F6" s="213"/>
      <c r="G6" s="213"/>
      <c r="H6" s="213"/>
      <c r="I6" s="213"/>
      <c r="J6" s="213"/>
      <c r="K6" s="213"/>
      <c r="L6" s="213"/>
      <c r="M6" s="213"/>
      <c r="N6" s="213"/>
      <c r="O6" s="213"/>
      <c r="P6" s="213"/>
      <c r="Q6" s="213"/>
      <c r="R6" s="213"/>
      <c r="S6" s="213"/>
      <c r="T6" s="213"/>
    </row>
    <row r="7" spans="1:22" s="212" customFormat="1" ht="5.25" customHeight="1">
      <c r="A7" s="253"/>
      <c r="B7" s="254"/>
      <c r="C7" s="254"/>
      <c r="D7" s="254"/>
      <c r="E7" s="254"/>
      <c r="F7" s="254"/>
      <c r="G7" s="254"/>
      <c r="H7" s="254"/>
      <c r="I7" s="254"/>
      <c r="J7" s="254"/>
      <c r="K7" s="254"/>
      <c r="L7" s="254"/>
      <c r="M7" s="254"/>
      <c r="N7" s="254"/>
      <c r="O7" s="254"/>
      <c r="P7" s="213"/>
      <c r="Q7" s="213"/>
      <c r="R7" s="213"/>
      <c r="S7" s="213"/>
      <c r="T7" s="213"/>
    </row>
    <row r="8" spans="1:22" s="212" customFormat="1" ht="17.25" customHeight="1">
      <c r="A8" s="253"/>
      <c r="B8" s="551" t="s">
        <v>768</v>
      </c>
      <c r="C8" s="551"/>
      <c r="D8" s="551"/>
      <c r="E8" s="551"/>
      <c r="F8" s="551"/>
      <c r="G8" s="551"/>
      <c r="H8" s="551"/>
      <c r="I8" s="551"/>
      <c r="J8" s="551"/>
      <c r="K8" s="255"/>
      <c r="L8" s="254"/>
      <c r="M8" s="254"/>
      <c r="N8" s="254"/>
      <c r="O8" s="254"/>
      <c r="P8" s="213"/>
      <c r="Q8" s="213" t="s">
        <v>769</v>
      </c>
      <c r="R8" s="213"/>
      <c r="S8" s="213"/>
      <c r="T8" s="213"/>
    </row>
    <row r="9" spans="1:22" s="212" customFormat="1" ht="11.25" customHeight="1">
      <c r="A9" s="231"/>
      <c r="B9" s="231"/>
      <c r="C9" s="231"/>
      <c r="D9" s="233"/>
      <c r="E9" s="233"/>
      <c r="F9" s="233"/>
      <c r="G9" s="233"/>
      <c r="H9" s="233"/>
      <c r="I9" s="233"/>
      <c r="J9" s="233"/>
      <c r="K9" s="233"/>
      <c r="L9" s="233"/>
      <c r="M9" s="233"/>
      <c r="N9" s="233"/>
      <c r="O9" s="233"/>
      <c r="P9" s="213"/>
      <c r="Q9" s="256" t="s">
        <v>770</v>
      </c>
      <c r="R9" s="257" t="s">
        <v>771</v>
      </c>
      <c r="S9" s="257"/>
      <c r="T9" s="257"/>
      <c r="U9" s="257"/>
      <c r="V9" s="367" t="s">
        <v>847</v>
      </c>
    </row>
    <row r="10" spans="1:22" s="212" customFormat="1" ht="19.5" customHeight="1">
      <c r="A10" s="231"/>
      <c r="B10" s="552" t="s">
        <v>772</v>
      </c>
      <c r="C10" s="552"/>
      <c r="D10" s="552"/>
      <c r="E10" s="552"/>
      <c r="F10" s="552"/>
      <c r="G10" s="258"/>
      <c r="H10" s="258"/>
      <c r="I10" s="258"/>
      <c r="J10" s="259"/>
      <c r="K10" s="259"/>
      <c r="L10" s="259"/>
      <c r="M10" s="259"/>
      <c r="N10" s="259"/>
      <c r="O10" s="233"/>
      <c r="P10" s="213"/>
      <c r="Q10" s="260" t="s">
        <v>333</v>
      </c>
      <c r="R10" s="553" t="s">
        <v>773</v>
      </c>
      <c r="S10" s="554"/>
      <c r="T10" s="554"/>
      <c r="U10" s="555"/>
      <c r="V10" s="368">
        <v>38.24</v>
      </c>
    </row>
    <row r="11" spans="1:22" s="212" customFormat="1" ht="19.5" customHeight="1">
      <c r="A11" s="231"/>
      <c r="B11" s="556" t="s">
        <v>774</v>
      </c>
      <c r="C11" s="556"/>
      <c r="D11" s="556"/>
      <c r="E11" s="556"/>
      <c r="F11" s="556"/>
      <c r="G11" s="556"/>
      <c r="H11" s="556"/>
      <c r="I11" s="556"/>
      <c r="J11" s="261">
        <v>1</v>
      </c>
      <c r="K11" s="261">
        <v>2</v>
      </c>
      <c r="L11" s="261">
        <v>3</v>
      </c>
      <c r="M11" s="261">
        <v>4</v>
      </c>
      <c r="N11" s="261">
        <v>5</v>
      </c>
      <c r="O11" s="233"/>
      <c r="P11" s="213"/>
      <c r="Q11" s="262" t="s">
        <v>334</v>
      </c>
      <c r="R11" s="553" t="s">
        <v>775</v>
      </c>
      <c r="S11" s="554"/>
      <c r="T11" s="554"/>
      <c r="U11" s="555"/>
      <c r="V11" s="369">
        <v>38.36</v>
      </c>
    </row>
    <row r="12" spans="1:22" s="212" customFormat="1" ht="19.5" customHeight="1">
      <c r="A12" s="231"/>
      <c r="B12" s="556" t="s">
        <v>776</v>
      </c>
      <c r="C12" s="556"/>
      <c r="D12" s="556"/>
      <c r="E12" s="556"/>
      <c r="F12" s="556"/>
      <c r="G12" s="556"/>
      <c r="H12" s="556"/>
      <c r="I12" s="556"/>
      <c r="J12" s="261">
        <v>2</v>
      </c>
      <c r="K12" s="261">
        <v>10</v>
      </c>
      <c r="L12" s="261">
        <v>18</v>
      </c>
      <c r="M12" s="261">
        <v>26</v>
      </c>
      <c r="N12" s="261">
        <v>34</v>
      </c>
      <c r="O12" s="233"/>
      <c r="P12" s="213"/>
      <c r="Q12" s="262" t="s">
        <v>335</v>
      </c>
      <c r="R12" s="553" t="s">
        <v>777</v>
      </c>
      <c r="S12" s="554"/>
      <c r="T12" s="554"/>
      <c r="U12" s="555"/>
      <c r="V12" s="369">
        <v>49.43</v>
      </c>
    </row>
    <row r="13" spans="1:22" s="212" customFormat="1" ht="19.5" customHeight="1">
      <c r="A13" s="231"/>
      <c r="B13" s="556" t="s">
        <v>778</v>
      </c>
      <c r="C13" s="556"/>
      <c r="D13" s="556"/>
      <c r="E13" s="556"/>
      <c r="F13" s="556"/>
      <c r="G13" s="556"/>
      <c r="H13" s="556"/>
      <c r="I13" s="556"/>
      <c r="J13" s="261">
        <v>9</v>
      </c>
      <c r="K13" s="261">
        <v>17</v>
      </c>
      <c r="L13" s="261">
        <v>25</v>
      </c>
      <c r="M13" s="261">
        <v>33</v>
      </c>
      <c r="N13" s="261">
        <v>40</v>
      </c>
      <c r="O13" s="233"/>
      <c r="P13" s="213"/>
      <c r="Q13" s="263" t="s">
        <v>336</v>
      </c>
      <c r="R13" s="553" t="s">
        <v>779</v>
      </c>
      <c r="S13" s="554"/>
      <c r="T13" s="554"/>
      <c r="U13" s="555"/>
      <c r="V13" s="370">
        <v>48.61</v>
      </c>
    </row>
    <row r="14" spans="1:22" s="212" customFormat="1" ht="19.5" customHeight="1">
      <c r="A14" s="231"/>
      <c r="B14" s="556" t="s">
        <v>780</v>
      </c>
      <c r="C14" s="556"/>
      <c r="D14" s="556"/>
      <c r="E14" s="556"/>
      <c r="F14" s="556"/>
      <c r="G14" s="556"/>
      <c r="H14" s="556"/>
      <c r="I14" s="556"/>
      <c r="J14" s="261">
        <v>5</v>
      </c>
      <c r="K14" s="261">
        <v>13</v>
      </c>
      <c r="L14" s="261">
        <v>21</v>
      </c>
      <c r="M14" s="261">
        <v>29</v>
      </c>
      <c r="N14" s="261">
        <v>37</v>
      </c>
      <c r="O14" s="233"/>
      <c r="P14" s="213"/>
      <c r="Q14" s="508" t="s">
        <v>820</v>
      </c>
      <c r="R14" s="508"/>
      <c r="S14" s="508"/>
      <c r="T14" s="508"/>
      <c r="U14" s="508"/>
    </row>
    <row r="15" spans="1:22" s="212" customFormat="1" ht="19.5" customHeight="1">
      <c r="A15" s="231"/>
      <c r="B15" s="556" t="s">
        <v>781</v>
      </c>
      <c r="C15" s="556"/>
      <c r="D15" s="556"/>
      <c r="E15" s="556"/>
      <c r="F15" s="556"/>
      <c r="G15" s="556"/>
      <c r="H15" s="556"/>
      <c r="I15" s="556"/>
      <c r="J15" s="261">
        <v>8</v>
      </c>
      <c r="K15" s="261">
        <v>8</v>
      </c>
      <c r="L15" s="261">
        <v>8</v>
      </c>
      <c r="M15" s="261">
        <v>8</v>
      </c>
      <c r="N15" s="261">
        <v>7</v>
      </c>
      <c r="O15" s="233"/>
      <c r="P15" s="213"/>
    </row>
    <row r="16" spans="1:22" s="212" customFormat="1" ht="19.5" customHeight="1">
      <c r="A16" s="264">
        <v>1</v>
      </c>
      <c r="B16" s="556" t="s">
        <v>782</v>
      </c>
      <c r="C16" s="556"/>
      <c r="D16" s="556"/>
      <c r="E16" s="556"/>
      <c r="F16" s="556"/>
      <c r="G16" s="556"/>
      <c r="H16" s="556"/>
      <c r="I16" s="556"/>
      <c r="J16" s="265"/>
      <c r="K16" s="265"/>
      <c r="L16" s="265"/>
      <c r="M16" s="265"/>
      <c r="N16" s="265"/>
      <c r="O16" s="233"/>
      <c r="P16" s="213"/>
      <c r="Q16" s="213"/>
      <c r="R16" s="213"/>
      <c r="S16" s="213"/>
      <c r="T16" s="213"/>
    </row>
    <row r="17" spans="1:21" s="212" customFormat="1" ht="19.5" customHeight="1">
      <c r="A17" s="264">
        <v>2</v>
      </c>
      <c r="B17" s="556" t="s">
        <v>783</v>
      </c>
      <c r="C17" s="556"/>
      <c r="D17" s="556"/>
      <c r="E17" s="556"/>
      <c r="F17" s="556"/>
      <c r="G17" s="556"/>
      <c r="H17" s="556"/>
      <c r="I17" s="556"/>
      <c r="J17" s="265"/>
      <c r="K17" s="265"/>
      <c r="L17" s="265"/>
      <c r="M17" s="265"/>
      <c r="N17" s="265"/>
      <c r="O17" s="233"/>
      <c r="P17" s="213"/>
      <c r="Q17" s="213"/>
      <c r="R17" s="266"/>
      <c r="S17" s="213"/>
      <c r="T17" s="213"/>
    </row>
    <row r="18" spans="1:21" s="212" customFormat="1" ht="19.5" customHeight="1">
      <c r="A18" s="264"/>
      <c r="B18" s="560"/>
      <c r="C18" s="560"/>
      <c r="D18" s="560"/>
      <c r="E18" s="560"/>
      <c r="F18" s="560"/>
      <c r="G18" s="560"/>
      <c r="H18" s="560"/>
      <c r="I18" s="560"/>
      <c r="J18" s="267" t="s">
        <v>784</v>
      </c>
      <c r="K18" s="267" t="s">
        <v>785</v>
      </c>
      <c r="L18" s="267" t="s">
        <v>786</v>
      </c>
      <c r="M18" s="267" t="s">
        <v>787</v>
      </c>
      <c r="N18" s="267" t="s">
        <v>788</v>
      </c>
      <c r="O18" s="233"/>
      <c r="P18" s="213"/>
      <c r="Q18" s="213"/>
      <c r="R18" s="213"/>
      <c r="S18" s="213"/>
      <c r="T18" s="213"/>
    </row>
    <row r="19" spans="1:21" s="212" customFormat="1" ht="19.5" customHeight="1">
      <c r="A19" s="264">
        <v>3</v>
      </c>
      <c r="B19" s="556" t="s">
        <v>789</v>
      </c>
      <c r="C19" s="556"/>
      <c r="D19" s="556"/>
      <c r="E19" s="556"/>
      <c r="F19" s="556"/>
      <c r="G19" s="556"/>
      <c r="H19" s="556"/>
      <c r="I19" s="556"/>
      <c r="J19" s="268">
        <f>J16-J17</f>
        <v>0</v>
      </c>
      <c r="K19" s="268">
        <f>K16-K17</f>
        <v>0</v>
      </c>
      <c r="L19" s="268">
        <f>L16-L17</f>
        <v>0</v>
      </c>
      <c r="M19" s="268">
        <f>M16-M17</f>
        <v>0</v>
      </c>
      <c r="N19" s="268">
        <f>N16-N17</f>
        <v>0</v>
      </c>
      <c r="O19" s="233"/>
      <c r="P19" s="213"/>
      <c r="Q19" s="213"/>
      <c r="R19" s="213"/>
      <c r="S19" s="213"/>
      <c r="T19" s="213"/>
    </row>
    <row r="20" spans="1:21" s="212" customFormat="1" ht="19.5" customHeight="1">
      <c r="A20" s="264">
        <v>4</v>
      </c>
      <c r="B20" s="556" t="s">
        <v>790</v>
      </c>
      <c r="C20" s="556"/>
      <c r="D20" s="556"/>
      <c r="E20" s="556"/>
      <c r="F20" s="556"/>
      <c r="G20" s="556"/>
      <c r="H20" s="556"/>
      <c r="I20" s="556"/>
      <c r="J20" s="269">
        <f>J19*J15*(VLOOKUP(J14,Tables!$S$5:$T$45,2,FALSE))</f>
        <v>0</v>
      </c>
      <c r="K20" s="269">
        <f>K19*K15*(VLOOKUP(K14,Tables!$S$5:$T$45,2,FALSE))</f>
        <v>0</v>
      </c>
      <c r="L20" s="269">
        <f>L19*L15*(VLOOKUP(L14,Tables!$S$5:$T$45,2,FALSE))</f>
        <v>0</v>
      </c>
      <c r="M20" s="269">
        <f>M19*M15*(VLOOKUP(M14,Tables!$S$5:$T$45,2,FALSE))</f>
        <v>0</v>
      </c>
      <c r="N20" s="269">
        <f>N19*N15*(VLOOKUP(N14,Tables!$S$5:$T$45,2,FALSE))</f>
        <v>0</v>
      </c>
      <c r="O20" s="233"/>
      <c r="P20" s="213"/>
      <c r="Q20" s="213"/>
      <c r="R20" s="213"/>
      <c r="S20" s="213"/>
      <c r="T20" s="213"/>
    </row>
    <row r="21" spans="1:21" s="212" customFormat="1" ht="19.5" customHeight="1">
      <c r="A21" s="231"/>
      <c r="B21" s="258"/>
      <c r="C21" s="258"/>
      <c r="D21" s="258"/>
      <c r="E21" s="258"/>
      <c r="F21" s="258"/>
      <c r="G21" s="258"/>
      <c r="H21" s="258"/>
      <c r="I21" s="258"/>
      <c r="J21" s="259"/>
      <c r="K21" s="259"/>
      <c r="L21" s="259"/>
      <c r="M21" s="259"/>
      <c r="N21" s="259"/>
      <c r="O21" s="233"/>
      <c r="P21" s="213"/>
      <c r="Q21" s="213"/>
      <c r="R21" s="213"/>
      <c r="S21" s="213"/>
      <c r="T21" s="213"/>
    </row>
    <row r="22" spans="1:21" s="212" customFormat="1" ht="19.5" customHeight="1">
      <c r="A22" s="264">
        <v>5</v>
      </c>
      <c r="B22" s="557" t="s">
        <v>279</v>
      </c>
      <c r="C22" s="557"/>
      <c r="D22" s="557"/>
      <c r="E22" s="557"/>
      <c r="F22" s="557"/>
      <c r="G22" s="233"/>
      <c r="H22" s="233"/>
      <c r="I22" s="233"/>
      <c r="J22" s="270"/>
      <c r="K22" s="270"/>
      <c r="L22" s="270"/>
      <c r="M22" s="270"/>
      <c r="N22" s="270"/>
      <c r="O22" s="233"/>
      <c r="P22" s="213"/>
      <c r="Q22" s="213"/>
      <c r="R22" s="213"/>
      <c r="S22" s="213"/>
      <c r="T22" s="213"/>
    </row>
    <row r="23" spans="1:21" s="212" customFormat="1" ht="19.5" customHeight="1">
      <c r="A23" s="233"/>
      <c r="B23" s="558" t="s">
        <v>791</v>
      </c>
      <c r="C23" s="558"/>
      <c r="D23" s="558"/>
      <c r="E23" s="558"/>
      <c r="F23" s="558"/>
      <c r="G23" s="558"/>
      <c r="H23" s="558"/>
      <c r="I23" s="558"/>
      <c r="J23" s="558"/>
      <c r="K23" s="558"/>
      <c r="L23" s="271" t="s">
        <v>760</v>
      </c>
      <c r="M23" s="559">
        <f>SUM(J20:N20)</f>
        <v>0</v>
      </c>
      <c r="N23" s="559"/>
      <c r="O23" s="264" t="s">
        <v>435</v>
      </c>
      <c r="P23" s="213"/>
      <c r="Q23" s="272" t="s">
        <v>792</v>
      </c>
      <c r="R23" s="273"/>
      <c r="S23" s="273"/>
      <c r="T23" s="273"/>
      <c r="U23" s="274"/>
    </row>
    <row r="24" spans="1:21" s="212" customFormat="1" ht="19.5" customHeight="1">
      <c r="A24" s="270"/>
      <c r="B24" s="270"/>
      <c r="C24" s="270"/>
      <c r="D24" s="270"/>
      <c r="E24" s="270"/>
      <c r="F24" s="270"/>
      <c r="G24" s="270"/>
      <c r="H24" s="270"/>
      <c r="I24" s="270"/>
      <c r="J24" s="270"/>
      <c r="K24" s="270"/>
      <c r="L24" s="270"/>
      <c r="M24" s="270"/>
      <c r="N24" s="270"/>
      <c r="O24" s="233"/>
      <c r="P24" s="213"/>
      <c r="Q24" s="213"/>
      <c r="R24" s="213"/>
      <c r="S24" s="213"/>
      <c r="T24" s="213"/>
    </row>
    <row r="25" spans="1:21">
      <c r="A25" s="213"/>
      <c r="B25" s="213"/>
      <c r="C25" s="213"/>
      <c r="D25" s="213"/>
      <c r="E25" s="213"/>
      <c r="F25" s="213"/>
      <c r="G25" s="213"/>
      <c r="H25" s="213"/>
      <c r="I25" s="213"/>
      <c r="J25" s="245"/>
      <c r="K25" s="245"/>
      <c r="L25" s="245"/>
      <c r="M25" s="245"/>
      <c r="N25" s="245"/>
      <c r="O25" s="213"/>
      <c r="P25" s="213"/>
      <c r="Q25" s="213"/>
      <c r="R25" s="213"/>
      <c r="S25" s="213"/>
      <c r="T25" s="213"/>
    </row>
    <row r="26" spans="1:21" hidden="1">
      <c r="A26" s="213"/>
      <c r="B26" s="213"/>
      <c r="C26" s="213"/>
      <c r="D26" s="213"/>
      <c r="E26" s="213"/>
      <c r="F26" s="213"/>
      <c r="G26" s="213"/>
      <c r="H26" s="213"/>
      <c r="I26" s="213"/>
      <c r="J26" s="245"/>
      <c r="K26" s="245"/>
      <c r="L26" s="245"/>
      <c r="M26" s="245"/>
      <c r="N26" s="245"/>
      <c r="O26" s="213"/>
      <c r="P26" s="213"/>
      <c r="Q26" s="213"/>
      <c r="R26" s="213"/>
      <c r="S26" s="213"/>
      <c r="T26" s="213"/>
    </row>
    <row r="27" spans="1:21" hidden="1">
      <c r="A27" s="213"/>
      <c r="B27" s="213"/>
      <c r="C27" s="213"/>
      <c r="D27" s="213"/>
      <c r="E27" s="213"/>
      <c r="F27" s="213"/>
      <c r="G27" s="213"/>
      <c r="H27" s="213"/>
      <c r="I27" s="213"/>
      <c r="J27" s="245"/>
      <c r="K27" s="245"/>
      <c r="L27" s="245"/>
      <c r="M27" s="245"/>
      <c r="N27" s="245"/>
      <c r="O27" s="213"/>
      <c r="P27" s="213"/>
      <c r="Q27" s="213"/>
      <c r="R27" s="213"/>
      <c r="S27" s="213"/>
      <c r="T27" s="213"/>
    </row>
    <row r="28" spans="1:21" hidden="1">
      <c r="A28" s="213"/>
      <c r="B28" s="213"/>
      <c r="C28" s="213" t="s">
        <v>793</v>
      </c>
      <c r="D28" s="213"/>
      <c r="E28" s="213"/>
      <c r="F28" s="213"/>
      <c r="G28" s="213">
        <f>(J19*J15)+(K19*K15)+(L19*L15)+(M19*M15)+(N19*N15)</f>
        <v>0</v>
      </c>
      <c r="H28" s="213"/>
      <c r="I28" s="213"/>
      <c r="J28" s="245"/>
      <c r="K28" s="245"/>
      <c r="L28" s="245"/>
      <c r="M28" s="245"/>
      <c r="N28" s="245"/>
      <c r="O28" s="213"/>
      <c r="P28" s="213"/>
      <c r="Q28" s="213"/>
      <c r="R28" s="213"/>
      <c r="S28" s="213"/>
      <c r="T28" s="213"/>
    </row>
    <row r="29" spans="1:21" hidden="1">
      <c r="A29" s="213"/>
      <c r="B29" s="213"/>
      <c r="C29" s="213" t="s">
        <v>794</v>
      </c>
      <c r="D29" s="213"/>
      <c r="E29" s="213"/>
      <c r="F29" s="213"/>
      <c r="G29" s="213" t="e">
        <f>G28/K8</f>
        <v>#DIV/0!</v>
      </c>
      <c r="H29" s="213"/>
      <c r="I29" s="213"/>
      <c r="J29" s="245"/>
      <c r="K29" s="245"/>
      <c r="L29" s="245"/>
      <c r="M29" s="245"/>
      <c r="N29" s="245"/>
      <c r="O29" s="213"/>
      <c r="P29" s="213"/>
      <c r="Q29" s="213"/>
      <c r="R29" s="213"/>
      <c r="S29" s="213"/>
      <c r="T29" s="213"/>
    </row>
    <row r="30" spans="1:21" hidden="1">
      <c r="A30" s="213"/>
      <c r="B30" s="213"/>
      <c r="C30" s="213"/>
      <c r="D30" s="213"/>
      <c r="E30" s="213"/>
      <c r="F30" s="213"/>
      <c r="G30" s="213"/>
      <c r="H30" s="213"/>
      <c r="I30" s="213"/>
      <c r="J30" s="245"/>
      <c r="K30" s="245"/>
      <c r="L30" s="245"/>
      <c r="M30" s="245"/>
      <c r="N30" s="245"/>
      <c r="O30" s="213"/>
      <c r="P30" s="213"/>
      <c r="Q30" s="213"/>
      <c r="R30" s="213"/>
      <c r="S30" s="213"/>
      <c r="T30" s="213"/>
    </row>
    <row r="31" spans="1:21">
      <c r="A31" s="213"/>
      <c r="B31" s="213"/>
      <c r="C31" s="213"/>
      <c r="D31" s="213"/>
      <c r="E31" s="213"/>
      <c r="F31" s="213"/>
      <c r="G31" s="213"/>
      <c r="H31" s="213"/>
      <c r="I31" s="213"/>
      <c r="J31" s="245"/>
      <c r="K31" s="245"/>
      <c r="L31" s="245"/>
      <c r="M31" s="245"/>
      <c r="N31" s="245"/>
      <c r="O31" s="213"/>
      <c r="P31" s="213"/>
      <c r="Q31" s="213"/>
      <c r="R31" s="213"/>
      <c r="S31" s="213"/>
      <c r="T31" s="213"/>
    </row>
    <row r="32" spans="1:21">
      <c r="A32" s="213"/>
      <c r="B32" s="213"/>
      <c r="C32" s="213"/>
      <c r="D32" s="213"/>
      <c r="E32" s="213"/>
      <c r="F32" s="213"/>
      <c r="G32" s="213"/>
      <c r="H32" s="213"/>
      <c r="I32" s="213"/>
      <c r="J32" s="245"/>
      <c r="K32" s="245"/>
      <c r="L32" s="245"/>
      <c r="M32" s="245"/>
      <c r="N32" s="245"/>
      <c r="O32" s="213"/>
      <c r="P32" s="213"/>
      <c r="Q32" s="213"/>
      <c r="R32" s="213"/>
      <c r="S32" s="213"/>
      <c r="T32" s="213"/>
    </row>
    <row r="33" spans="1:20">
      <c r="A33" s="213"/>
      <c r="B33" s="213"/>
      <c r="C33" s="213"/>
      <c r="D33" s="213"/>
      <c r="E33" s="213"/>
      <c r="F33" s="213"/>
      <c r="G33" s="213"/>
      <c r="H33" s="213"/>
      <c r="I33" s="213"/>
      <c r="J33" s="245"/>
      <c r="K33" s="245"/>
      <c r="L33" s="245"/>
      <c r="M33" s="245"/>
      <c r="N33" s="245"/>
      <c r="O33" s="213"/>
      <c r="P33" s="213"/>
      <c r="Q33" s="213"/>
      <c r="R33" s="213"/>
      <c r="S33" s="213"/>
      <c r="T33" s="213"/>
    </row>
    <row r="34" spans="1:20">
      <c r="A34" s="213"/>
      <c r="B34" s="213"/>
      <c r="C34" s="213"/>
      <c r="D34" s="213"/>
      <c r="E34" s="213"/>
      <c r="F34" s="213"/>
      <c r="G34" s="213"/>
      <c r="H34" s="213"/>
      <c r="I34" s="213"/>
      <c r="J34" s="245"/>
      <c r="K34" s="245"/>
      <c r="L34" s="245"/>
      <c r="M34" s="245"/>
      <c r="N34" s="245"/>
      <c r="O34" s="213"/>
      <c r="P34" s="213"/>
      <c r="Q34" s="213"/>
      <c r="R34" s="213"/>
      <c r="S34" s="213"/>
      <c r="T34" s="213"/>
    </row>
    <row r="35" spans="1:20">
      <c r="A35" s="213"/>
      <c r="B35" s="213"/>
      <c r="C35" s="213"/>
      <c r="D35" s="213"/>
      <c r="E35" s="213"/>
      <c r="F35" s="213"/>
      <c r="G35" s="213"/>
      <c r="H35" s="213"/>
      <c r="I35" s="213"/>
      <c r="J35" s="245"/>
      <c r="K35" s="245"/>
      <c r="L35" s="245"/>
      <c r="M35" s="245"/>
      <c r="N35" s="245"/>
      <c r="O35" s="213"/>
      <c r="P35" s="213"/>
      <c r="Q35" s="213"/>
      <c r="R35" s="213"/>
      <c r="S35" s="213"/>
      <c r="T35" s="213"/>
    </row>
    <row r="36" spans="1:20">
      <c r="A36" s="213"/>
      <c r="B36" s="213"/>
      <c r="C36" s="213"/>
      <c r="D36" s="213"/>
      <c r="E36" s="213"/>
      <c r="F36" s="213"/>
      <c r="G36" s="213"/>
      <c r="H36" s="213"/>
      <c r="I36" s="213"/>
      <c r="J36" s="245"/>
      <c r="K36" s="245"/>
      <c r="L36" s="245"/>
      <c r="M36" s="245"/>
      <c r="N36" s="245"/>
      <c r="O36" s="213"/>
      <c r="P36" s="213"/>
      <c r="Q36" s="213"/>
      <c r="R36" s="213"/>
      <c r="S36" s="213"/>
      <c r="T36" s="213"/>
    </row>
    <row r="37" spans="1:20">
      <c r="A37" s="213"/>
      <c r="B37" s="213"/>
      <c r="C37" s="213"/>
      <c r="D37" s="213"/>
      <c r="E37" s="213"/>
      <c r="F37" s="213"/>
      <c r="G37" s="213"/>
      <c r="H37" s="213"/>
      <c r="I37" s="213"/>
      <c r="J37" s="245"/>
      <c r="K37" s="245"/>
      <c r="L37" s="245"/>
      <c r="M37" s="245"/>
      <c r="N37" s="245"/>
      <c r="O37" s="213"/>
      <c r="P37" s="213"/>
      <c r="Q37" s="213"/>
      <c r="R37" s="213"/>
      <c r="S37" s="213"/>
      <c r="T37" s="213"/>
    </row>
    <row r="38" spans="1:20">
      <c r="A38" s="213"/>
      <c r="B38" s="213"/>
      <c r="C38" s="213"/>
      <c r="D38" s="213"/>
      <c r="E38" s="213"/>
      <c r="F38" s="213"/>
      <c r="G38" s="213"/>
      <c r="H38" s="213"/>
      <c r="I38" s="213"/>
      <c r="J38" s="245"/>
      <c r="K38" s="245"/>
      <c r="L38" s="245"/>
      <c r="M38" s="245"/>
      <c r="N38" s="245"/>
      <c r="O38" s="213"/>
      <c r="P38" s="213"/>
      <c r="Q38" s="213"/>
      <c r="R38" s="213"/>
      <c r="S38" s="213"/>
      <c r="T38" s="213"/>
    </row>
    <row r="39" spans="1:20">
      <c r="A39" s="213"/>
      <c r="B39" s="213"/>
      <c r="C39" s="213"/>
      <c r="D39" s="213"/>
      <c r="E39" s="213"/>
      <c r="F39" s="213"/>
      <c r="G39" s="213"/>
      <c r="H39" s="213"/>
      <c r="I39" s="213"/>
      <c r="J39" s="245"/>
      <c r="K39" s="245"/>
      <c r="L39" s="245"/>
      <c r="M39" s="245"/>
      <c r="N39" s="245"/>
      <c r="O39" s="213"/>
      <c r="P39" s="213"/>
      <c r="Q39" s="213"/>
      <c r="R39" s="213"/>
      <c r="S39" s="213"/>
      <c r="T39" s="213"/>
    </row>
    <row r="40" spans="1:20">
      <c r="A40" s="213"/>
      <c r="B40" s="213"/>
      <c r="C40" s="213"/>
      <c r="D40" s="213"/>
      <c r="E40" s="213"/>
      <c r="F40" s="213"/>
      <c r="G40" s="213"/>
      <c r="H40" s="213"/>
      <c r="I40" s="213"/>
      <c r="J40" s="245"/>
      <c r="K40" s="245"/>
      <c r="L40" s="245"/>
      <c r="M40" s="245"/>
      <c r="N40" s="245"/>
      <c r="O40" s="213"/>
      <c r="P40" s="213"/>
      <c r="Q40" s="213"/>
      <c r="R40" s="213"/>
      <c r="S40" s="213"/>
      <c r="T40" s="213"/>
    </row>
    <row r="41" spans="1:20">
      <c r="A41" s="213"/>
      <c r="B41" s="213"/>
      <c r="C41" s="213"/>
      <c r="D41" s="213"/>
      <c r="E41" s="213"/>
      <c r="F41" s="213"/>
      <c r="G41" s="213"/>
      <c r="H41" s="213"/>
      <c r="I41" s="213"/>
      <c r="J41" s="245"/>
      <c r="K41" s="245"/>
      <c r="L41" s="245"/>
      <c r="M41" s="245"/>
      <c r="N41" s="245"/>
      <c r="O41" s="213"/>
      <c r="P41" s="213"/>
      <c r="Q41" s="213"/>
      <c r="R41" s="213"/>
      <c r="S41" s="213"/>
      <c r="T41" s="213"/>
    </row>
    <row r="42" spans="1:20">
      <c r="A42" s="213"/>
      <c r="B42" s="213"/>
      <c r="C42" s="213"/>
      <c r="D42" s="213"/>
      <c r="E42" s="213"/>
      <c r="F42" s="213"/>
      <c r="G42" s="213"/>
      <c r="H42" s="213"/>
      <c r="I42" s="213"/>
      <c r="J42" s="245"/>
      <c r="K42" s="245"/>
      <c r="L42" s="245"/>
      <c r="M42" s="245"/>
      <c r="N42" s="245"/>
      <c r="O42" s="213"/>
      <c r="P42" s="213"/>
      <c r="Q42" s="213"/>
      <c r="R42" s="213"/>
      <c r="S42" s="213"/>
      <c r="T42" s="213"/>
    </row>
    <row r="43" spans="1:20">
      <c r="A43" s="213"/>
      <c r="B43" s="213"/>
      <c r="C43" s="213"/>
      <c r="D43" s="213"/>
      <c r="E43" s="213"/>
      <c r="F43" s="213"/>
      <c r="G43" s="213"/>
      <c r="H43" s="213"/>
      <c r="I43" s="213"/>
      <c r="J43" s="245"/>
      <c r="K43" s="245"/>
      <c r="L43" s="245"/>
      <c r="M43" s="245"/>
      <c r="N43" s="245"/>
      <c r="O43" s="213"/>
      <c r="P43" s="213"/>
      <c r="Q43" s="213"/>
      <c r="R43" s="213"/>
      <c r="S43" s="213"/>
      <c r="T43" s="213"/>
    </row>
    <row r="44" spans="1:20">
      <c r="A44" s="213"/>
      <c r="B44" s="213"/>
      <c r="C44" s="213"/>
      <c r="D44" s="213"/>
      <c r="E44" s="213"/>
      <c r="F44" s="213"/>
      <c r="G44" s="213"/>
      <c r="H44" s="213"/>
      <c r="I44" s="213"/>
      <c r="J44" s="245"/>
      <c r="K44" s="245"/>
      <c r="L44" s="245"/>
      <c r="M44" s="245"/>
      <c r="N44" s="245"/>
      <c r="O44" s="213"/>
      <c r="P44" s="213"/>
      <c r="Q44" s="213"/>
      <c r="R44" s="213"/>
      <c r="S44" s="213"/>
      <c r="T44" s="213"/>
    </row>
    <row r="45" spans="1:20">
      <c r="A45" s="213"/>
      <c r="B45" s="213"/>
      <c r="C45" s="213"/>
      <c r="D45" s="213"/>
      <c r="E45" s="213"/>
      <c r="F45" s="213"/>
      <c r="G45" s="213"/>
      <c r="H45" s="213"/>
      <c r="I45" s="213"/>
      <c r="J45" s="245"/>
      <c r="K45" s="245"/>
      <c r="L45" s="245"/>
      <c r="M45" s="245"/>
      <c r="N45" s="245"/>
      <c r="O45" s="213"/>
      <c r="P45" s="213"/>
      <c r="Q45" s="213"/>
      <c r="R45" s="213"/>
      <c r="S45" s="213"/>
      <c r="T45" s="213"/>
    </row>
    <row r="46" spans="1:20">
      <c r="A46" s="213"/>
      <c r="B46" s="213"/>
      <c r="C46" s="213"/>
      <c r="D46" s="213"/>
      <c r="E46" s="213"/>
      <c r="F46" s="213"/>
      <c r="G46" s="213"/>
      <c r="H46" s="213"/>
      <c r="I46" s="213"/>
      <c r="J46" s="245"/>
      <c r="K46" s="245"/>
      <c r="L46" s="245"/>
      <c r="M46" s="245"/>
      <c r="N46" s="245"/>
      <c r="O46" s="213"/>
      <c r="P46" s="213"/>
      <c r="Q46" s="213"/>
      <c r="R46" s="213"/>
      <c r="S46" s="213"/>
      <c r="T46" s="213"/>
    </row>
    <row r="47" spans="1:20">
      <c r="A47" s="213"/>
      <c r="B47" s="213"/>
      <c r="C47" s="213"/>
      <c r="D47" s="213"/>
      <c r="E47" s="213"/>
      <c r="F47" s="213"/>
      <c r="G47" s="213"/>
      <c r="H47" s="213"/>
      <c r="I47" s="213"/>
      <c r="J47" s="245"/>
      <c r="K47" s="245"/>
      <c r="L47" s="245"/>
      <c r="M47" s="245"/>
      <c r="N47" s="245"/>
      <c r="O47" s="213"/>
      <c r="P47" s="213"/>
      <c r="Q47" s="213"/>
      <c r="R47" s="213"/>
      <c r="S47" s="213"/>
      <c r="T47" s="213"/>
    </row>
    <row r="48" spans="1:20">
      <c r="A48" s="213"/>
      <c r="B48" s="213"/>
      <c r="C48" s="213"/>
      <c r="D48" s="213"/>
      <c r="E48" s="213"/>
      <c r="F48" s="213"/>
      <c r="G48" s="213"/>
      <c r="H48" s="213"/>
      <c r="I48" s="213"/>
      <c r="J48" s="245"/>
      <c r="K48" s="245"/>
      <c r="L48" s="245"/>
      <c r="M48" s="245"/>
      <c r="N48" s="245"/>
      <c r="O48" s="213"/>
      <c r="P48" s="213"/>
      <c r="Q48" s="213"/>
      <c r="R48" s="213"/>
      <c r="S48" s="213"/>
      <c r="T48" s="213"/>
    </row>
    <row r="49" spans="1:20">
      <c r="A49" s="213"/>
      <c r="B49" s="213"/>
      <c r="C49" s="213"/>
      <c r="D49" s="213"/>
      <c r="E49" s="213"/>
      <c r="F49" s="213"/>
      <c r="G49" s="213"/>
      <c r="H49" s="213"/>
      <c r="I49" s="213"/>
      <c r="J49" s="245"/>
      <c r="K49" s="245"/>
      <c r="L49" s="245"/>
      <c r="M49" s="245"/>
      <c r="N49" s="245"/>
      <c r="O49" s="213"/>
      <c r="P49" s="213"/>
      <c r="Q49" s="213"/>
      <c r="R49" s="213"/>
      <c r="S49" s="213"/>
      <c r="T49" s="213"/>
    </row>
    <row r="50" spans="1:20">
      <c r="A50" s="213"/>
      <c r="B50" s="213"/>
      <c r="C50" s="213"/>
      <c r="D50" s="213"/>
      <c r="E50" s="213"/>
      <c r="F50" s="213"/>
      <c r="G50" s="213"/>
      <c r="H50" s="213"/>
      <c r="I50" s="213"/>
      <c r="J50" s="245"/>
      <c r="K50" s="245"/>
      <c r="L50" s="245"/>
      <c r="M50" s="245"/>
      <c r="N50" s="245"/>
      <c r="O50" s="213"/>
      <c r="P50" s="213"/>
      <c r="Q50" s="213"/>
      <c r="R50" s="213"/>
      <c r="S50" s="213"/>
      <c r="T50" s="213"/>
    </row>
    <row r="51" spans="1:20">
      <c r="A51" s="213"/>
      <c r="B51" s="213"/>
      <c r="C51" s="213"/>
      <c r="D51" s="213"/>
      <c r="E51" s="213"/>
      <c r="F51" s="213"/>
      <c r="G51" s="213"/>
      <c r="H51" s="213"/>
      <c r="I51" s="213"/>
      <c r="J51" s="245"/>
      <c r="K51" s="245"/>
      <c r="L51" s="245"/>
      <c r="M51" s="245"/>
      <c r="N51" s="245"/>
      <c r="O51" s="213"/>
      <c r="P51" s="213"/>
      <c r="Q51" s="213"/>
      <c r="R51" s="213"/>
      <c r="S51" s="213"/>
      <c r="T51" s="213"/>
    </row>
    <row r="52" spans="1:20">
      <c r="A52" s="213"/>
      <c r="B52" s="213"/>
      <c r="C52" s="213"/>
      <c r="D52" s="213"/>
      <c r="E52" s="213"/>
      <c r="F52" s="213"/>
      <c r="G52" s="213"/>
      <c r="H52" s="213"/>
      <c r="I52" s="213"/>
      <c r="J52" s="245"/>
      <c r="K52" s="245"/>
      <c r="L52" s="245"/>
      <c r="M52" s="245"/>
      <c r="N52" s="245"/>
      <c r="O52" s="213"/>
      <c r="P52" s="213"/>
      <c r="Q52" s="213"/>
      <c r="R52" s="213"/>
      <c r="S52" s="213"/>
      <c r="T52" s="213"/>
    </row>
    <row r="53" spans="1:20">
      <c r="A53" s="213"/>
      <c r="B53" s="213"/>
      <c r="C53" s="213"/>
      <c r="D53" s="213"/>
      <c r="E53" s="213"/>
      <c r="F53" s="213"/>
      <c r="G53" s="213"/>
      <c r="H53" s="213"/>
      <c r="I53" s="213"/>
      <c r="J53" s="245"/>
      <c r="K53" s="245"/>
      <c r="L53" s="245"/>
      <c r="M53" s="245"/>
      <c r="N53" s="245"/>
      <c r="O53" s="213"/>
      <c r="P53" s="213"/>
      <c r="Q53" s="213"/>
      <c r="R53" s="213"/>
      <c r="S53" s="213"/>
      <c r="T53" s="213"/>
    </row>
    <row r="54" spans="1:20">
      <c r="A54" s="213"/>
      <c r="B54" s="213"/>
      <c r="C54" s="213"/>
      <c r="D54" s="213"/>
      <c r="E54" s="213"/>
      <c r="F54" s="213"/>
      <c r="G54" s="213"/>
      <c r="H54" s="213"/>
      <c r="I54" s="213"/>
      <c r="J54" s="245"/>
      <c r="K54" s="245"/>
      <c r="L54" s="245"/>
      <c r="M54" s="245"/>
      <c r="N54" s="245"/>
      <c r="O54" s="213"/>
      <c r="P54" s="213"/>
      <c r="Q54" s="213"/>
      <c r="R54" s="213"/>
      <c r="S54" s="213"/>
      <c r="T54" s="213"/>
    </row>
    <row r="55" spans="1:20">
      <c r="A55" s="213"/>
      <c r="B55" s="213"/>
      <c r="C55" s="213"/>
      <c r="D55" s="213"/>
      <c r="E55" s="213"/>
      <c r="F55" s="213"/>
      <c r="G55" s="213"/>
      <c r="H55" s="213"/>
      <c r="I55" s="213"/>
      <c r="J55" s="245"/>
      <c r="K55" s="245"/>
      <c r="L55" s="245"/>
      <c r="M55" s="245"/>
      <c r="N55" s="245"/>
      <c r="O55" s="213"/>
      <c r="P55" s="213"/>
      <c r="Q55" s="213"/>
      <c r="R55" s="213"/>
      <c r="S55" s="213"/>
      <c r="T55" s="213"/>
    </row>
    <row r="56" spans="1:20">
      <c r="A56" s="213"/>
      <c r="B56" s="213"/>
      <c r="C56" s="213"/>
      <c r="D56" s="213"/>
      <c r="E56" s="213"/>
      <c r="F56" s="213"/>
      <c r="G56" s="213"/>
      <c r="H56" s="213"/>
      <c r="I56" s="213"/>
      <c r="J56" s="245"/>
      <c r="K56" s="245"/>
      <c r="L56" s="245"/>
      <c r="M56" s="245"/>
      <c r="N56" s="245"/>
      <c r="O56" s="213"/>
      <c r="P56" s="213"/>
      <c r="Q56" s="213"/>
      <c r="R56" s="213"/>
      <c r="S56" s="213"/>
      <c r="T56" s="213"/>
    </row>
    <row r="57" spans="1:20">
      <c r="A57" s="213"/>
      <c r="B57" s="213"/>
      <c r="C57" s="213"/>
      <c r="D57" s="213"/>
      <c r="E57" s="213"/>
      <c r="F57" s="213"/>
      <c r="G57" s="213"/>
      <c r="H57" s="213"/>
      <c r="I57" s="213"/>
      <c r="J57" s="245"/>
      <c r="K57" s="245"/>
      <c r="L57" s="245"/>
      <c r="M57" s="245"/>
      <c r="N57" s="245"/>
      <c r="O57" s="213"/>
      <c r="P57" s="213"/>
      <c r="Q57" s="213"/>
      <c r="R57" s="213"/>
      <c r="S57" s="213"/>
      <c r="T57" s="213"/>
    </row>
    <row r="58" spans="1:20">
      <c r="A58" s="213"/>
      <c r="B58" s="213"/>
      <c r="C58" s="213"/>
      <c r="D58" s="213"/>
      <c r="E58" s="213"/>
      <c r="F58" s="213"/>
      <c r="G58" s="213"/>
      <c r="H58" s="213"/>
      <c r="I58" s="213"/>
      <c r="J58" s="245"/>
      <c r="K58" s="245"/>
      <c r="L58" s="245"/>
      <c r="M58" s="245"/>
      <c r="N58" s="245"/>
      <c r="O58" s="213"/>
      <c r="P58" s="213"/>
      <c r="Q58" s="213"/>
      <c r="R58" s="213"/>
      <c r="S58" s="213"/>
      <c r="T58" s="213"/>
    </row>
    <row r="59" spans="1:20">
      <c r="A59" s="213"/>
      <c r="B59" s="213"/>
      <c r="C59" s="213"/>
      <c r="D59" s="213"/>
      <c r="E59" s="213"/>
      <c r="F59" s="213"/>
      <c r="G59" s="213"/>
      <c r="H59" s="213"/>
      <c r="I59" s="213"/>
      <c r="J59" s="245"/>
      <c r="K59" s="245"/>
      <c r="L59" s="245"/>
      <c r="M59" s="245"/>
      <c r="N59" s="245"/>
      <c r="O59" s="213"/>
      <c r="P59" s="213"/>
      <c r="Q59" s="213"/>
      <c r="R59" s="213"/>
      <c r="S59" s="213"/>
      <c r="T59" s="213"/>
    </row>
    <row r="60" spans="1:20">
      <c r="A60" s="213"/>
      <c r="B60" s="213"/>
      <c r="C60" s="213"/>
      <c r="D60" s="213"/>
      <c r="E60" s="213"/>
      <c r="F60" s="213"/>
      <c r="G60" s="213"/>
      <c r="H60" s="213"/>
      <c r="I60" s="213"/>
      <c r="J60" s="245"/>
      <c r="K60" s="245"/>
      <c r="L60" s="245"/>
      <c r="M60" s="245"/>
      <c r="N60" s="245"/>
      <c r="O60" s="213"/>
      <c r="P60" s="213"/>
      <c r="Q60" s="213"/>
      <c r="R60" s="213"/>
      <c r="S60" s="213"/>
      <c r="T60" s="213"/>
    </row>
    <row r="61" spans="1:20">
      <c r="A61" s="213"/>
      <c r="B61" s="213"/>
      <c r="C61" s="213"/>
      <c r="D61" s="213"/>
      <c r="E61" s="213"/>
      <c r="F61" s="213"/>
      <c r="G61" s="213"/>
      <c r="H61" s="213"/>
      <c r="I61" s="213"/>
      <c r="J61" s="245"/>
      <c r="K61" s="245"/>
      <c r="L61" s="245"/>
      <c r="M61" s="245"/>
      <c r="N61" s="245"/>
      <c r="O61" s="213"/>
      <c r="P61" s="213"/>
      <c r="Q61" s="213"/>
      <c r="R61" s="213"/>
      <c r="S61" s="213"/>
      <c r="T61" s="213"/>
    </row>
    <row r="62" spans="1:20">
      <c r="A62" s="213"/>
      <c r="B62" s="213"/>
      <c r="C62" s="213"/>
      <c r="D62" s="213"/>
      <c r="E62" s="213"/>
      <c r="F62" s="213"/>
      <c r="G62" s="213"/>
      <c r="H62" s="213"/>
      <c r="I62" s="213"/>
      <c r="J62" s="245"/>
      <c r="K62" s="245"/>
      <c r="L62" s="245"/>
      <c r="M62" s="245"/>
      <c r="N62" s="245"/>
      <c r="O62" s="213"/>
      <c r="P62" s="213"/>
      <c r="Q62" s="213"/>
      <c r="R62" s="213"/>
      <c r="S62" s="213"/>
      <c r="T62" s="213"/>
    </row>
    <row r="63" spans="1:20">
      <c r="A63" s="213"/>
      <c r="B63" s="213"/>
      <c r="C63" s="213"/>
      <c r="D63" s="213"/>
      <c r="E63" s="213"/>
      <c r="F63" s="213"/>
      <c r="G63" s="213"/>
      <c r="H63" s="213"/>
      <c r="I63" s="213"/>
      <c r="J63" s="245"/>
      <c r="K63" s="245"/>
      <c r="L63" s="245"/>
      <c r="M63" s="245"/>
      <c r="N63" s="245"/>
      <c r="O63" s="213"/>
      <c r="P63" s="213"/>
      <c r="Q63" s="213"/>
      <c r="R63" s="213"/>
      <c r="S63" s="213"/>
      <c r="T63" s="213"/>
    </row>
    <row r="64" spans="1:20">
      <c r="A64" s="213"/>
      <c r="B64" s="213"/>
      <c r="C64" s="213"/>
      <c r="D64" s="213"/>
      <c r="E64" s="213"/>
      <c r="F64" s="213"/>
      <c r="G64" s="213"/>
      <c r="H64" s="213"/>
      <c r="I64" s="213"/>
      <c r="J64" s="245"/>
      <c r="K64" s="245"/>
      <c r="L64" s="245"/>
      <c r="M64" s="245"/>
      <c r="N64" s="245"/>
      <c r="O64" s="213"/>
      <c r="P64" s="213"/>
      <c r="Q64" s="213"/>
      <c r="R64" s="213"/>
      <c r="S64" s="213"/>
      <c r="T64" s="213"/>
    </row>
    <row r="65" spans="1:20">
      <c r="A65" s="213"/>
      <c r="B65" s="213"/>
      <c r="C65" s="213"/>
      <c r="D65" s="213"/>
      <c r="E65" s="213"/>
      <c r="F65" s="213"/>
      <c r="G65" s="213"/>
      <c r="H65" s="213"/>
      <c r="I65" s="213"/>
      <c r="J65" s="245"/>
      <c r="K65" s="245"/>
      <c r="L65" s="245"/>
      <c r="M65" s="245"/>
      <c r="N65" s="245"/>
      <c r="O65" s="213"/>
      <c r="P65" s="213"/>
      <c r="Q65" s="213"/>
      <c r="R65" s="213"/>
      <c r="S65" s="213"/>
      <c r="T65" s="213"/>
    </row>
    <row r="66" spans="1:20">
      <c r="A66" s="213"/>
      <c r="B66" s="213"/>
      <c r="C66" s="213"/>
      <c r="D66" s="213"/>
      <c r="E66" s="213"/>
      <c r="F66" s="213"/>
      <c r="G66" s="213"/>
      <c r="H66" s="213"/>
      <c r="I66" s="213"/>
      <c r="J66" s="245"/>
      <c r="K66" s="245"/>
      <c r="L66" s="245"/>
      <c r="M66" s="245"/>
      <c r="N66" s="245"/>
      <c r="O66" s="213"/>
      <c r="P66" s="213"/>
      <c r="Q66" s="213"/>
      <c r="R66" s="213"/>
      <c r="S66" s="213"/>
      <c r="T66" s="213"/>
    </row>
    <row r="67" spans="1:20">
      <c r="A67" s="213"/>
      <c r="B67" s="213"/>
      <c r="C67" s="213"/>
      <c r="D67" s="213"/>
      <c r="E67" s="213"/>
      <c r="F67" s="213"/>
      <c r="G67" s="213"/>
      <c r="H67" s="213"/>
      <c r="I67" s="213"/>
      <c r="J67" s="245"/>
      <c r="K67" s="245"/>
      <c r="L67" s="245"/>
      <c r="M67" s="245"/>
      <c r="N67" s="245"/>
      <c r="O67" s="213"/>
      <c r="P67" s="213"/>
      <c r="Q67" s="213"/>
      <c r="R67" s="213"/>
      <c r="S67" s="213"/>
      <c r="T67" s="213"/>
    </row>
    <row r="68" spans="1:20">
      <c r="A68" s="213"/>
      <c r="B68" s="213"/>
      <c r="C68" s="213"/>
      <c r="D68" s="213"/>
      <c r="E68" s="213"/>
      <c r="F68" s="213"/>
      <c r="G68" s="213"/>
      <c r="H68" s="213"/>
      <c r="I68" s="213"/>
      <c r="J68" s="245"/>
      <c r="K68" s="245"/>
      <c r="L68" s="245"/>
      <c r="M68" s="245"/>
      <c r="N68" s="245"/>
      <c r="O68" s="213"/>
      <c r="P68" s="213"/>
      <c r="Q68" s="213"/>
      <c r="R68" s="213"/>
      <c r="S68" s="213"/>
      <c r="T68" s="213"/>
    </row>
    <row r="69" spans="1:20">
      <c r="A69" s="213"/>
      <c r="B69" s="213"/>
      <c r="C69" s="213"/>
      <c r="D69" s="213"/>
      <c r="E69" s="213"/>
      <c r="F69" s="213"/>
      <c r="G69" s="213"/>
      <c r="H69" s="213"/>
      <c r="I69" s="213"/>
      <c r="J69" s="245"/>
      <c r="K69" s="245"/>
      <c r="L69" s="245"/>
      <c r="M69" s="245"/>
      <c r="N69" s="245"/>
      <c r="O69" s="213"/>
      <c r="P69" s="213"/>
      <c r="Q69" s="213"/>
      <c r="R69" s="213"/>
      <c r="S69" s="213"/>
      <c r="T69" s="213"/>
    </row>
    <row r="70" spans="1:20">
      <c r="A70" s="213"/>
      <c r="B70" s="213"/>
      <c r="C70" s="213"/>
      <c r="D70" s="213"/>
      <c r="E70" s="213"/>
      <c r="F70" s="213"/>
      <c r="G70" s="213"/>
      <c r="H70" s="213"/>
      <c r="I70" s="213"/>
      <c r="J70" s="245"/>
      <c r="K70" s="245"/>
      <c r="L70" s="245"/>
      <c r="M70" s="245"/>
      <c r="N70" s="245"/>
      <c r="O70" s="213"/>
      <c r="P70" s="213"/>
      <c r="Q70" s="213"/>
      <c r="R70" s="213"/>
      <c r="S70" s="213"/>
      <c r="T70" s="213"/>
    </row>
    <row r="71" spans="1:20">
      <c r="A71" s="213"/>
      <c r="B71" s="213"/>
      <c r="C71" s="213"/>
      <c r="D71" s="213"/>
      <c r="E71" s="213"/>
      <c r="F71" s="213"/>
      <c r="G71" s="213"/>
      <c r="H71" s="213"/>
      <c r="I71" s="213"/>
      <c r="J71" s="245"/>
      <c r="K71" s="245"/>
      <c r="L71" s="245"/>
      <c r="M71" s="245"/>
      <c r="N71" s="245"/>
      <c r="O71" s="213"/>
      <c r="P71" s="213"/>
      <c r="Q71" s="213"/>
      <c r="R71" s="213"/>
      <c r="S71" s="213"/>
      <c r="T71" s="213"/>
    </row>
    <row r="72" spans="1:20">
      <c r="A72" s="213"/>
      <c r="B72" s="213"/>
      <c r="C72" s="213"/>
      <c r="D72" s="213"/>
      <c r="E72" s="213"/>
      <c r="F72" s="213"/>
      <c r="G72" s="213"/>
      <c r="H72" s="213"/>
      <c r="I72" s="213"/>
      <c r="J72" s="245"/>
      <c r="K72" s="245"/>
      <c r="L72" s="245"/>
      <c r="M72" s="245"/>
      <c r="N72" s="245"/>
      <c r="O72" s="213"/>
      <c r="P72" s="213"/>
      <c r="Q72" s="213"/>
      <c r="R72" s="213"/>
      <c r="S72" s="213"/>
      <c r="T72" s="213"/>
    </row>
    <row r="73" spans="1:20">
      <c r="A73" s="213"/>
      <c r="B73" s="213"/>
      <c r="C73" s="213"/>
      <c r="D73" s="213"/>
      <c r="E73" s="213"/>
      <c r="F73" s="213"/>
      <c r="G73" s="213"/>
      <c r="H73" s="213"/>
      <c r="I73" s="213"/>
      <c r="J73" s="245"/>
      <c r="K73" s="245"/>
      <c r="L73" s="245"/>
      <c r="M73" s="245"/>
      <c r="N73" s="245"/>
      <c r="O73" s="213"/>
      <c r="P73" s="213"/>
      <c r="Q73" s="213"/>
      <c r="R73" s="213"/>
      <c r="S73" s="213"/>
      <c r="T73" s="213"/>
    </row>
    <row r="74" spans="1:20">
      <c r="A74" s="213"/>
      <c r="B74" s="213"/>
      <c r="C74" s="213"/>
      <c r="D74" s="213"/>
      <c r="E74" s="213"/>
      <c r="F74" s="213"/>
      <c r="G74" s="213"/>
      <c r="H74" s="213"/>
      <c r="I74" s="213"/>
      <c r="J74" s="245"/>
      <c r="K74" s="245"/>
      <c r="L74" s="245"/>
      <c r="M74" s="245"/>
      <c r="N74" s="245"/>
      <c r="O74" s="213"/>
      <c r="P74" s="213"/>
      <c r="Q74" s="213"/>
      <c r="R74" s="213"/>
      <c r="S74" s="213"/>
      <c r="T74" s="213"/>
    </row>
    <row r="75" spans="1:20">
      <c r="A75" s="213"/>
      <c r="B75" s="213"/>
      <c r="C75" s="213"/>
      <c r="D75" s="213"/>
      <c r="E75" s="213"/>
      <c r="F75" s="213"/>
      <c r="G75" s="213"/>
      <c r="H75" s="213"/>
      <c r="I75" s="213"/>
      <c r="J75" s="245"/>
      <c r="K75" s="245"/>
      <c r="L75" s="245"/>
      <c r="M75" s="245"/>
      <c r="N75" s="245"/>
      <c r="O75" s="213"/>
      <c r="P75" s="213"/>
      <c r="Q75" s="213"/>
      <c r="R75" s="213"/>
      <c r="S75" s="213"/>
      <c r="T75" s="213"/>
    </row>
    <row r="76" spans="1:20">
      <c r="A76" s="213"/>
      <c r="B76" s="213"/>
      <c r="C76" s="213"/>
      <c r="D76" s="213"/>
      <c r="E76" s="213"/>
      <c r="F76" s="213"/>
      <c r="G76" s="213"/>
      <c r="H76" s="213"/>
      <c r="I76" s="213"/>
      <c r="J76" s="245"/>
      <c r="K76" s="245"/>
      <c r="L76" s="245"/>
      <c r="M76" s="245"/>
      <c r="N76" s="245"/>
      <c r="O76" s="213"/>
      <c r="P76" s="213"/>
      <c r="Q76" s="213"/>
      <c r="R76" s="213"/>
      <c r="S76" s="213"/>
      <c r="T76" s="213"/>
    </row>
    <row r="77" spans="1:20">
      <c r="A77" s="213"/>
      <c r="B77" s="213"/>
      <c r="C77" s="213"/>
      <c r="D77" s="213"/>
      <c r="E77" s="213"/>
      <c r="F77" s="213"/>
      <c r="G77" s="213"/>
      <c r="H77" s="213"/>
      <c r="I77" s="213"/>
      <c r="J77" s="245"/>
      <c r="K77" s="245"/>
      <c r="L77" s="245"/>
      <c r="M77" s="245"/>
      <c r="N77" s="245"/>
      <c r="O77" s="213"/>
      <c r="P77" s="213"/>
      <c r="Q77" s="213"/>
      <c r="R77" s="213"/>
      <c r="S77" s="213"/>
      <c r="T77" s="213"/>
    </row>
    <row r="78" spans="1:20">
      <c r="A78" s="213"/>
      <c r="B78" s="213"/>
      <c r="C78" s="213"/>
      <c r="D78" s="213"/>
      <c r="E78" s="213"/>
      <c r="F78" s="213"/>
      <c r="G78" s="213"/>
      <c r="H78" s="213"/>
      <c r="I78" s="213"/>
      <c r="J78" s="245"/>
      <c r="K78" s="245"/>
      <c r="L78" s="245"/>
      <c r="M78" s="245"/>
      <c r="N78" s="245"/>
      <c r="O78" s="213"/>
      <c r="P78" s="213"/>
      <c r="Q78" s="213"/>
      <c r="R78" s="213"/>
      <c r="S78" s="213"/>
      <c r="T78" s="213"/>
    </row>
    <row r="79" spans="1:20">
      <c r="A79" s="213"/>
      <c r="B79" s="213"/>
      <c r="C79" s="213"/>
      <c r="D79" s="213"/>
      <c r="E79" s="213"/>
      <c r="F79" s="213"/>
      <c r="G79" s="213"/>
      <c r="H79" s="213"/>
      <c r="I79" s="213"/>
      <c r="J79" s="245"/>
      <c r="K79" s="245"/>
      <c r="L79" s="245"/>
      <c r="M79" s="245"/>
      <c r="N79" s="245"/>
      <c r="O79" s="213"/>
      <c r="P79" s="213"/>
      <c r="Q79" s="213"/>
      <c r="R79" s="213"/>
      <c r="S79" s="213"/>
      <c r="T79" s="213"/>
    </row>
    <row r="80" spans="1:20">
      <c r="A80" s="213"/>
      <c r="B80" s="213"/>
      <c r="C80" s="213"/>
      <c r="D80" s="213"/>
      <c r="E80" s="213"/>
      <c r="F80" s="213"/>
      <c r="G80" s="213"/>
      <c r="H80" s="213"/>
      <c r="I80" s="213"/>
      <c r="J80" s="245"/>
      <c r="K80" s="245"/>
      <c r="L80" s="245"/>
      <c r="M80" s="245"/>
      <c r="N80" s="245"/>
      <c r="O80" s="213"/>
      <c r="P80" s="213"/>
      <c r="Q80" s="213"/>
      <c r="R80" s="213"/>
      <c r="S80" s="213"/>
      <c r="T80" s="213"/>
    </row>
    <row r="81" spans="1:20">
      <c r="A81" s="213"/>
      <c r="B81" s="213"/>
      <c r="C81" s="213"/>
      <c r="D81" s="213"/>
      <c r="E81" s="213"/>
      <c r="F81" s="213"/>
      <c r="G81" s="213"/>
      <c r="H81" s="213"/>
      <c r="I81" s="213"/>
      <c r="J81" s="245"/>
      <c r="K81" s="245"/>
      <c r="L81" s="245"/>
      <c r="M81" s="245"/>
      <c r="N81" s="245"/>
      <c r="O81" s="213"/>
      <c r="P81" s="213"/>
      <c r="Q81" s="213"/>
      <c r="R81" s="213"/>
      <c r="S81" s="213"/>
      <c r="T81" s="213"/>
    </row>
    <row r="82" spans="1:20">
      <c r="A82" s="213"/>
      <c r="B82" s="213"/>
      <c r="C82" s="213"/>
      <c r="D82" s="213"/>
      <c r="E82" s="213"/>
      <c r="F82" s="213"/>
      <c r="G82" s="213"/>
      <c r="H82" s="213"/>
      <c r="I82" s="213"/>
      <c r="J82" s="245"/>
      <c r="K82" s="245"/>
      <c r="L82" s="245"/>
      <c r="M82" s="245"/>
      <c r="N82" s="245"/>
      <c r="O82" s="213"/>
      <c r="P82" s="213"/>
      <c r="Q82" s="213"/>
      <c r="R82" s="213"/>
      <c r="S82" s="213"/>
      <c r="T82" s="213"/>
    </row>
    <row r="83" spans="1:20">
      <c r="A83" s="213"/>
      <c r="B83" s="213"/>
      <c r="C83" s="213"/>
      <c r="D83" s="213"/>
      <c r="E83" s="213"/>
      <c r="F83" s="213"/>
      <c r="G83" s="213"/>
      <c r="H83" s="213"/>
      <c r="I83" s="213"/>
      <c r="J83" s="245"/>
      <c r="K83" s="245"/>
      <c r="L83" s="245"/>
      <c r="M83" s="245"/>
      <c r="N83" s="245"/>
      <c r="O83" s="213"/>
      <c r="P83" s="213"/>
      <c r="Q83" s="213"/>
      <c r="R83" s="213"/>
      <c r="S83" s="213"/>
      <c r="T83" s="213"/>
    </row>
    <row r="84" spans="1:20">
      <c r="A84" s="213"/>
      <c r="B84" s="213"/>
      <c r="C84" s="213"/>
      <c r="D84" s="213"/>
      <c r="E84" s="213"/>
      <c r="F84" s="213"/>
      <c r="G84" s="213"/>
      <c r="H84" s="213"/>
      <c r="I84" s="213"/>
      <c r="J84" s="245"/>
      <c r="K84" s="245"/>
      <c r="L84" s="245"/>
      <c r="M84" s="245"/>
      <c r="N84" s="245"/>
      <c r="O84" s="213"/>
      <c r="P84" s="213"/>
      <c r="Q84" s="213"/>
      <c r="R84" s="213"/>
      <c r="S84" s="213"/>
      <c r="T84" s="213"/>
    </row>
    <row r="85" spans="1:20">
      <c r="A85" s="213"/>
      <c r="B85" s="213"/>
      <c r="C85" s="213"/>
      <c r="D85" s="213"/>
      <c r="E85" s="213"/>
      <c r="F85" s="213"/>
      <c r="G85" s="213"/>
      <c r="H85" s="213"/>
      <c r="I85" s="213"/>
      <c r="J85" s="245"/>
      <c r="K85" s="245"/>
      <c r="L85" s="245"/>
      <c r="M85" s="245"/>
      <c r="N85" s="245"/>
      <c r="O85" s="213"/>
      <c r="P85" s="213"/>
      <c r="Q85" s="213"/>
      <c r="R85" s="213"/>
      <c r="S85" s="213"/>
      <c r="T85" s="213"/>
    </row>
    <row r="86" spans="1:20">
      <c r="A86" s="213"/>
      <c r="B86" s="213"/>
      <c r="C86" s="213"/>
      <c r="D86" s="213"/>
      <c r="E86" s="213"/>
      <c r="F86" s="213"/>
      <c r="G86" s="213"/>
      <c r="H86" s="213"/>
      <c r="I86" s="213"/>
      <c r="J86" s="245"/>
      <c r="K86" s="245"/>
      <c r="L86" s="245"/>
      <c r="M86" s="245"/>
      <c r="N86" s="245"/>
      <c r="O86" s="213"/>
      <c r="P86" s="213"/>
      <c r="Q86" s="213"/>
      <c r="R86" s="213"/>
      <c r="S86" s="213"/>
      <c r="T86" s="213"/>
    </row>
  </sheetData>
  <sheetProtection algorithmName="SHA-512" hashValue="bp6wOyx29JBk3WKg8g+NwTb21Hg/XG83dfxvfLQJNC6vrlma1USFkYmBc+5up4LYYzMvTGSAPYQOQxJ7NBqoFw==" saltValue="OCnxkogY4pTq8pMaerj13Q==" spinCount="100000" sheet="1" objects="1" scenarios="1"/>
  <protectedRanges>
    <protectedRange sqref="E10:F20" name="Range15"/>
    <protectedRange sqref="L10:M10" name="Range14"/>
  </protectedRanges>
  <mergeCells count="21">
    <mergeCell ref="B22:F22"/>
    <mergeCell ref="B23:K23"/>
    <mergeCell ref="M23:N23"/>
    <mergeCell ref="B15:I15"/>
    <mergeCell ref="B16:I16"/>
    <mergeCell ref="B17:I17"/>
    <mergeCell ref="B18:I18"/>
    <mergeCell ref="B19:I19"/>
    <mergeCell ref="B20:I20"/>
    <mergeCell ref="B12:I12"/>
    <mergeCell ref="R12:U12"/>
    <mergeCell ref="B13:I13"/>
    <mergeCell ref="R13:U13"/>
    <mergeCell ref="B14:I14"/>
    <mergeCell ref="Q14:U14"/>
    <mergeCell ref="B4:O5"/>
    <mergeCell ref="B8:J8"/>
    <mergeCell ref="B10:F10"/>
    <mergeCell ref="R10:U10"/>
    <mergeCell ref="B11:I11"/>
    <mergeCell ref="R11:U11"/>
  </mergeCells>
  <hyperlinks>
    <hyperlink ref="Q14" r:id="rId1" display="https://www.nzta.govt.nz/assets/resources/economic-evaluation-manual/economic-evaluation-manual/docs/eem-manual-2016.pdf" xr:uid="{1321AF92-6E25-49AC-8087-10B3E8499A72}"/>
    <hyperlink ref="Q14:U14" r:id="rId2" display="MBCM Manual - table A4.3 for full range of values" xr:uid="{34CBDC09-5940-446B-B156-5558733BFBBD}"/>
  </hyperlinks>
  <printOptions horizontalCentered="1"/>
  <pageMargins left="0.74803149606299213" right="0.70866141732283472" top="0.74803149606299213" bottom="0.9055118110236221" header="0.39370078740157483" footer="0.39370078740157483"/>
  <pageSetup paperSize="9" scale="88" orientation="portrait" r:id="rId3"/>
  <headerFooter scaleWithDoc="0" alignWithMargins="0">
    <oddHeader xml:space="preserve">&amp;L&amp;"-,Regular"&amp;8&amp;F&amp;R&amp;"-,Regular"&amp;8&amp;A
_____________________________________________________________________________________________
</oddHeader>
    <oddFooter>&amp;L&amp;"-,Regular"&amp;8___________________________________________________________________________________________________
NZ Transport Agency’s Economic evaluation manual 
Effective from Jul 2013</oddFooter>
  </headerFooter>
  <legacyDrawing r:id="rId4"/>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6D5565-3735-45D9-9428-D8F25C841ED4}">
  <sheetPr codeName="Sheet11">
    <pageSetUpPr fitToPage="1"/>
  </sheetPr>
  <dimension ref="A1:U83"/>
  <sheetViews>
    <sheetView zoomScaleNormal="100" workbookViewId="0"/>
  </sheetViews>
  <sheetFormatPr defaultRowHeight="12.6"/>
  <cols>
    <col min="1" max="1" width="2.19921875" style="217" customWidth="1"/>
    <col min="2" max="9" width="3.8984375" style="217" customWidth="1"/>
    <col min="10" max="14" width="10.59765625" style="217" customWidth="1"/>
    <col min="15" max="15" width="3.09765625" style="217" customWidth="1"/>
    <col min="16" max="16" width="13.59765625" style="217" customWidth="1"/>
    <col min="17" max="17" width="26.69921875" style="217" customWidth="1"/>
    <col min="18" max="21" width="13.59765625" style="217" customWidth="1"/>
    <col min="22" max="256" width="9" style="217"/>
    <col min="257" max="257" width="2.19921875" style="217" customWidth="1"/>
    <col min="258" max="265" width="3.8984375" style="217" customWidth="1"/>
    <col min="266" max="270" width="10.59765625" style="217" customWidth="1"/>
    <col min="271" max="271" width="3.09765625" style="217" customWidth="1"/>
    <col min="272" max="272" width="13.59765625" style="217" customWidth="1"/>
    <col min="273" max="273" width="26.69921875" style="217" customWidth="1"/>
    <col min="274" max="277" width="13.59765625" style="217" customWidth="1"/>
    <col min="278" max="512" width="9" style="217"/>
    <col min="513" max="513" width="2.19921875" style="217" customWidth="1"/>
    <col min="514" max="521" width="3.8984375" style="217" customWidth="1"/>
    <col min="522" max="526" width="10.59765625" style="217" customWidth="1"/>
    <col min="527" max="527" width="3.09765625" style="217" customWidth="1"/>
    <col min="528" max="528" width="13.59765625" style="217" customWidth="1"/>
    <col min="529" max="529" width="26.69921875" style="217" customWidth="1"/>
    <col min="530" max="533" width="13.59765625" style="217" customWidth="1"/>
    <col min="534" max="768" width="9" style="217"/>
    <col min="769" max="769" width="2.19921875" style="217" customWidth="1"/>
    <col min="770" max="777" width="3.8984375" style="217" customWidth="1"/>
    <col min="778" max="782" width="10.59765625" style="217" customWidth="1"/>
    <col min="783" max="783" width="3.09765625" style="217" customWidth="1"/>
    <col min="784" max="784" width="13.59765625" style="217" customWidth="1"/>
    <col min="785" max="785" width="26.69921875" style="217" customWidth="1"/>
    <col min="786" max="789" width="13.59765625" style="217" customWidth="1"/>
    <col min="790" max="1024" width="9" style="217"/>
    <col min="1025" max="1025" width="2.19921875" style="217" customWidth="1"/>
    <col min="1026" max="1033" width="3.8984375" style="217" customWidth="1"/>
    <col min="1034" max="1038" width="10.59765625" style="217" customWidth="1"/>
    <col min="1039" max="1039" width="3.09765625" style="217" customWidth="1"/>
    <col min="1040" max="1040" width="13.59765625" style="217" customWidth="1"/>
    <col min="1041" max="1041" width="26.69921875" style="217" customWidth="1"/>
    <col min="1042" max="1045" width="13.59765625" style="217" customWidth="1"/>
    <col min="1046" max="1280" width="9" style="217"/>
    <col min="1281" max="1281" width="2.19921875" style="217" customWidth="1"/>
    <col min="1282" max="1289" width="3.8984375" style="217" customWidth="1"/>
    <col min="1290" max="1294" width="10.59765625" style="217" customWidth="1"/>
    <col min="1295" max="1295" width="3.09765625" style="217" customWidth="1"/>
    <col min="1296" max="1296" width="13.59765625" style="217" customWidth="1"/>
    <col min="1297" max="1297" width="26.69921875" style="217" customWidth="1"/>
    <col min="1298" max="1301" width="13.59765625" style="217" customWidth="1"/>
    <col min="1302" max="1536" width="9" style="217"/>
    <col min="1537" max="1537" width="2.19921875" style="217" customWidth="1"/>
    <col min="1538" max="1545" width="3.8984375" style="217" customWidth="1"/>
    <col min="1546" max="1550" width="10.59765625" style="217" customWidth="1"/>
    <col min="1551" max="1551" width="3.09765625" style="217" customWidth="1"/>
    <col min="1552" max="1552" width="13.59765625" style="217" customWidth="1"/>
    <col min="1553" max="1553" width="26.69921875" style="217" customWidth="1"/>
    <col min="1554" max="1557" width="13.59765625" style="217" customWidth="1"/>
    <col min="1558" max="1792" width="9" style="217"/>
    <col min="1793" max="1793" width="2.19921875" style="217" customWidth="1"/>
    <col min="1794" max="1801" width="3.8984375" style="217" customWidth="1"/>
    <col min="1802" max="1806" width="10.59765625" style="217" customWidth="1"/>
    <col min="1807" max="1807" width="3.09765625" style="217" customWidth="1"/>
    <col min="1808" max="1808" width="13.59765625" style="217" customWidth="1"/>
    <col min="1809" max="1809" width="26.69921875" style="217" customWidth="1"/>
    <col min="1810" max="1813" width="13.59765625" style="217" customWidth="1"/>
    <col min="1814" max="2048" width="9" style="217"/>
    <col min="2049" max="2049" width="2.19921875" style="217" customWidth="1"/>
    <col min="2050" max="2057" width="3.8984375" style="217" customWidth="1"/>
    <col min="2058" max="2062" width="10.59765625" style="217" customWidth="1"/>
    <col min="2063" max="2063" width="3.09765625" style="217" customWidth="1"/>
    <col min="2064" max="2064" width="13.59765625" style="217" customWidth="1"/>
    <col min="2065" max="2065" width="26.69921875" style="217" customWidth="1"/>
    <col min="2066" max="2069" width="13.59765625" style="217" customWidth="1"/>
    <col min="2070" max="2304" width="9" style="217"/>
    <col min="2305" max="2305" width="2.19921875" style="217" customWidth="1"/>
    <col min="2306" max="2313" width="3.8984375" style="217" customWidth="1"/>
    <col min="2314" max="2318" width="10.59765625" style="217" customWidth="1"/>
    <col min="2319" max="2319" width="3.09765625" style="217" customWidth="1"/>
    <col min="2320" max="2320" width="13.59765625" style="217" customWidth="1"/>
    <col min="2321" max="2321" width="26.69921875" style="217" customWidth="1"/>
    <col min="2322" max="2325" width="13.59765625" style="217" customWidth="1"/>
    <col min="2326" max="2560" width="9" style="217"/>
    <col min="2561" max="2561" width="2.19921875" style="217" customWidth="1"/>
    <col min="2562" max="2569" width="3.8984375" style="217" customWidth="1"/>
    <col min="2570" max="2574" width="10.59765625" style="217" customWidth="1"/>
    <col min="2575" max="2575" width="3.09765625" style="217" customWidth="1"/>
    <col min="2576" max="2576" width="13.59765625" style="217" customWidth="1"/>
    <col min="2577" max="2577" width="26.69921875" style="217" customWidth="1"/>
    <col min="2578" max="2581" width="13.59765625" style="217" customWidth="1"/>
    <col min="2582" max="2816" width="9" style="217"/>
    <col min="2817" max="2817" width="2.19921875" style="217" customWidth="1"/>
    <col min="2818" max="2825" width="3.8984375" style="217" customWidth="1"/>
    <col min="2826" max="2830" width="10.59765625" style="217" customWidth="1"/>
    <col min="2831" max="2831" width="3.09765625" style="217" customWidth="1"/>
    <col min="2832" max="2832" width="13.59765625" style="217" customWidth="1"/>
    <col min="2833" max="2833" width="26.69921875" style="217" customWidth="1"/>
    <col min="2834" max="2837" width="13.59765625" style="217" customWidth="1"/>
    <col min="2838" max="3072" width="9" style="217"/>
    <col min="3073" max="3073" width="2.19921875" style="217" customWidth="1"/>
    <col min="3074" max="3081" width="3.8984375" style="217" customWidth="1"/>
    <col min="3082" max="3086" width="10.59765625" style="217" customWidth="1"/>
    <col min="3087" max="3087" width="3.09765625" style="217" customWidth="1"/>
    <col min="3088" max="3088" width="13.59765625" style="217" customWidth="1"/>
    <col min="3089" max="3089" width="26.69921875" style="217" customWidth="1"/>
    <col min="3090" max="3093" width="13.59765625" style="217" customWidth="1"/>
    <col min="3094" max="3328" width="9" style="217"/>
    <col min="3329" max="3329" width="2.19921875" style="217" customWidth="1"/>
    <col min="3330" max="3337" width="3.8984375" style="217" customWidth="1"/>
    <col min="3338" max="3342" width="10.59765625" style="217" customWidth="1"/>
    <col min="3343" max="3343" width="3.09765625" style="217" customWidth="1"/>
    <col min="3344" max="3344" width="13.59765625" style="217" customWidth="1"/>
    <col min="3345" max="3345" width="26.69921875" style="217" customWidth="1"/>
    <col min="3346" max="3349" width="13.59765625" style="217" customWidth="1"/>
    <col min="3350" max="3584" width="9" style="217"/>
    <col min="3585" max="3585" width="2.19921875" style="217" customWidth="1"/>
    <col min="3586" max="3593" width="3.8984375" style="217" customWidth="1"/>
    <col min="3594" max="3598" width="10.59765625" style="217" customWidth="1"/>
    <col min="3599" max="3599" width="3.09765625" style="217" customWidth="1"/>
    <col min="3600" max="3600" width="13.59765625" style="217" customWidth="1"/>
    <col min="3601" max="3601" width="26.69921875" style="217" customWidth="1"/>
    <col min="3602" max="3605" width="13.59765625" style="217" customWidth="1"/>
    <col min="3606" max="3840" width="9" style="217"/>
    <col min="3841" max="3841" width="2.19921875" style="217" customWidth="1"/>
    <col min="3842" max="3849" width="3.8984375" style="217" customWidth="1"/>
    <col min="3850" max="3854" width="10.59765625" style="217" customWidth="1"/>
    <col min="3855" max="3855" width="3.09765625" style="217" customWidth="1"/>
    <col min="3856" max="3856" width="13.59765625" style="217" customWidth="1"/>
    <col min="3857" max="3857" width="26.69921875" style="217" customWidth="1"/>
    <col min="3858" max="3861" width="13.59765625" style="217" customWidth="1"/>
    <col min="3862" max="4096" width="9" style="217"/>
    <col min="4097" max="4097" width="2.19921875" style="217" customWidth="1"/>
    <col min="4098" max="4105" width="3.8984375" style="217" customWidth="1"/>
    <col min="4106" max="4110" width="10.59765625" style="217" customWidth="1"/>
    <col min="4111" max="4111" width="3.09765625" style="217" customWidth="1"/>
    <col min="4112" max="4112" width="13.59765625" style="217" customWidth="1"/>
    <col min="4113" max="4113" width="26.69921875" style="217" customWidth="1"/>
    <col min="4114" max="4117" width="13.59765625" style="217" customWidth="1"/>
    <col min="4118" max="4352" width="9" style="217"/>
    <col min="4353" max="4353" width="2.19921875" style="217" customWidth="1"/>
    <col min="4354" max="4361" width="3.8984375" style="217" customWidth="1"/>
    <col min="4362" max="4366" width="10.59765625" style="217" customWidth="1"/>
    <col min="4367" max="4367" width="3.09765625" style="217" customWidth="1"/>
    <col min="4368" max="4368" width="13.59765625" style="217" customWidth="1"/>
    <col min="4369" max="4369" width="26.69921875" style="217" customWidth="1"/>
    <col min="4370" max="4373" width="13.59765625" style="217" customWidth="1"/>
    <col min="4374" max="4608" width="9" style="217"/>
    <col min="4609" max="4609" width="2.19921875" style="217" customWidth="1"/>
    <col min="4610" max="4617" width="3.8984375" style="217" customWidth="1"/>
    <col min="4618" max="4622" width="10.59765625" style="217" customWidth="1"/>
    <col min="4623" max="4623" width="3.09765625" style="217" customWidth="1"/>
    <col min="4624" max="4624" width="13.59765625" style="217" customWidth="1"/>
    <col min="4625" max="4625" width="26.69921875" style="217" customWidth="1"/>
    <col min="4626" max="4629" width="13.59765625" style="217" customWidth="1"/>
    <col min="4630" max="4864" width="9" style="217"/>
    <col min="4865" max="4865" width="2.19921875" style="217" customWidth="1"/>
    <col min="4866" max="4873" width="3.8984375" style="217" customWidth="1"/>
    <col min="4874" max="4878" width="10.59765625" style="217" customWidth="1"/>
    <col min="4879" max="4879" width="3.09765625" style="217" customWidth="1"/>
    <col min="4880" max="4880" width="13.59765625" style="217" customWidth="1"/>
    <col min="4881" max="4881" width="26.69921875" style="217" customWidth="1"/>
    <col min="4882" max="4885" width="13.59765625" style="217" customWidth="1"/>
    <col min="4886" max="5120" width="9" style="217"/>
    <col min="5121" max="5121" width="2.19921875" style="217" customWidth="1"/>
    <col min="5122" max="5129" width="3.8984375" style="217" customWidth="1"/>
    <col min="5130" max="5134" width="10.59765625" style="217" customWidth="1"/>
    <col min="5135" max="5135" width="3.09765625" style="217" customWidth="1"/>
    <col min="5136" max="5136" width="13.59765625" style="217" customWidth="1"/>
    <col min="5137" max="5137" width="26.69921875" style="217" customWidth="1"/>
    <col min="5138" max="5141" width="13.59765625" style="217" customWidth="1"/>
    <col min="5142" max="5376" width="9" style="217"/>
    <col min="5377" max="5377" width="2.19921875" style="217" customWidth="1"/>
    <col min="5378" max="5385" width="3.8984375" style="217" customWidth="1"/>
    <col min="5386" max="5390" width="10.59765625" style="217" customWidth="1"/>
    <col min="5391" max="5391" width="3.09765625" style="217" customWidth="1"/>
    <col min="5392" max="5392" width="13.59765625" style="217" customWidth="1"/>
    <col min="5393" max="5393" width="26.69921875" style="217" customWidth="1"/>
    <col min="5394" max="5397" width="13.59765625" style="217" customWidth="1"/>
    <col min="5398" max="5632" width="9" style="217"/>
    <col min="5633" max="5633" width="2.19921875" style="217" customWidth="1"/>
    <col min="5634" max="5641" width="3.8984375" style="217" customWidth="1"/>
    <col min="5642" max="5646" width="10.59765625" style="217" customWidth="1"/>
    <col min="5647" max="5647" width="3.09765625" style="217" customWidth="1"/>
    <col min="5648" max="5648" width="13.59765625" style="217" customWidth="1"/>
    <col min="5649" max="5649" width="26.69921875" style="217" customWidth="1"/>
    <col min="5650" max="5653" width="13.59765625" style="217" customWidth="1"/>
    <col min="5654" max="5888" width="9" style="217"/>
    <col min="5889" max="5889" width="2.19921875" style="217" customWidth="1"/>
    <col min="5890" max="5897" width="3.8984375" style="217" customWidth="1"/>
    <col min="5898" max="5902" width="10.59765625" style="217" customWidth="1"/>
    <col min="5903" max="5903" width="3.09765625" style="217" customWidth="1"/>
    <col min="5904" max="5904" width="13.59765625" style="217" customWidth="1"/>
    <col min="5905" max="5905" width="26.69921875" style="217" customWidth="1"/>
    <col min="5906" max="5909" width="13.59765625" style="217" customWidth="1"/>
    <col min="5910" max="6144" width="9" style="217"/>
    <col min="6145" max="6145" width="2.19921875" style="217" customWidth="1"/>
    <col min="6146" max="6153" width="3.8984375" style="217" customWidth="1"/>
    <col min="6154" max="6158" width="10.59765625" style="217" customWidth="1"/>
    <col min="6159" max="6159" width="3.09765625" style="217" customWidth="1"/>
    <col min="6160" max="6160" width="13.59765625" style="217" customWidth="1"/>
    <col min="6161" max="6161" width="26.69921875" style="217" customWidth="1"/>
    <col min="6162" max="6165" width="13.59765625" style="217" customWidth="1"/>
    <col min="6166" max="6400" width="9" style="217"/>
    <col min="6401" max="6401" width="2.19921875" style="217" customWidth="1"/>
    <col min="6402" max="6409" width="3.8984375" style="217" customWidth="1"/>
    <col min="6410" max="6414" width="10.59765625" style="217" customWidth="1"/>
    <col min="6415" max="6415" width="3.09765625" style="217" customWidth="1"/>
    <col min="6416" max="6416" width="13.59765625" style="217" customWidth="1"/>
    <col min="6417" max="6417" width="26.69921875" style="217" customWidth="1"/>
    <col min="6418" max="6421" width="13.59765625" style="217" customWidth="1"/>
    <col min="6422" max="6656" width="9" style="217"/>
    <col min="6657" max="6657" width="2.19921875" style="217" customWidth="1"/>
    <col min="6658" max="6665" width="3.8984375" style="217" customWidth="1"/>
    <col min="6666" max="6670" width="10.59765625" style="217" customWidth="1"/>
    <col min="6671" max="6671" width="3.09765625" style="217" customWidth="1"/>
    <col min="6672" max="6672" width="13.59765625" style="217" customWidth="1"/>
    <col min="6673" max="6673" width="26.69921875" style="217" customWidth="1"/>
    <col min="6674" max="6677" width="13.59765625" style="217" customWidth="1"/>
    <col min="6678" max="6912" width="9" style="217"/>
    <col min="6913" max="6913" width="2.19921875" style="217" customWidth="1"/>
    <col min="6914" max="6921" width="3.8984375" style="217" customWidth="1"/>
    <col min="6922" max="6926" width="10.59765625" style="217" customWidth="1"/>
    <col min="6927" max="6927" width="3.09765625" style="217" customWidth="1"/>
    <col min="6928" max="6928" width="13.59765625" style="217" customWidth="1"/>
    <col min="6929" max="6929" width="26.69921875" style="217" customWidth="1"/>
    <col min="6930" max="6933" width="13.59765625" style="217" customWidth="1"/>
    <col min="6934" max="7168" width="9" style="217"/>
    <col min="7169" max="7169" width="2.19921875" style="217" customWidth="1"/>
    <col min="7170" max="7177" width="3.8984375" style="217" customWidth="1"/>
    <col min="7178" max="7182" width="10.59765625" style="217" customWidth="1"/>
    <col min="7183" max="7183" width="3.09765625" style="217" customWidth="1"/>
    <col min="7184" max="7184" width="13.59765625" style="217" customWidth="1"/>
    <col min="7185" max="7185" width="26.69921875" style="217" customWidth="1"/>
    <col min="7186" max="7189" width="13.59765625" style="217" customWidth="1"/>
    <col min="7190" max="7424" width="9" style="217"/>
    <col min="7425" max="7425" width="2.19921875" style="217" customWidth="1"/>
    <col min="7426" max="7433" width="3.8984375" style="217" customWidth="1"/>
    <col min="7434" max="7438" width="10.59765625" style="217" customWidth="1"/>
    <col min="7439" max="7439" width="3.09765625" style="217" customWidth="1"/>
    <col min="7440" max="7440" width="13.59765625" style="217" customWidth="1"/>
    <col min="7441" max="7441" width="26.69921875" style="217" customWidth="1"/>
    <col min="7442" max="7445" width="13.59765625" style="217" customWidth="1"/>
    <col min="7446" max="7680" width="9" style="217"/>
    <col min="7681" max="7681" width="2.19921875" style="217" customWidth="1"/>
    <col min="7682" max="7689" width="3.8984375" style="217" customWidth="1"/>
    <col min="7690" max="7694" width="10.59765625" style="217" customWidth="1"/>
    <col min="7695" max="7695" width="3.09765625" style="217" customWidth="1"/>
    <col min="7696" max="7696" width="13.59765625" style="217" customWidth="1"/>
    <col min="7697" max="7697" width="26.69921875" style="217" customWidth="1"/>
    <col min="7698" max="7701" width="13.59765625" style="217" customWidth="1"/>
    <col min="7702" max="7936" width="9" style="217"/>
    <col min="7937" max="7937" width="2.19921875" style="217" customWidth="1"/>
    <col min="7938" max="7945" width="3.8984375" style="217" customWidth="1"/>
    <col min="7946" max="7950" width="10.59765625" style="217" customWidth="1"/>
    <col min="7951" max="7951" width="3.09765625" style="217" customWidth="1"/>
    <col min="7952" max="7952" width="13.59765625" style="217" customWidth="1"/>
    <col min="7953" max="7953" width="26.69921875" style="217" customWidth="1"/>
    <col min="7954" max="7957" width="13.59765625" style="217" customWidth="1"/>
    <col min="7958" max="8192" width="9" style="217"/>
    <col min="8193" max="8193" width="2.19921875" style="217" customWidth="1"/>
    <col min="8194" max="8201" width="3.8984375" style="217" customWidth="1"/>
    <col min="8202" max="8206" width="10.59765625" style="217" customWidth="1"/>
    <col min="8207" max="8207" width="3.09765625" style="217" customWidth="1"/>
    <col min="8208" max="8208" width="13.59765625" style="217" customWidth="1"/>
    <col min="8209" max="8209" width="26.69921875" style="217" customWidth="1"/>
    <col min="8210" max="8213" width="13.59765625" style="217" customWidth="1"/>
    <col min="8214" max="8448" width="9" style="217"/>
    <col min="8449" max="8449" width="2.19921875" style="217" customWidth="1"/>
    <col min="8450" max="8457" width="3.8984375" style="217" customWidth="1"/>
    <col min="8458" max="8462" width="10.59765625" style="217" customWidth="1"/>
    <col min="8463" max="8463" width="3.09765625" style="217" customWidth="1"/>
    <col min="8464" max="8464" width="13.59765625" style="217" customWidth="1"/>
    <col min="8465" max="8465" width="26.69921875" style="217" customWidth="1"/>
    <col min="8466" max="8469" width="13.59765625" style="217" customWidth="1"/>
    <col min="8470" max="8704" width="9" style="217"/>
    <col min="8705" max="8705" width="2.19921875" style="217" customWidth="1"/>
    <col min="8706" max="8713" width="3.8984375" style="217" customWidth="1"/>
    <col min="8714" max="8718" width="10.59765625" style="217" customWidth="1"/>
    <col min="8719" max="8719" width="3.09765625" style="217" customWidth="1"/>
    <col min="8720" max="8720" width="13.59765625" style="217" customWidth="1"/>
    <col min="8721" max="8721" width="26.69921875" style="217" customWidth="1"/>
    <col min="8722" max="8725" width="13.59765625" style="217" customWidth="1"/>
    <col min="8726" max="8960" width="9" style="217"/>
    <col min="8961" max="8961" width="2.19921875" style="217" customWidth="1"/>
    <col min="8962" max="8969" width="3.8984375" style="217" customWidth="1"/>
    <col min="8970" max="8974" width="10.59765625" style="217" customWidth="1"/>
    <col min="8975" max="8975" width="3.09765625" style="217" customWidth="1"/>
    <col min="8976" max="8976" width="13.59765625" style="217" customWidth="1"/>
    <col min="8977" max="8977" width="26.69921875" style="217" customWidth="1"/>
    <col min="8978" max="8981" width="13.59765625" style="217" customWidth="1"/>
    <col min="8982" max="9216" width="9" style="217"/>
    <col min="9217" max="9217" width="2.19921875" style="217" customWidth="1"/>
    <col min="9218" max="9225" width="3.8984375" style="217" customWidth="1"/>
    <col min="9226" max="9230" width="10.59765625" style="217" customWidth="1"/>
    <col min="9231" max="9231" width="3.09765625" style="217" customWidth="1"/>
    <col min="9232" max="9232" width="13.59765625" style="217" customWidth="1"/>
    <col min="9233" max="9233" width="26.69921875" style="217" customWidth="1"/>
    <col min="9234" max="9237" width="13.59765625" style="217" customWidth="1"/>
    <col min="9238" max="9472" width="9" style="217"/>
    <col min="9473" max="9473" width="2.19921875" style="217" customWidth="1"/>
    <col min="9474" max="9481" width="3.8984375" style="217" customWidth="1"/>
    <col min="9482" max="9486" width="10.59765625" style="217" customWidth="1"/>
    <col min="9487" max="9487" width="3.09765625" style="217" customWidth="1"/>
    <col min="9488" max="9488" width="13.59765625" style="217" customWidth="1"/>
    <col min="9489" max="9489" width="26.69921875" style="217" customWidth="1"/>
    <col min="9490" max="9493" width="13.59765625" style="217" customWidth="1"/>
    <col min="9494" max="9728" width="9" style="217"/>
    <col min="9729" max="9729" width="2.19921875" style="217" customWidth="1"/>
    <col min="9730" max="9737" width="3.8984375" style="217" customWidth="1"/>
    <col min="9738" max="9742" width="10.59765625" style="217" customWidth="1"/>
    <col min="9743" max="9743" width="3.09765625" style="217" customWidth="1"/>
    <col min="9744" max="9744" width="13.59765625" style="217" customWidth="1"/>
    <col min="9745" max="9745" width="26.69921875" style="217" customWidth="1"/>
    <col min="9746" max="9749" width="13.59765625" style="217" customWidth="1"/>
    <col min="9750" max="9984" width="9" style="217"/>
    <col min="9985" max="9985" width="2.19921875" style="217" customWidth="1"/>
    <col min="9986" max="9993" width="3.8984375" style="217" customWidth="1"/>
    <col min="9994" max="9998" width="10.59765625" style="217" customWidth="1"/>
    <col min="9999" max="9999" width="3.09765625" style="217" customWidth="1"/>
    <col min="10000" max="10000" width="13.59765625" style="217" customWidth="1"/>
    <col min="10001" max="10001" width="26.69921875" style="217" customWidth="1"/>
    <col min="10002" max="10005" width="13.59765625" style="217" customWidth="1"/>
    <col min="10006" max="10240" width="9" style="217"/>
    <col min="10241" max="10241" width="2.19921875" style="217" customWidth="1"/>
    <col min="10242" max="10249" width="3.8984375" style="217" customWidth="1"/>
    <col min="10250" max="10254" width="10.59765625" style="217" customWidth="1"/>
    <col min="10255" max="10255" width="3.09765625" style="217" customWidth="1"/>
    <col min="10256" max="10256" width="13.59765625" style="217" customWidth="1"/>
    <col min="10257" max="10257" width="26.69921875" style="217" customWidth="1"/>
    <col min="10258" max="10261" width="13.59765625" style="217" customWidth="1"/>
    <col min="10262" max="10496" width="9" style="217"/>
    <col min="10497" max="10497" width="2.19921875" style="217" customWidth="1"/>
    <col min="10498" max="10505" width="3.8984375" style="217" customWidth="1"/>
    <col min="10506" max="10510" width="10.59765625" style="217" customWidth="1"/>
    <col min="10511" max="10511" width="3.09765625" style="217" customWidth="1"/>
    <col min="10512" max="10512" width="13.59765625" style="217" customWidth="1"/>
    <col min="10513" max="10513" width="26.69921875" style="217" customWidth="1"/>
    <col min="10514" max="10517" width="13.59765625" style="217" customWidth="1"/>
    <col min="10518" max="10752" width="9" style="217"/>
    <col min="10753" max="10753" width="2.19921875" style="217" customWidth="1"/>
    <col min="10754" max="10761" width="3.8984375" style="217" customWidth="1"/>
    <col min="10762" max="10766" width="10.59765625" style="217" customWidth="1"/>
    <col min="10767" max="10767" width="3.09765625" style="217" customWidth="1"/>
    <col min="10768" max="10768" width="13.59765625" style="217" customWidth="1"/>
    <col min="10769" max="10769" width="26.69921875" style="217" customWidth="1"/>
    <col min="10770" max="10773" width="13.59765625" style="217" customWidth="1"/>
    <col min="10774" max="11008" width="9" style="217"/>
    <col min="11009" max="11009" width="2.19921875" style="217" customWidth="1"/>
    <col min="11010" max="11017" width="3.8984375" style="217" customWidth="1"/>
    <col min="11018" max="11022" width="10.59765625" style="217" customWidth="1"/>
    <col min="11023" max="11023" width="3.09765625" style="217" customWidth="1"/>
    <col min="11024" max="11024" width="13.59765625" style="217" customWidth="1"/>
    <col min="11025" max="11025" width="26.69921875" style="217" customWidth="1"/>
    <col min="11026" max="11029" width="13.59765625" style="217" customWidth="1"/>
    <col min="11030" max="11264" width="9" style="217"/>
    <col min="11265" max="11265" width="2.19921875" style="217" customWidth="1"/>
    <col min="11266" max="11273" width="3.8984375" style="217" customWidth="1"/>
    <col min="11274" max="11278" width="10.59765625" style="217" customWidth="1"/>
    <col min="11279" max="11279" width="3.09765625" style="217" customWidth="1"/>
    <col min="11280" max="11280" width="13.59765625" style="217" customWidth="1"/>
    <col min="11281" max="11281" width="26.69921875" style="217" customWidth="1"/>
    <col min="11282" max="11285" width="13.59765625" style="217" customWidth="1"/>
    <col min="11286" max="11520" width="9" style="217"/>
    <col min="11521" max="11521" width="2.19921875" style="217" customWidth="1"/>
    <col min="11522" max="11529" width="3.8984375" style="217" customWidth="1"/>
    <col min="11530" max="11534" width="10.59765625" style="217" customWidth="1"/>
    <col min="11535" max="11535" width="3.09765625" style="217" customWidth="1"/>
    <col min="11536" max="11536" width="13.59765625" style="217" customWidth="1"/>
    <col min="11537" max="11537" width="26.69921875" style="217" customWidth="1"/>
    <col min="11538" max="11541" width="13.59765625" style="217" customWidth="1"/>
    <col min="11542" max="11776" width="9" style="217"/>
    <col min="11777" max="11777" width="2.19921875" style="217" customWidth="1"/>
    <col min="11778" max="11785" width="3.8984375" style="217" customWidth="1"/>
    <col min="11786" max="11790" width="10.59765625" style="217" customWidth="1"/>
    <col min="11791" max="11791" width="3.09765625" style="217" customWidth="1"/>
    <col min="11792" max="11792" width="13.59765625" style="217" customWidth="1"/>
    <col min="11793" max="11793" width="26.69921875" style="217" customWidth="1"/>
    <col min="11794" max="11797" width="13.59765625" style="217" customWidth="1"/>
    <col min="11798" max="12032" width="9" style="217"/>
    <col min="12033" max="12033" width="2.19921875" style="217" customWidth="1"/>
    <col min="12034" max="12041" width="3.8984375" style="217" customWidth="1"/>
    <col min="12042" max="12046" width="10.59765625" style="217" customWidth="1"/>
    <col min="12047" max="12047" width="3.09765625" style="217" customWidth="1"/>
    <col min="12048" max="12048" width="13.59765625" style="217" customWidth="1"/>
    <col min="12049" max="12049" width="26.69921875" style="217" customWidth="1"/>
    <col min="12050" max="12053" width="13.59765625" style="217" customWidth="1"/>
    <col min="12054" max="12288" width="9" style="217"/>
    <col min="12289" max="12289" width="2.19921875" style="217" customWidth="1"/>
    <col min="12290" max="12297" width="3.8984375" style="217" customWidth="1"/>
    <col min="12298" max="12302" width="10.59765625" style="217" customWidth="1"/>
    <col min="12303" max="12303" width="3.09765625" style="217" customWidth="1"/>
    <col min="12304" max="12304" width="13.59765625" style="217" customWidth="1"/>
    <col min="12305" max="12305" width="26.69921875" style="217" customWidth="1"/>
    <col min="12306" max="12309" width="13.59765625" style="217" customWidth="1"/>
    <col min="12310" max="12544" width="9" style="217"/>
    <col min="12545" max="12545" width="2.19921875" style="217" customWidth="1"/>
    <col min="12546" max="12553" width="3.8984375" style="217" customWidth="1"/>
    <col min="12554" max="12558" width="10.59765625" style="217" customWidth="1"/>
    <col min="12559" max="12559" width="3.09765625" style="217" customWidth="1"/>
    <col min="12560" max="12560" width="13.59765625" style="217" customWidth="1"/>
    <col min="12561" max="12561" width="26.69921875" style="217" customWidth="1"/>
    <col min="12562" max="12565" width="13.59765625" style="217" customWidth="1"/>
    <col min="12566" max="12800" width="9" style="217"/>
    <col min="12801" max="12801" width="2.19921875" style="217" customWidth="1"/>
    <col min="12802" max="12809" width="3.8984375" style="217" customWidth="1"/>
    <col min="12810" max="12814" width="10.59765625" style="217" customWidth="1"/>
    <col min="12815" max="12815" width="3.09765625" style="217" customWidth="1"/>
    <col min="12816" max="12816" width="13.59765625" style="217" customWidth="1"/>
    <col min="12817" max="12817" width="26.69921875" style="217" customWidth="1"/>
    <col min="12818" max="12821" width="13.59765625" style="217" customWidth="1"/>
    <col min="12822" max="13056" width="9" style="217"/>
    <col min="13057" max="13057" width="2.19921875" style="217" customWidth="1"/>
    <col min="13058" max="13065" width="3.8984375" style="217" customWidth="1"/>
    <col min="13066" max="13070" width="10.59765625" style="217" customWidth="1"/>
    <col min="13071" max="13071" width="3.09765625" style="217" customWidth="1"/>
    <col min="13072" max="13072" width="13.59765625" style="217" customWidth="1"/>
    <col min="13073" max="13073" width="26.69921875" style="217" customWidth="1"/>
    <col min="13074" max="13077" width="13.59765625" style="217" customWidth="1"/>
    <col min="13078" max="13312" width="9" style="217"/>
    <col min="13313" max="13313" width="2.19921875" style="217" customWidth="1"/>
    <col min="13314" max="13321" width="3.8984375" style="217" customWidth="1"/>
    <col min="13322" max="13326" width="10.59765625" style="217" customWidth="1"/>
    <col min="13327" max="13327" width="3.09765625" style="217" customWidth="1"/>
    <col min="13328" max="13328" width="13.59765625" style="217" customWidth="1"/>
    <col min="13329" max="13329" width="26.69921875" style="217" customWidth="1"/>
    <col min="13330" max="13333" width="13.59765625" style="217" customWidth="1"/>
    <col min="13334" max="13568" width="9" style="217"/>
    <col min="13569" max="13569" width="2.19921875" style="217" customWidth="1"/>
    <col min="13570" max="13577" width="3.8984375" style="217" customWidth="1"/>
    <col min="13578" max="13582" width="10.59765625" style="217" customWidth="1"/>
    <col min="13583" max="13583" width="3.09765625" style="217" customWidth="1"/>
    <col min="13584" max="13584" width="13.59765625" style="217" customWidth="1"/>
    <col min="13585" max="13585" width="26.69921875" style="217" customWidth="1"/>
    <col min="13586" max="13589" width="13.59765625" style="217" customWidth="1"/>
    <col min="13590" max="13824" width="9" style="217"/>
    <col min="13825" max="13825" width="2.19921875" style="217" customWidth="1"/>
    <col min="13826" max="13833" width="3.8984375" style="217" customWidth="1"/>
    <col min="13834" max="13838" width="10.59765625" style="217" customWidth="1"/>
    <col min="13839" max="13839" width="3.09765625" style="217" customWidth="1"/>
    <col min="13840" max="13840" width="13.59765625" style="217" customWidth="1"/>
    <col min="13841" max="13841" width="26.69921875" style="217" customWidth="1"/>
    <col min="13842" max="13845" width="13.59765625" style="217" customWidth="1"/>
    <col min="13846" max="14080" width="9" style="217"/>
    <col min="14081" max="14081" width="2.19921875" style="217" customWidth="1"/>
    <col min="14082" max="14089" width="3.8984375" style="217" customWidth="1"/>
    <col min="14090" max="14094" width="10.59765625" style="217" customWidth="1"/>
    <col min="14095" max="14095" width="3.09765625" style="217" customWidth="1"/>
    <col min="14096" max="14096" width="13.59765625" style="217" customWidth="1"/>
    <col min="14097" max="14097" width="26.69921875" style="217" customWidth="1"/>
    <col min="14098" max="14101" width="13.59765625" style="217" customWidth="1"/>
    <col min="14102" max="14336" width="9" style="217"/>
    <col min="14337" max="14337" width="2.19921875" style="217" customWidth="1"/>
    <col min="14338" max="14345" width="3.8984375" style="217" customWidth="1"/>
    <col min="14346" max="14350" width="10.59765625" style="217" customWidth="1"/>
    <col min="14351" max="14351" width="3.09765625" style="217" customWidth="1"/>
    <col min="14352" max="14352" width="13.59765625" style="217" customWidth="1"/>
    <col min="14353" max="14353" width="26.69921875" style="217" customWidth="1"/>
    <col min="14354" max="14357" width="13.59765625" style="217" customWidth="1"/>
    <col min="14358" max="14592" width="9" style="217"/>
    <col min="14593" max="14593" width="2.19921875" style="217" customWidth="1"/>
    <col min="14594" max="14601" width="3.8984375" style="217" customWidth="1"/>
    <col min="14602" max="14606" width="10.59765625" style="217" customWidth="1"/>
    <col min="14607" max="14607" width="3.09765625" style="217" customWidth="1"/>
    <col min="14608" max="14608" width="13.59765625" style="217" customWidth="1"/>
    <col min="14609" max="14609" width="26.69921875" style="217" customWidth="1"/>
    <col min="14610" max="14613" width="13.59765625" style="217" customWidth="1"/>
    <col min="14614" max="14848" width="9" style="217"/>
    <col min="14849" max="14849" width="2.19921875" style="217" customWidth="1"/>
    <col min="14850" max="14857" width="3.8984375" style="217" customWidth="1"/>
    <col min="14858" max="14862" width="10.59765625" style="217" customWidth="1"/>
    <col min="14863" max="14863" width="3.09765625" style="217" customWidth="1"/>
    <col min="14864" max="14864" width="13.59765625" style="217" customWidth="1"/>
    <col min="14865" max="14865" width="26.69921875" style="217" customWidth="1"/>
    <col min="14866" max="14869" width="13.59765625" style="217" customWidth="1"/>
    <col min="14870" max="15104" width="9" style="217"/>
    <col min="15105" max="15105" width="2.19921875" style="217" customWidth="1"/>
    <col min="15106" max="15113" width="3.8984375" style="217" customWidth="1"/>
    <col min="15114" max="15118" width="10.59765625" style="217" customWidth="1"/>
    <col min="15119" max="15119" width="3.09765625" style="217" customWidth="1"/>
    <col min="15120" max="15120" width="13.59765625" style="217" customWidth="1"/>
    <col min="15121" max="15121" width="26.69921875" style="217" customWidth="1"/>
    <col min="15122" max="15125" width="13.59765625" style="217" customWidth="1"/>
    <col min="15126" max="15360" width="9" style="217"/>
    <col min="15361" max="15361" width="2.19921875" style="217" customWidth="1"/>
    <col min="15362" max="15369" width="3.8984375" style="217" customWidth="1"/>
    <col min="15370" max="15374" width="10.59765625" style="217" customWidth="1"/>
    <col min="15375" max="15375" width="3.09765625" style="217" customWidth="1"/>
    <col min="15376" max="15376" width="13.59765625" style="217" customWidth="1"/>
    <col min="15377" max="15377" width="26.69921875" style="217" customWidth="1"/>
    <col min="15378" max="15381" width="13.59765625" style="217" customWidth="1"/>
    <col min="15382" max="15616" width="9" style="217"/>
    <col min="15617" max="15617" width="2.19921875" style="217" customWidth="1"/>
    <col min="15618" max="15625" width="3.8984375" style="217" customWidth="1"/>
    <col min="15626" max="15630" width="10.59765625" style="217" customWidth="1"/>
    <col min="15631" max="15631" width="3.09765625" style="217" customWidth="1"/>
    <col min="15632" max="15632" width="13.59765625" style="217" customWidth="1"/>
    <col min="15633" max="15633" width="26.69921875" style="217" customWidth="1"/>
    <col min="15634" max="15637" width="13.59765625" style="217" customWidth="1"/>
    <col min="15638" max="15872" width="9" style="217"/>
    <col min="15873" max="15873" width="2.19921875" style="217" customWidth="1"/>
    <col min="15874" max="15881" width="3.8984375" style="217" customWidth="1"/>
    <col min="15882" max="15886" width="10.59765625" style="217" customWidth="1"/>
    <col min="15887" max="15887" width="3.09765625" style="217" customWidth="1"/>
    <col min="15888" max="15888" width="13.59765625" style="217" customWidth="1"/>
    <col min="15889" max="15889" width="26.69921875" style="217" customWidth="1"/>
    <col min="15890" max="15893" width="13.59765625" style="217" customWidth="1"/>
    <col min="15894" max="16128" width="9" style="217"/>
    <col min="16129" max="16129" width="2.19921875" style="217" customWidth="1"/>
    <col min="16130" max="16137" width="3.8984375" style="217" customWidth="1"/>
    <col min="16138" max="16142" width="10.59765625" style="217" customWidth="1"/>
    <col min="16143" max="16143" width="3.09765625" style="217" customWidth="1"/>
    <col min="16144" max="16144" width="13.59765625" style="217" customWidth="1"/>
    <col min="16145" max="16145" width="26.69921875" style="217" customWidth="1"/>
    <col min="16146" max="16149" width="13.59765625" style="217" customWidth="1"/>
    <col min="16150" max="16384" width="9" style="217"/>
  </cols>
  <sheetData>
    <row r="1" spans="1:20" s="212" customFormat="1" ht="15" customHeight="1">
      <c r="B1" s="247"/>
      <c r="C1" s="247"/>
      <c r="D1" s="247"/>
      <c r="O1" s="247"/>
      <c r="Q1" s="213" t="s">
        <v>368</v>
      </c>
    </row>
    <row r="2" spans="1:20" ht="15" customHeight="1">
      <c r="A2" s="214" t="s">
        <v>795</v>
      </c>
      <c r="B2" s="218"/>
      <c r="C2" s="218"/>
      <c r="D2" s="218"/>
      <c r="E2" s="213"/>
      <c r="F2" s="213"/>
      <c r="G2" s="213"/>
      <c r="H2" s="213"/>
      <c r="I2" s="213"/>
      <c r="J2" s="213"/>
      <c r="K2" s="213"/>
      <c r="L2" s="213"/>
      <c r="M2" s="215" t="str">
        <f>'SP5-1'!L2</f>
        <v>Spreadsheet May 2025</v>
      </c>
      <c r="N2" s="213"/>
      <c r="O2" s="219"/>
      <c r="Q2" s="216" t="s">
        <v>369</v>
      </c>
      <c r="R2" s="213"/>
      <c r="S2" s="213"/>
      <c r="T2" s="213"/>
    </row>
    <row r="3" spans="1:20" s="212" customFormat="1" ht="15" customHeight="1">
      <c r="A3" s="218" t="s">
        <v>796</v>
      </c>
      <c r="B3" s="218"/>
      <c r="C3" s="218"/>
      <c r="D3" s="213"/>
      <c r="E3" s="213"/>
      <c r="F3" s="213"/>
      <c r="G3" s="213"/>
      <c r="H3" s="213"/>
      <c r="I3" s="213"/>
      <c r="J3" s="213"/>
      <c r="K3" s="213"/>
      <c r="L3" s="213"/>
      <c r="M3" s="213"/>
      <c r="N3" s="213"/>
      <c r="O3" s="213"/>
      <c r="P3" s="213"/>
      <c r="Q3" s="213"/>
      <c r="R3" s="213"/>
      <c r="S3" s="213"/>
      <c r="T3" s="213"/>
    </row>
    <row r="4" spans="1:20" s="212" customFormat="1" ht="15" customHeight="1">
      <c r="A4" s="218"/>
      <c r="B4" s="550" t="s">
        <v>797</v>
      </c>
      <c r="C4" s="550"/>
      <c r="D4" s="550"/>
      <c r="E4" s="550"/>
      <c r="F4" s="550"/>
      <c r="G4" s="550"/>
      <c r="H4" s="550"/>
      <c r="I4" s="550"/>
      <c r="J4" s="550"/>
      <c r="K4" s="550"/>
      <c r="L4" s="550"/>
      <c r="M4" s="550"/>
      <c r="N4" s="550"/>
      <c r="O4" s="550"/>
      <c r="P4" s="213"/>
      <c r="Q4" s="213"/>
      <c r="R4" s="213"/>
      <c r="S4" s="213"/>
      <c r="T4" s="213"/>
    </row>
    <row r="5" spans="1:20" s="212" customFormat="1" ht="148.5" customHeight="1">
      <c r="A5" s="213"/>
      <c r="B5" s="550"/>
      <c r="C5" s="550"/>
      <c r="D5" s="550"/>
      <c r="E5" s="550"/>
      <c r="F5" s="550"/>
      <c r="G5" s="550"/>
      <c r="H5" s="550"/>
      <c r="I5" s="550"/>
      <c r="J5" s="550"/>
      <c r="K5" s="550"/>
      <c r="L5" s="550"/>
      <c r="M5" s="550"/>
      <c r="N5" s="550"/>
      <c r="O5" s="550"/>
      <c r="P5" s="213"/>
      <c r="Q5" s="213"/>
      <c r="R5" s="213"/>
      <c r="S5" s="213"/>
      <c r="T5" s="213"/>
    </row>
    <row r="6" spans="1:20" s="212" customFormat="1" ht="8.25" customHeight="1">
      <c r="A6" s="219"/>
      <c r="B6" s="219"/>
      <c r="C6" s="219"/>
      <c r="D6" s="213"/>
      <c r="E6" s="213"/>
      <c r="F6" s="213"/>
      <c r="G6" s="213"/>
      <c r="H6" s="213"/>
      <c r="I6" s="213"/>
      <c r="J6" s="213"/>
      <c r="K6" s="213"/>
      <c r="L6" s="213"/>
      <c r="M6" s="213"/>
      <c r="N6" s="213"/>
      <c r="O6" s="213"/>
      <c r="P6" s="213"/>
      <c r="Q6" s="213"/>
      <c r="R6" s="213"/>
      <c r="S6" s="213"/>
      <c r="T6" s="213"/>
    </row>
    <row r="7" spans="1:20" s="212" customFormat="1" ht="19.5" customHeight="1">
      <c r="A7" s="231"/>
      <c r="B7" s="552" t="s">
        <v>798</v>
      </c>
      <c r="C7" s="552"/>
      <c r="D7" s="552"/>
      <c r="E7" s="258"/>
      <c r="F7" s="258"/>
      <c r="G7" s="258"/>
      <c r="H7" s="258"/>
      <c r="I7" s="258"/>
      <c r="J7" s="258"/>
      <c r="K7" s="258"/>
      <c r="L7" s="258"/>
      <c r="M7" s="258"/>
      <c r="N7" s="276"/>
      <c r="O7" s="233"/>
      <c r="P7" s="213"/>
      <c r="Q7" s="213"/>
      <c r="R7" s="213"/>
      <c r="S7" s="213"/>
      <c r="T7" s="213"/>
    </row>
    <row r="8" spans="1:20" s="212" customFormat="1" ht="19.5" customHeight="1">
      <c r="A8" s="231"/>
      <c r="B8" s="556" t="s">
        <v>774</v>
      </c>
      <c r="C8" s="556"/>
      <c r="D8" s="556"/>
      <c r="E8" s="556"/>
      <c r="F8" s="556"/>
      <c r="G8" s="556"/>
      <c r="H8" s="556"/>
      <c r="I8" s="556"/>
      <c r="J8" s="261">
        <v>1</v>
      </c>
      <c r="K8" s="261">
        <v>2</v>
      </c>
      <c r="L8" s="261">
        <v>3</v>
      </c>
      <c r="M8" s="261">
        <v>4</v>
      </c>
      <c r="N8" s="261">
        <v>5</v>
      </c>
      <c r="O8" s="233"/>
      <c r="P8" s="213"/>
      <c r="Q8" s="213"/>
      <c r="R8" s="213"/>
      <c r="S8" s="213"/>
      <c r="T8" s="213"/>
    </row>
    <row r="9" spans="1:20" s="212" customFormat="1" ht="19.5" customHeight="1">
      <c r="A9" s="231"/>
      <c r="B9" s="556" t="s">
        <v>776</v>
      </c>
      <c r="C9" s="556"/>
      <c r="D9" s="556"/>
      <c r="E9" s="556"/>
      <c r="F9" s="556"/>
      <c r="G9" s="556"/>
      <c r="H9" s="556"/>
      <c r="I9" s="556"/>
      <c r="J9" s="261">
        <v>2</v>
      </c>
      <c r="K9" s="261">
        <v>10</v>
      </c>
      <c r="L9" s="261">
        <v>18</v>
      </c>
      <c r="M9" s="261">
        <v>26</v>
      </c>
      <c r="N9" s="261">
        <v>34</v>
      </c>
      <c r="O9" s="233"/>
      <c r="P9" s="213"/>
      <c r="Q9" s="213"/>
      <c r="R9" s="213"/>
      <c r="S9" s="213"/>
      <c r="T9" s="213"/>
    </row>
    <row r="10" spans="1:20" s="212" customFormat="1" ht="19.5" customHeight="1">
      <c r="A10" s="231"/>
      <c r="B10" s="556" t="s">
        <v>778</v>
      </c>
      <c r="C10" s="556"/>
      <c r="D10" s="556"/>
      <c r="E10" s="556"/>
      <c r="F10" s="556"/>
      <c r="G10" s="556"/>
      <c r="H10" s="556"/>
      <c r="I10" s="556"/>
      <c r="J10" s="261">
        <v>9</v>
      </c>
      <c r="K10" s="261">
        <v>17</v>
      </c>
      <c r="L10" s="261">
        <v>25</v>
      </c>
      <c r="M10" s="261">
        <v>33</v>
      </c>
      <c r="N10" s="261">
        <v>40</v>
      </c>
      <c r="O10" s="233"/>
      <c r="P10" s="213"/>
      <c r="Q10" s="213"/>
      <c r="R10" s="213"/>
      <c r="S10" s="213"/>
      <c r="T10" s="213"/>
    </row>
    <row r="11" spans="1:20" s="212" customFormat="1" ht="19.5" customHeight="1">
      <c r="A11" s="231"/>
      <c r="B11" s="556" t="s">
        <v>799</v>
      </c>
      <c r="C11" s="556"/>
      <c r="D11" s="556"/>
      <c r="E11" s="556"/>
      <c r="F11" s="556"/>
      <c r="G11" s="556"/>
      <c r="H11" s="556"/>
      <c r="I11" s="556"/>
      <c r="J11" s="261">
        <v>5</v>
      </c>
      <c r="K11" s="261">
        <v>13</v>
      </c>
      <c r="L11" s="261">
        <v>21</v>
      </c>
      <c r="M11" s="261">
        <v>29</v>
      </c>
      <c r="N11" s="261">
        <v>37</v>
      </c>
      <c r="O11" s="233"/>
      <c r="P11" s="213"/>
      <c r="Q11" s="213"/>
      <c r="R11" s="213"/>
      <c r="S11" s="213"/>
      <c r="T11" s="213"/>
    </row>
    <row r="12" spans="1:20" s="212" customFormat="1" ht="19.5" customHeight="1">
      <c r="A12" s="231"/>
      <c r="B12" s="556" t="s">
        <v>781</v>
      </c>
      <c r="C12" s="556"/>
      <c r="D12" s="556"/>
      <c r="E12" s="556"/>
      <c r="F12" s="556"/>
      <c r="G12" s="556"/>
      <c r="H12" s="556"/>
      <c r="I12" s="556"/>
      <c r="J12" s="261">
        <v>8</v>
      </c>
      <c r="K12" s="261">
        <v>8</v>
      </c>
      <c r="L12" s="261">
        <v>8</v>
      </c>
      <c r="M12" s="261">
        <v>8</v>
      </c>
      <c r="N12" s="261">
        <v>7</v>
      </c>
      <c r="O12" s="233"/>
      <c r="P12" s="213"/>
      <c r="Q12" s="213"/>
      <c r="R12" s="213"/>
      <c r="S12" s="213"/>
      <c r="T12" s="213"/>
    </row>
    <row r="13" spans="1:20" s="212" customFormat="1" ht="19.5" customHeight="1">
      <c r="A13" s="264">
        <v>1</v>
      </c>
      <c r="B13" s="556" t="s">
        <v>800</v>
      </c>
      <c r="C13" s="556"/>
      <c r="D13" s="556"/>
      <c r="E13" s="556"/>
      <c r="F13" s="556"/>
      <c r="G13" s="556"/>
      <c r="H13" s="556"/>
      <c r="I13" s="556"/>
      <c r="J13" s="265"/>
      <c r="K13" s="265"/>
      <c r="L13" s="265"/>
      <c r="M13" s="265"/>
      <c r="N13" s="265"/>
      <c r="O13" s="233"/>
      <c r="P13" s="213"/>
      <c r="Q13" s="213"/>
      <c r="R13" s="213"/>
      <c r="S13" s="213"/>
      <c r="T13" s="213"/>
    </row>
    <row r="14" spans="1:20" s="212" customFormat="1" ht="19.5" customHeight="1">
      <c r="A14" s="264">
        <v>2</v>
      </c>
      <c r="B14" s="556" t="s">
        <v>801</v>
      </c>
      <c r="C14" s="556"/>
      <c r="D14" s="556"/>
      <c r="E14" s="556"/>
      <c r="F14" s="556"/>
      <c r="G14" s="556"/>
      <c r="H14" s="556"/>
      <c r="I14" s="556"/>
      <c r="J14" s="265"/>
      <c r="K14" s="265"/>
      <c r="L14" s="265"/>
      <c r="M14" s="265"/>
      <c r="N14" s="265"/>
      <c r="O14" s="233"/>
      <c r="P14" s="213"/>
      <c r="Q14" s="213"/>
      <c r="R14" s="213"/>
      <c r="S14" s="213"/>
      <c r="T14" s="213"/>
    </row>
    <row r="15" spans="1:20" s="212" customFormat="1" ht="19.5" customHeight="1">
      <c r="A15" s="264"/>
      <c r="B15" s="562"/>
      <c r="C15" s="562"/>
      <c r="D15" s="562"/>
      <c r="E15" s="562"/>
      <c r="F15" s="562"/>
      <c r="G15" s="562"/>
      <c r="H15" s="562"/>
      <c r="I15" s="562"/>
      <c r="J15" s="267" t="s">
        <v>784</v>
      </c>
      <c r="K15" s="267" t="s">
        <v>785</v>
      </c>
      <c r="L15" s="267" t="s">
        <v>786</v>
      </c>
      <c r="M15" s="267" t="s">
        <v>787</v>
      </c>
      <c r="N15" s="267" t="s">
        <v>788</v>
      </c>
      <c r="O15" s="233"/>
      <c r="P15" s="213"/>
      <c r="Q15" s="213"/>
      <c r="R15" s="213"/>
      <c r="S15" s="213"/>
      <c r="T15" s="213"/>
    </row>
    <row r="16" spans="1:20" s="212" customFormat="1" ht="19.5" customHeight="1">
      <c r="A16" s="264">
        <v>3</v>
      </c>
      <c r="B16" s="556" t="s">
        <v>802</v>
      </c>
      <c r="C16" s="556"/>
      <c r="D16" s="556"/>
      <c r="E16" s="556"/>
      <c r="F16" s="556"/>
      <c r="G16" s="556"/>
      <c r="H16" s="556"/>
      <c r="I16" s="556"/>
      <c r="J16" s="268">
        <f>J13-J14</f>
        <v>0</v>
      </c>
      <c r="K16" s="268">
        <f>K13-K14</f>
        <v>0</v>
      </c>
      <c r="L16" s="268">
        <f>L13-L14</f>
        <v>0</v>
      </c>
      <c r="M16" s="268">
        <f>M13-M14</f>
        <v>0</v>
      </c>
      <c r="N16" s="268">
        <f>N13-N14</f>
        <v>0</v>
      </c>
      <c r="O16" s="233"/>
      <c r="P16" s="213"/>
      <c r="Q16" s="213"/>
      <c r="R16" s="213"/>
      <c r="S16" s="213"/>
      <c r="T16" s="213"/>
    </row>
    <row r="17" spans="1:21" s="212" customFormat="1" ht="19.5" customHeight="1">
      <c r="A17" s="231"/>
      <c r="B17" s="556" t="s">
        <v>803</v>
      </c>
      <c r="C17" s="556"/>
      <c r="D17" s="556"/>
      <c r="E17" s="556"/>
      <c r="F17" s="556"/>
      <c r="G17" s="556"/>
      <c r="H17" s="556"/>
      <c r="I17" s="556"/>
      <c r="J17" s="269">
        <f>J16*J12*(VLOOKUP(J11,Tables!$S$5:$T$45,2,FALSE))</f>
        <v>0</v>
      </c>
      <c r="K17" s="269">
        <f>K16*K12*(VLOOKUP(K11,Tables!$S$5:$T$45,2,FALSE))</f>
        <v>0</v>
      </c>
      <c r="L17" s="269">
        <f>L16*L12*(VLOOKUP(L11,Tables!$S$5:$T$45,2,FALSE))</f>
        <v>0</v>
      </c>
      <c r="M17" s="269">
        <f>M16*M12*(VLOOKUP(M11,Tables!$S$5:$T$45,2,FALSE))</f>
        <v>0</v>
      </c>
      <c r="N17" s="269">
        <f>N16*N12*(VLOOKUP(N11,Tables!$S$5:$T$45,2,FALSE))</f>
        <v>0</v>
      </c>
      <c r="O17" s="233"/>
      <c r="P17" s="213"/>
      <c r="Q17" s="213"/>
      <c r="R17" s="213"/>
      <c r="S17" s="213"/>
      <c r="T17" s="213"/>
    </row>
    <row r="18" spans="1:21" s="212" customFormat="1" ht="19.5" customHeight="1">
      <c r="A18" s="231"/>
      <c r="B18" s="258"/>
      <c r="C18" s="258"/>
      <c r="D18" s="258"/>
      <c r="E18" s="258"/>
      <c r="F18" s="258"/>
      <c r="G18" s="258"/>
      <c r="H18" s="258"/>
      <c r="I18" s="258"/>
      <c r="J18" s="258"/>
      <c r="K18" s="258"/>
      <c r="L18" s="258"/>
      <c r="M18" s="258"/>
      <c r="N18" s="258"/>
      <c r="O18" s="233"/>
      <c r="P18" s="213"/>
      <c r="Q18" s="213"/>
      <c r="R18" s="213"/>
      <c r="S18" s="213"/>
      <c r="T18" s="213"/>
    </row>
    <row r="19" spans="1:21" s="212" customFormat="1" ht="19.5" customHeight="1">
      <c r="A19" s="264">
        <v>4</v>
      </c>
      <c r="B19" s="557" t="s">
        <v>804</v>
      </c>
      <c r="C19" s="557"/>
      <c r="D19" s="557"/>
      <c r="E19" s="557"/>
      <c r="F19" s="557"/>
      <c r="G19" s="233"/>
      <c r="H19" s="233"/>
      <c r="I19" s="233"/>
      <c r="J19" s="233"/>
      <c r="K19" s="233"/>
      <c r="L19" s="233"/>
      <c r="M19" s="233"/>
      <c r="N19" s="233"/>
      <c r="O19" s="233"/>
      <c r="P19" s="213"/>
      <c r="Q19" s="225"/>
      <c r="R19" s="213"/>
      <c r="S19" s="213"/>
      <c r="T19" s="213"/>
    </row>
    <row r="20" spans="1:21" s="212" customFormat="1" ht="19.5" customHeight="1">
      <c r="A20" s="233"/>
      <c r="B20" s="558" t="s">
        <v>805</v>
      </c>
      <c r="C20" s="558"/>
      <c r="D20" s="558"/>
      <c r="E20" s="558"/>
      <c r="F20" s="558"/>
      <c r="G20" s="558"/>
      <c r="H20" s="558"/>
      <c r="I20" s="558"/>
      <c r="J20" s="558"/>
      <c r="K20" s="558"/>
      <c r="L20" s="271" t="s">
        <v>760</v>
      </c>
      <c r="M20" s="559">
        <f>SUM(J17:N17)*1.04</f>
        <v>0</v>
      </c>
      <c r="N20" s="559"/>
      <c r="O20" s="264" t="s">
        <v>660</v>
      </c>
      <c r="P20" s="213"/>
      <c r="Q20" s="561" t="s">
        <v>806</v>
      </c>
      <c r="R20" s="561"/>
      <c r="S20" s="561"/>
      <c r="T20" s="561"/>
      <c r="U20" s="561"/>
    </row>
    <row r="21" spans="1:21" s="212" customFormat="1" ht="19.5" customHeight="1">
      <c r="A21" s="233"/>
      <c r="B21" s="258"/>
      <c r="C21" s="233"/>
      <c r="D21" s="233"/>
      <c r="E21" s="233"/>
      <c r="F21" s="233"/>
      <c r="G21" s="233"/>
      <c r="H21" s="233"/>
      <c r="I21" s="233"/>
      <c r="J21" s="233"/>
      <c r="K21" s="233"/>
      <c r="L21" s="233"/>
      <c r="M21" s="233"/>
      <c r="N21" s="233"/>
      <c r="O21" s="233"/>
      <c r="P21" s="213"/>
      <c r="Q21" s="213"/>
      <c r="R21" s="213"/>
      <c r="S21" s="213"/>
      <c r="T21" s="213"/>
    </row>
    <row r="22" spans="1:21" s="212" customFormat="1" ht="12" customHeight="1">
      <c r="A22" s="213"/>
      <c r="B22" s="213"/>
      <c r="C22" s="213"/>
      <c r="D22" s="213"/>
      <c r="E22" s="213"/>
      <c r="F22" s="213"/>
      <c r="G22" s="213"/>
      <c r="H22" s="213"/>
      <c r="I22" s="213"/>
      <c r="J22" s="213"/>
      <c r="K22" s="213"/>
      <c r="L22" s="213"/>
      <c r="M22" s="213"/>
      <c r="N22" s="213"/>
      <c r="O22" s="213"/>
      <c r="P22" s="213"/>
      <c r="Q22" s="213"/>
      <c r="R22" s="213"/>
      <c r="S22" s="213"/>
      <c r="T22" s="213"/>
    </row>
    <row r="23" spans="1:21" s="212" customFormat="1" ht="12" customHeight="1">
      <c r="A23" s="213"/>
      <c r="B23" s="213"/>
      <c r="C23" s="213"/>
      <c r="D23" s="213"/>
      <c r="E23" s="213"/>
      <c r="F23" s="213"/>
      <c r="G23" s="213"/>
      <c r="H23" s="213"/>
      <c r="I23" s="213"/>
      <c r="J23" s="213"/>
      <c r="K23" s="213"/>
      <c r="L23" s="213"/>
      <c r="M23" s="213"/>
      <c r="N23" s="213"/>
      <c r="O23" s="213"/>
      <c r="P23" s="213"/>
      <c r="Q23" s="213"/>
      <c r="R23" s="213"/>
      <c r="S23" s="213"/>
      <c r="T23" s="213"/>
    </row>
    <row r="24" spans="1:21" ht="12" customHeight="1">
      <c r="A24" s="213"/>
      <c r="B24" s="213"/>
      <c r="C24" s="213"/>
      <c r="D24" s="213"/>
      <c r="E24" s="213"/>
      <c r="F24" s="213"/>
      <c r="G24" s="213"/>
      <c r="H24" s="213"/>
      <c r="I24" s="213"/>
      <c r="J24" s="213"/>
      <c r="K24" s="213"/>
      <c r="L24" s="213"/>
      <c r="M24" s="213"/>
      <c r="N24" s="213"/>
      <c r="O24" s="213"/>
      <c r="P24" s="213"/>
      <c r="Q24" s="213"/>
      <c r="R24" s="213"/>
      <c r="S24" s="213"/>
      <c r="T24" s="213"/>
    </row>
    <row r="25" spans="1:21" ht="12" hidden="1" customHeight="1">
      <c r="A25" s="213"/>
      <c r="B25" s="213"/>
      <c r="C25" s="213" t="s">
        <v>793</v>
      </c>
      <c r="D25" s="213"/>
      <c r="E25" s="213"/>
      <c r="F25" s="213"/>
      <c r="G25" s="213">
        <f>(J16*J12)+(K16*K12)+(L16*L12)+(M16*M12)+(N16*N12)</f>
        <v>0</v>
      </c>
      <c r="H25" s="213"/>
      <c r="I25" s="213"/>
      <c r="J25" s="213"/>
      <c r="K25" s="213"/>
      <c r="L25" s="213"/>
      <c r="M25" s="213"/>
      <c r="N25" s="213"/>
      <c r="O25" s="213"/>
      <c r="P25" s="213"/>
      <c r="Q25" s="213"/>
      <c r="R25" s="213"/>
      <c r="S25" s="213"/>
      <c r="T25" s="213"/>
    </row>
    <row r="26" spans="1:21" ht="12" customHeight="1">
      <c r="A26" s="213"/>
      <c r="B26" s="213"/>
      <c r="C26" s="213"/>
      <c r="D26" s="213"/>
      <c r="E26" s="213"/>
      <c r="F26" s="213"/>
      <c r="G26" s="213"/>
      <c r="H26" s="213"/>
      <c r="I26" s="213"/>
      <c r="J26" s="213"/>
      <c r="K26" s="213"/>
      <c r="L26" s="213"/>
      <c r="M26" s="213"/>
      <c r="N26" s="213"/>
      <c r="O26" s="213"/>
      <c r="P26" s="213"/>
      <c r="Q26" s="213"/>
      <c r="R26" s="213"/>
      <c r="S26" s="213"/>
      <c r="T26" s="213"/>
    </row>
    <row r="27" spans="1:21" ht="12" customHeight="1">
      <c r="A27" s="213"/>
      <c r="B27" s="213"/>
      <c r="C27" s="213"/>
      <c r="D27" s="213"/>
      <c r="E27" s="213"/>
      <c r="F27" s="213"/>
      <c r="G27" s="213"/>
      <c r="H27" s="213"/>
      <c r="I27" s="213"/>
      <c r="J27" s="213"/>
      <c r="K27" s="213"/>
      <c r="L27" s="213"/>
      <c r="M27" s="213"/>
      <c r="N27" s="213"/>
      <c r="O27" s="213"/>
      <c r="P27" s="213"/>
      <c r="Q27" s="213"/>
      <c r="R27" s="213"/>
      <c r="S27" s="213"/>
      <c r="T27" s="213"/>
    </row>
    <row r="28" spans="1:21" ht="12" customHeight="1">
      <c r="A28" s="213"/>
      <c r="B28" s="213"/>
      <c r="C28" s="213"/>
      <c r="D28" s="213"/>
      <c r="E28" s="213"/>
      <c r="F28" s="213"/>
      <c r="G28" s="213"/>
      <c r="H28" s="213"/>
      <c r="I28" s="213"/>
      <c r="J28" s="213"/>
      <c r="K28" s="213"/>
      <c r="L28" s="213"/>
      <c r="M28" s="213"/>
      <c r="N28" s="213"/>
      <c r="O28" s="213"/>
      <c r="P28" s="213"/>
      <c r="Q28" s="213"/>
      <c r="R28" s="213"/>
      <c r="S28" s="213"/>
      <c r="T28" s="213"/>
    </row>
    <row r="29" spans="1:21" ht="12" customHeight="1">
      <c r="A29" s="213"/>
      <c r="B29" s="213"/>
      <c r="C29" s="213"/>
      <c r="D29" s="213"/>
      <c r="E29" s="213"/>
      <c r="F29" s="213"/>
      <c r="G29" s="213"/>
      <c r="H29" s="213"/>
      <c r="I29" s="213"/>
      <c r="J29" s="213"/>
      <c r="K29" s="213"/>
      <c r="L29" s="213"/>
      <c r="M29" s="213"/>
      <c r="N29" s="213"/>
      <c r="O29" s="213"/>
      <c r="P29" s="213"/>
      <c r="Q29" s="213"/>
      <c r="R29" s="213"/>
      <c r="S29" s="213"/>
      <c r="T29" s="213"/>
    </row>
    <row r="30" spans="1:21" ht="12" customHeight="1">
      <c r="A30" s="213"/>
      <c r="B30" s="213"/>
      <c r="C30" s="213"/>
      <c r="D30" s="213"/>
      <c r="E30" s="213"/>
      <c r="F30" s="213"/>
      <c r="G30" s="213"/>
      <c r="H30" s="213"/>
      <c r="I30" s="213"/>
      <c r="J30" s="213"/>
      <c r="K30" s="213"/>
      <c r="L30" s="213"/>
      <c r="M30" s="213"/>
      <c r="N30" s="213"/>
      <c r="O30" s="213"/>
      <c r="P30" s="213"/>
      <c r="Q30" s="213"/>
      <c r="R30" s="213"/>
      <c r="S30" s="213"/>
      <c r="T30" s="213"/>
    </row>
    <row r="31" spans="1:21" ht="12" customHeight="1">
      <c r="A31" s="213"/>
      <c r="B31" s="213"/>
      <c r="C31" s="213"/>
      <c r="D31" s="213"/>
      <c r="E31" s="213"/>
      <c r="F31" s="213"/>
      <c r="G31" s="213"/>
      <c r="H31" s="213"/>
      <c r="I31" s="213"/>
      <c r="J31" s="213"/>
      <c r="K31" s="213"/>
      <c r="L31" s="213"/>
      <c r="M31" s="213"/>
      <c r="N31" s="213"/>
      <c r="O31" s="213"/>
      <c r="P31" s="213"/>
      <c r="Q31" s="213"/>
      <c r="R31" s="213"/>
      <c r="S31" s="213"/>
      <c r="T31" s="213"/>
    </row>
    <row r="32" spans="1:21" ht="12" customHeight="1">
      <c r="A32" s="213"/>
      <c r="B32" s="213"/>
      <c r="C32" s="213"/>
      <c r="D32" s="213"/>
      <c r="E32" s="213"/>
      <c r="F32" s="213"/>
      <c r="G32" s="213"/>
      <c r="H32" s="213"/>
      <c r="I32" s="213"/>
      <c r="J32" s="213"/>
      <c r="K32" s="213"/>
      <c r="L32" s="213"/>
      <c r="M32" s="213"/>
      <c r="N32" s="213"/>
      <c r="O32" s="213"/>
      <c r="P32" s="213"/>
      <c r="Q32" s="213"/>
      <c r="R32" s="213"/>
      <c r="S32" s="213"/>
      <c r="T32" s="213"/>
    </row>
    <row r="33" spans="1:20" ht="12" customHeight="1">
      <c r="A33" s="213"/>
      <c r="B33" s="213"/>
      <c r="C33" s="213"/>
      <c r="D33" s="213"/>
      <c r="E33" s="213"/>
      <c r="F33" s="213"/>
      <c r="G33" s="213"/>
      <c r="H33" s="213"/>
      <c r="I33" s="213"/>
      <c r="J33" s="213"/>
      <c r="K33" s="213"/>
      <c r="L33" s="213"/>
      <c r="M33" s="213"/>
      <c r="N33" s="213"/>
      <c r="O33" s="213"/>
      <c r="P33" s="213"/>
      <c r="Q33" s="213"/>
      <c r="R33" s="213"/>
      <c r="S33" s="213"/>
      <c r="T33" s="213"/>
    </row>
    <row r="34" spans="1:20" ht="12" customHeight="1">
      <c r="A34" s="213"/>
      <c r="B34" s="213"/>
      <c r="C34" s="213"/>
      <c r="D34" s="213"/>
      <c r="E34" s="213"/>
      <c r="F34" s="213"/>
      <c r="G34" s="213"/>
      <c r="H34" s="213"/>
      <c r="I34" s="213"/>
      <c r="J34" s="213"/>
      <c r="K34" s="213"/>
      <c r="L34" s="213"/>
      <c r="M34" s="213"/>
      <c r="N34" s="213"/>
      <c r="O34" s="213"/>
      <c r="P34" s="213"/>
      <c r="Q34" s="213"/>
      <c r="R34" s="213"/>
      <c r="S34" s="213"/>
      <c r="T34" s="213"/>
    </row>
    <row r="35" spans="1:20" ht="12" customHeight="1">
      <c r="A35" s="213"/>
      <c r="B35" s="213"/>
      <c r="C35" s="213"/>
      <c r="D35" s="213"/>
      <c r="E35" s="213"/>
      <c r="F35" s="213"/>
      <c r="G35" s="213"/>
      <c r="H35" s="213"/>
      <c r="I35" s="213"/>
      <c r="J35" s="213"/>
      <c r="K35" s="213"/>
      <c r="L35" s="213"/>
      <c r="M35" s="213"/>
      <c r="N35" s="213"/>
      <c r="O35" s="213"/>
      <c r="P35" s="213"/>
      <c r="Q35" s="213"/>
      <c r="R35" s="213"/>
      <c r="S35" s="213"/>
      <c r="T35" s="213"/>
    </row>
    <row r="36" spans="1:20" ht="12" customHeight="1">
      <c r="A36" s="213"/>
      <c r="B36" s="213"/>
      <c r="C36" s="213"/>
      <c r="D36" s="213"/>
      <c r="E36" s="213"/>
      <c r="F36" s="213"/>
      <c r="G36" s="213"/>
      <c r="H36" s="213"/>
      <c r="I36" s="213"/>
      <c r="J36" s="213"/>
      <c r="K36" s="213"/>
      <c r="L36" s="213"/>
      <c r="M36" s="213"/>
      <c r="N36" s="213"/>
      <c r="O36" s="213"/>
      <c r="P36" s="213"/>
      <c r="Q36" s="213"/>
      <c r="R36" s="213"/>
      <c r="S36" s="213"/>
      <c r="T36" s="213"/>
    </row>
    <row r="37" spans="1:20" ht="12" customHeight="1">
      <c r="A37" s="213"/>
      <c r="B37" s="213"/>
      <c r="C37" s="213"/>
      <c r="D37" s="213"/>
      <c r="E37" s="213"/>
      <c r="F37" s="213"/>
      <c r="G37" s="213"/>
      <c r="H37" s="213"/>
      <c r="I37" s="213"/>
      <c r="J37" s="213"/>
      <c r="K37" s="213"/>
      <c r="L37" s="213"/>
      <c r="M37" s="213"/>
      <c r="N37" s="213"/>
      <c r="O37" s="213"/>
      <c r="P37" s="213"/>
      <c r="Q37" s="213"/>
      <c r="R37" s="213"/>
      <c r="S37" s="213"/>
      <c r="T37" s="213"/>
    </row>
    <row r="38" spans="1:20" ht="12" customHeight="1">
      <c r="A38" s="213"/>
      <c r="B38" s="213"/>
      <c r="C38" s="213"/>
      <c r="D38" s="213"/>
      <c r="E38" s="213"/>
      <c r="F38" s="213"/>
      <c r="G38" s="213"/>
      <c r="H38" s="213"/>
      <c r="I38" s="213"/>
      <c r="J38" s="213"/>
      <c r="K38" s="213"/>
      <c r="L38" s="213"/>
      <c r="M38" s="213"/>
      <c r="N38" s="213"/>
      <c r="O38" s="213"/>
      <c r="P38" s="213"/>
      <c r="Q38" s="213"/>
      <c r="R38" s="213"/>
      <c r="S38" s="213"/>
      <c r="T38" s="213"/>
    </row>
    <row r="39" spans="1:20" ht="12" customHeight="1">
      <c r="A39" s="213"/>
      <c r="B39" s="213"/>
      <c r="C39" s="213"/>
      <c r="D39" s="213"/>
      <c r="E39" s="213"/>
      <c r="F39" s="213"/>
      <c r="G39" s="213"/>
      <c r="H39" s="213"/>
      <c r="I39" s="213"/>
      <c r="J39" s="213"/>
      <c r="K39" s="213"/>
      <c r="L39" s="213"/>
      <c r="M39" s="213"/>
      <c r="N39" s="213"/>
      <c r="O39" s="213"/>
      <c r="P39" s="213"/>
      <c r="Q39" s="213"/>
      <c r="R39" s="213"/>
      <c r="S39" s="213"/>
      <c r="T39" s="213"/>
    </row>
    <row r="40" spans="1:20" ht="12" customHeight="1">
      <c r="A40" s="213"/>
      <c r="B40" s="213"/>
      <c r="C40" s="213"/>
      <c r="D40" s="213"/>
      <c r="E40" s="213"/>
      <c r="F40" s="213"/>
      <c r="G40" s="213"/>
      <c r="H40" s="213"/>
      <c r="I40" s="213"/>
      <c r="J40" s="213"/>
      <c r="K40" s="213"/>
      <c r="L40" s="213"/>
      <c r="M40" s="213"/>
      <c r="N40" s="213"/>
      <c r="O40" s="213"/>
      <c r="P40" s="213"/>
      <c r="Q40" s="213"/>
      <c r="R40" s="213"/>
      <c r="S40" s="213"/>
      <c r="T40" s="213"/>
    </row>
    <row r="41" spans="1:20">
      <c r="A41" s="213"/>
      <c r="B41" s="213"/>
      <c r="C41" s="213"/>
      <c r="D41" s="213"/>
      <c r="E41" s="213"/>
      <c r="F41" s="213"/>
      <c r="G41" s="213"/>
      <c r="H41" s="213"/>
      <c r="I41" s="213"/>
      <c r="J41" s="213"/>
      <c r="K41" s="213"/>
      <c r="L41" s="213"/>
      <c r="M41" s="213"/>
      <c r="N41" s="213"/>
      <c r="O41" s="213"/>
      <c r="P41" s="213"/>
      <c r="Q41" s="213"/>
      <c r="R41" s="213"/>
      <c r="S41" s="213"/>
      <c r="T41" s="213"/>
    </row>
    <row r="42" spans="1:20">
      <c r="A42" s="213"/>
      <c r="B42" s="213"/>
      <c r="C42" s="213"/>
      <c r="D42" s="213"/>
      <c r="E42" s="213"/>
      <c r="F42" s="213"/>
      <c r="G42" s="213"/>
      <c r="H42" s="213"/>
      <c r="I42" s="213"/>
      <c r="J42" s="213"/>
      <c r="K42" s="213"/>
      <c r="L42" s="213"/>
      <c r="M42" s="213"/>
      <c r="N42" s="213"/>
      <c r="O42" s="213"/>
      <c r="P42" s="213"/>
      <c r="Q42" s="213"/>
      <c r="R42" s="213"/>
      <c r="S42" s="213"/>
      <c r="T42" s="213"/>
    </row>
    <row r="43" spans="1:20">
      <c r="A43" s="213"/>
      <c r="B43" s="213"/>
      <c r="C43" s="213"/>
      <c r="D43" s="213"/>
      <c r="E43" s="213"/>
      <c r="F43" s="213"/>
      <c r="G43" s="213"/>
      <c r="H43" s="213"/>
      <c r="I43" s="213"/>
      <c r="J43" s="213"/>
      <c r="K43" s="213"/>
      <c r="L43" s="213"/>
      <c r="M43" s="213"/>
      <c r="N43" s="213"/>
      <c r="O43" s="213"/>
      <c r="P43" s="213"/>
      <c r="Q43" s="213"/>
      <c r="R43" s="213"/>
      <c r="S43" s="213"/>
      <c r="T43" s="213"/>
    </row>
    <row r="44" spans="1:20">
      <c r="A44" s="213"/>
      <c r="B44" s="213"/>
      <c r="C44" s="213"/>
      <c r="D44" s="213"/>
      <c r="E44" s="213"/>
      <c r="F44" s="213"/>
      <c r="G44" s="213"/>
      <c r="H44" s="213"/>
      <c r="I44" s="213"/>
      <c r="J44" s="213"/>
      <c r="K44" s="213"/>
      <c r="L44" s="213"/>
      <c r="M44" s="213"/>
      <c r="N44" s="213"/>
      <c r="O44" s="213"/>
      <c r="P44" s="213"/>
      <c r="Q44" s="213"/>
      <c r="R44" s="213"/>
      <c r="S44" s="213"/>
      <c r="T44" s="213"/>
    </row>
    <row r="45" spans="1:20">
      <c r="A45" s="213"/>
      <c r="B45" s="213"/>
      <c r="C45" s="213"/>
      <c r="D45" s="213"/>
      <c r="E45" s="213"/>
      <c r="F45" s="213"/>
      <c r="G45" s="213"/>
      <c r="H45" s="213"/>
      <c r="I45" s="213"/>
      <c r="J45" s="213"/>
      <c r="K45" s="213"/>
      <c r="L45" s="213"/>
      <c r="M45" s="213"/>
      <c r="N45" s="213"/>
      <c r="O45" s="213"/>
      <c r="P45" s="213"/>
      <c r="Q45" s="213"/>
      <c r="R45" s="213"/>
      <c r="S45" s="213"/>
      <c r="T45" s="213"/>
    </row>
    <row r="46" spans="1:20">
      <c r="A46" s="213"/>
      <c r="B46" s="213"/>
      <c r="C46" s="213"/>
      <c r="D46" s="213"/>
      <c r="E46" s="213"/>
      <c r="F46" s="213"/>
      <c r="G46" s="213"/>
      <c r="H46" s="213"/>
      <c r="I46" s="213"/>
      <c r="J46" s="213"/>
      <c r="K46" s="213"/>
      <c r="L46" s="213"/>
      <c r="M46" s="213"/>
      <c r="N46" s="213"/>
      <c r="O46" s="213"/>
      <c r="P46" s="213"/>
      <c r="Q46" s="213"/>
      <c r="R46" s="213"/>
      <c r="S46" s="213"/>
      <c r="T46" s="213"/>
    </row>
    <row r="47" spans="1:20">
      <c r="A47" s="213"/>
      <c r="B47" s="213"/>
      <c r="C47" s="213"/>
      <c r="D47" s="213"/>
      <c r="E47" s="213"/>
      <c r="F47" s="213"/>
      <c r="G47" s="213"/>
      <c r="H47" s="213"/>
      <c r="I47" s="213"/>
      <c r="J47" s="213"/>
      <c r="K47" s="213"/>
      <c r="L47" s="213"/>
      <c r="M47" s="213"/>
      <c r="N47" s="213"/>
      <c r="O47" s="213"/>
      <c r="P47" s="213"/>
      <c r="Q47" s="213"/>
      <c r="R47" s="213"/>
      <c r="S47" s="213"/>
      <c r="T47" s="213"/>
    </row>
    <row r="48" spans="1:20">
      <c r="A48" s="213"/>
      <c r="B48" s="213"/>
      <c r="C48" s="213"/>
      <c r="D48" s="213"/>
      <c r="E48" s="213"/>
      <c r="F48" s="213"/>
      <c r="G48" s="213"/>
      <c r="H48" s="213"/>
      <c r="I48" s="213"/>
      <c r="J48" s="213"/>
      <c r="K48" s="213"/>
      <c r="L48" s="213"/>
      <c r="M48" s="213"/>
      <c r="N48" s="213"/>
      <c r="O48" s="213"/>
      <c r="P48" s="213"/>
      <c r="Q48" s="213"/>
      <c r="R48" s="213"/>
      <c r="S48" s="213"/>
      <c r="T48" s="213"/>
    </row>
    <row r="49" spans="1:20">
      <c r="A49" s="213"/>
      <c r="B49" s="213"/>
      <c r="C49" s="213"/>
      <c r="D49" s="213"/>
      <c r="E49" s="213"/>
      <c r="F49" s="213"/>
      <c r="G49" s="213"/>
      <c r="H49" s="213"/>
      <c r="I49" s="213"/>
      <c r="J49" s="213"/>
      <c r="K49" s="213"/>
      <c r="L49" s="213"/>
      <c r="M49" s="213"/>
      <c r="N49" s="213"/>
      <c r="O49" s="213"/>
      <c r="P49" s="213"/>
      <c r="Q49" s="213"/>
      <c r="R49" s="213"/>
      <c r="S49" s="213"/>
      <c r="T49" s="213"/>
    </row>
    <row r="50" spans="1:20">
      <c r="A50" s="213"/>
      <c r="B50" s="213"/>
      <c r="C50" s="213"/>
      <c r="D50" s="213"/>
      <c r="E50" s="213"/>
      <c r="F50" s="213"/>
      <c r="G50" s="213"/>
      <c r="H50" s="213"/>
      <c r="I50" s="213"/>
      <c r="J50" s="213"/>
      <c r="K50" s="213"/>
      <c r="L50" s="213"/>
      <c r="M50" s="213"/>
      <c r="N50" s="213"/>
      <c r="O50" s="213"/>
      <c r="P50" s="213"/>
      <c r="Q50" s="213"/>
      <c r="R50" s="213"/>
      <c r="S50" s="213"/>
      <c r="T50" s="213"/>
    </row>
    <row r="51" spans="1:20">
      <c r="A51" s="213"/>
      <c r="B51" s="213"/>
      <c r="C51" s="213"/>
      <c r="D51" s="213"/>
      <c r="E51" s="213"/>
      <c r="F51" s="213"/>
      <c r="G51" s="213"/>
      <c r="H51" s="213"/>
      <c r="I51" s="213"/>
      <c r="J51" s="213"/>
      <c r="K51" s="213"/>
      <c r="L51" s="213"/>
      <c r="M51" s="213"/>
      <c r="N51" s="213"/>
      <c r="O51" s="213"/>
      <c r="P51" s="213"/>
      <c r="Q51" s="213"/>
      <c r="R51" s="213"/>
      <c r="S51" s="213"/>
      <c r="T51" s="213"/>
    </row>
    <row r="52" spans="1:20">
      <c r="A52" s="213"/>
      <c r="B52" s="213"/>
      <c r="C52" s="213"/>
      <c r="D52" s="213"/>
      <c r="E52" s="213"/>
      <c r="F52" s="213"/>
      <c r="G52" s="213"/>
      <c r="H52" s="213"/>
      <c r="I52" s="213"/>
      <c r="J52" s="213"/>
      <c r="K52" s="213"/>
      <c r="L52" s="213"/>
      <c r="M52" s="213"/>
      <c r="N52" s="213"/>
      <c r="O52" s="213"/>
      <c r="P52" s="213"/>
      <c r="Q52" s="213"/>
      <c r="R52" s="213"/>
      <c r="S52" s="213"/>
      <c r="T52" s="213"/>
    </row>
    <row r="53" spans="1:20">
      <c r="A53" s="213"/>
      <c r="B53" s="213"/>
      <c r="C53" s="213"/>
      <c r="D53" s="213"/>
      <c r="E53" s="213"/>
      <c r="F53" s="213"/>
      <c r="G53" s="213"/>
      <c r="H53" s="213"/>
      <c r="I53" s="213"/>
      <c r="J53" s="213"/>
      <c r="K53" s="213"/>
      <c r="L53" s="213"/>
      <c r="M53" s="213"/>
      <c r="N53" s="213"/>
      <c r="O53" s="213"/>
      <c r="P53" s="213"/>
      <c r="Q53" s="213"/>
      <c r="R53" s="213"/>
      <c r="S53" s="213"/>
      <c r="T53" s="213"/>
    </row>
    <row r="54" spans="1:20">
      <c r="A54" s="213"/>
      <c r="B54" s="213"/>
      <c r="C54" s="213"/>
      <c r="D54" s="213"/>
      <c r="E54" s="213"/>
      <c r="F54" s="213"/>
      <c r="G54" s="213"/>
      <c r="H54" s="213"/>
      <c r="I54" s="213"/>
      <c r="J54" s="213"/>
      <c r="K54" s="213"/>
      <c r="L54" s="213"/>
      <c r="M54" s="213"/>
      <c r="N54" s="213"/>
      <c r="O54" s="213"/>
      <c r="P54" s="213"/>
      <c r="Q54" s="213"/>
      <c r="R54" s="213"/>
      <c r="S54" s="213"/>
      <c r="T54" s="213"/>
    </row>
    <row r="55" spans="1:20">
      <c r="A55" s="213"/>
      <c r="B55" s="213"/>
      <c r="C55" s="213"/>
      <c r="D55" s="213"/>
      <c r="E55" s="213"/>
      <c r="F55" s="213"/>
      <c r="G55" s="213"/>
      <c r="H55" s="213"/>
      <c r="I55" s="213"/>
      <c r="J55" s="213"/>
      <c r="K55" s="213"/>
      <c r="L55" s="213"/>
      <c r="M55" s="213"/>
      <c r="N55" s="213"/>
      <c r="O55" s="213"/>
      <c r="P55" s="213"/>
      <c r="Q55" s="213"/>
      <c r="R55" s="213"/>
      <c r="S55" s="213"/>
      <c r="T55" s="213"/>
    </row>
    <row r="56" spans="1:20">
      <c r="A56" s="213"/>
      <c r="B56" s="213"/>
      <c r="C56" s="213"/>
      <c r="D56" s="213"/>
      <c r="E56" s="213"/>
      <c r="F56" s="213"/>
      <c r="G56" s="213"/>
      <c r="H56" s="213"/>
      <c r="I56" s="213"/>
      <c r="J56" s="213"/>
      <c r="K56" s="213"/>
      <c r="L56" s="213"/>
      <c r="M56" s="213"/>
      <c r="N56" s="213"/>
      <c r="O56" s="213"/>
      <c r="P56" s="213"/>
      <c r="Q56" s="213"/>
      <c r="R56" s="213"/>
      <c r="S56" s="213"/>
      <c r="T56" s="213"/>
    </row>
    <row r="57" spans="1:20">
      <c r="A57" s="213"/>
      <c r="B57" s="213"/>
      <c r="C57" s="213"/>
      <c r="D57" s="213"/>
      <c r="E57" s="213"/>
      <c r="F57" s="213"/>
      <c r="G57" s="213"/>
      <c r="H57" s="213"/>
      <c r="I57" s="213"/>
      <c r="J57" s="213"/>
      <c r="K57" s="213"/>
      <c r="L57" s="213"/>
      <c r="M57" s="213"/>
      <c r="N57" s="213"/>
      <c r="O57" s="213"/>
      <c r="P57" s="213"/>
      <c r="Q57" s="213"/>
      <c r="R57" s="213"/>
      <c r="S57" s="213"/>
      <c r="T57" s="213"/>
    </row>
    <row r="58" spans="1:20">
      <c r="A58" s="213"/>
      <c r="B58" s="213"/>
      <c r="C58" s="213"/>
      <c r="D58" s="213"/>
      <c r="E58" s="213"/>
      <c r="F58" s="213"/>
      <c r="G58" s="213"/>
      <c r="H58" s="213"/>
      <c r="I58" s="213"/>
      <c r="J58" s="213"/>
      <c r="K58" s="213"/>
      <c r="L58" s="213"/>
      <c r="M58" s="213"/>
      <c r="N58" s="213"/>
      <c r="O58" s="213"/>
      <c r="P58" s="213"/>
      <c r="Q58" s="213"/>
      <c r="R58" s="213"/>
      <c r="S58" s="213"/>
      <c r="T58" s="213"/>
    </row>
    <row r="59" spans="1:20">
      <c r="A59" s="213"/>
      <c r="B59" s="213"/>
      <c r="C59" s="213"/>
      <c r="D59" s="213"/>
      <c r="E59" s="213"/>
      <c r="F59" s="213"/>
      <c r="G59" s="213"/>
      <c r="H59" s="213"/>
      <c r="I59" s="213"/>
      <c r="J59" s="213"/>
      <c r="K59" s="213"/>
      <c r="L59" s="213"/>
      <c r="M59" s="213"/>
      <c r="N59" s="213"/>
      <c r="O59" s="213"/>
      <c r="P59" s="213"/>
      <c r="Q59" s="213"/>
      <c r="R59" s="213"/>
      <c r="S59" s="213"/>
      <c r="T59" s="213"/>
    </row>
    <row r="60" spans="1:20">
      <c r="A60" s="213"/>
      <c r="B60" s="213"/>
      <c r="C60" s="213"/>
      <c r="D60" s="213"/>
      <c r="E60" s="213"/>
      <c r="F60" s="213"/>
      <c r="G60" s="213"/>
      <c r="H60" s="213"/>
      <c r="I60" s="213"/>
      <c r="J60" s="213"/>
      <c r="K60" s="213"/>
      <c r="L60" s="213"/>
      <c r="M60" s="213"/>
      <c r="N60" s="213"/>
      <c r="O60" s="213"/>
      <c r="P60" s="213"/>
      <c r="Q60" s="213"/>
      <c r="R60" s="213"/>
      <c r="S60" s="213"/>
      <c r="T60" s="213"/>
    </row>
    <row r="61" spans="1:20">
      <c r="A61" s="213"/>
      <c r="B61" s="213"/>
      <c r="C61" s="213"/>
      <c r="D61" s="213"/>
      <c r="E61" s="213"/>
      <c r="F61" s="213"/>
      <c r="G61" s="213"/>
      <c r="H61" s="213"/>
      <c r="I61" s="213"/>
      <c r="J61" s="213"/>
      <c r="K61" s="213"/>
      <c r="L61" s="213"/>
      <c r="M61" s="213"/>
      <c r="N61" s="213"/>
      <c r="O61" s="213"/>
      <c r="P61" s="213"/>
      <c r="Q61" s="213"/>
      <c r="R61" s="213"/>
      <c r="S61" s="213"/>
      <c r="T61" s="213"/>
    </row>
    <row r="62" spans="1:20">
      <c r="A62" s="213"/>
      <c r="B62" s="213"/>
      <c r="C62" s="213"/>
      <c r="D62" s="213"/>
      <c r="E62" s="213"/>
      <c r="F62" s="213"/>
      <c r="G62" s="213"/>
      <c r="H62" s="213"/>
      <c r="I62" s="213"/>
      <c r="J62" s="213"/>
      <c r="K62" s="213"/>
      <c r="L62" s="213"/>
      <c r="M62" s="213"/>
      <c r="N62" s="213"/>
      <c r="O62" s="213"/>
      <c r="P62" s="213"/>
      <c r="Q62" s="213"/>
      <c r="R62" s="213"/>
      <c r="S62" s="213"/>
      <c r="T62" s="213"/>
    </row>
    <row r="63" spans="1:20">
      <c r="A63" s="213"/>
      <c r="B63" s="213"/>
      <c r="C63" s="213"/>
      <c r="D63" s="213"/>
      <c r="E63" s="213"/>
      <c r="F63" s="213"/>
      <c r="G63" s="213"/>
      <c r="H63" s="213"/>
      <c r="I63" s="213"/>
      <c r="J63" s="213"/>
      <c r="K63" s="213"/>
      <c r="L63" s="213"/>
      <c r="M63" s="213"/>
      <c r="N63" s="213"/>
      <c r="O63" s="213"/>
      <c r="P63" s="213"/>
      <c r="Q63" s="213"/>
      <c r="R63" s="213"/>
      <c r="S63" s="213"/>
      <c r="T63" s="213"/>
    </row>
    <row r="64" spans="1:20">
      <c r="A64" s="213"/>
      <c r="B64" s="213"/>
      <c r="C64" s="213"/>
      <c r="D64" s="213"/>
      <c r="E64" s="213"/>
      <c r="F64" s="213"/>
      <c r="G64" s="213"/>
      <c r="H64" s="213"/>
      <c r="I64" s="213"/>
      <c r="J64" s="213"/>
      <c r="K64" s="213"/>
      <c r="L64" s="213"/>
      <c r="M64" s="213"/>
      <c r="N64" s="213"/>
      <c r="O64" s="213"/>
      <c r="P64" s="213"/>
      <c r="Q64" s="213"/>
      <c r="R64" s="213"/>
      <c r="S64" s="213"/>
      <c r="T64" s="213"/>
    </row>
    <row r="65" spans="1:20">
      <c r="A65" s="213"/>
      <c r="B65" s="213"/>
      <c r="C65" s="213"/>
      <c r="D65" s="213"/>
      <c r="E65" s="213"/>
      <c r="F65" s="213"/>
      <c r="G65" s="213"/>
      <c r="H65" s="213"/>
      <c r="I65" s="213"/>
      <c r="J65" s="213"/>
      <c r="K65" s="213"/>
      <c r="L65" s="213"/>
      <c r="M65" s="213"/>
      <c r="N65" s="213"/>
      <c r="O65" s="213"/>
      <c r="P65" s="213"/>
      <c r="Q65" s="213"/>
      <c r="R65" s="213"/>
      <c r="S65" s="213"/>
      <c r="T65" s="213"/>
    </row>
    <row r="66" spans="1:20">
      <c r="A66" s="213"/>
      <c r="B66" s="213"/>
      <c r="C66" s="213"/>
      <c r="D66" s="213"/>
      <c r="E66" s="213"/>
      <c r="F66" s="213"/>
      <c r="G66" s="213"/>
      <c r="H66" s="213"/>
      <c r="I66" s="213"/>
      <c r="J66" s="213"/>
      <c r="K66" s="213"/>
      <c r="L66" s="213"/>
      <c r="M66" s="213"/>
      <c r="N66" s="213"/>
      <c r="O66" s="213"/>
      <c r="P66" s="213"/>
      <c r="Q66" s="213"/>
      <c r="R66" s="213"/>
      <c r="S66" s="213"/>
      <c r="T66" s="213"/>
    </row>
    <row r="67" spans="1:20">
      <c r="A67" s="213"/>
      <c r="B67" s="213"/>
      <c r="C67" s="213"/>
      <c r="D67" s="213"/>
      <c r="E67" s="213"/>
      <c r="F67" s="213"/>
      <c r="G67" s="213"/>
      <c r="H67" s="213"/>
      <c r="I67" s="213"/>
      <c r="J67" s="213"/>
      <c r="K67" s="213"/>
      <c r="L67" s="213"/>
      <c r="M67" s="213"/>
      <c r="N67" s="213"/>
      <c r="O67" s="213"/>
      <c r="P67" s="213"/>
      <c r="Q67" s="213"/>
      <c r="R67" s="213"/>
      <c r="S67" s="213"/>
      <c r="T67" s="213"/>
    </row>
    <row r="68" spans="1:20">
      <c r="A68" s="213"/>
      <c r="B68" s="213"/>
      <c r="C68" s="213"/>
      <c r="D68" s="213"/>
      <c r="E68" s="213"/>
      <c r="F68" s="213"/>
      <c r="G68" s="213"/>
      <c r="H68" s="213"/>
      <c r="I68" s="213"/>
      <c r="J68" s="213"/>
      <c r="K68" s="213"/>
      <c r="L68" s="213"/>
      <c r="M68" s="213"/>
      <c r="N68" s="213"/>
      <c r="O68" s="213"/>
      <c r="P68" s="213"/>
      <c r="Q68" s="213"/>
      <c r="R68" s="213"/>
      <c r="S68" s="213"/>
      <c r="T68" s="213"/>
    </row>
    <row r="69" spans="1:20">
      <c r="A69" s="213"/>
      <c r="B69" s="213"/>
      <c r="C69" s="213"/>
      <c r="D69" s="213"/>
      <c r="E69" s="213"/>
      <c r="F69" s="213"/>
      <c r="G69" s="213"/>
      <c r="H69" s="213"/>
      <c r="I69" s="213"/>
      <c r="J69" s="213"/>
      <c r="K69" s="213"/>
      <c r="L69" s="213"/>
      <c r="M69" s="213"/>
      <c r="N69" s="213"/>
      <c r="O69" s="213"/>
      <c r="P69" s="213"/>
      <c r="Q69" s="213"/>
      <c r="R69" s="213"/>
      <c r="S69" s="213"/>
      <c r="T69" s="213"/>
    </row>
    <row r="70" spans="1:20">
      <c r="A70" s="213"/>
      <c r="B70" s="213"/>
      <c r="C70" s="213"/>
      <c r="D70" s="213"/>
      <c r="E70" s="213"/>
      <c r="F70" s="213"/>
      <c r="G70" s="213"/>
      <c r="H70" s="213"/>
      <c r="I70" s="213"/>
      <c r="J70" s="213"/>
      <c r="K70" s="213"/>
      <c r="L70" s="213"/>
      <c r="M70" s="213"/>
      <c r="N70" s="213"/>
      <c r="O70" s="213"/>
      <c r="P70" s="213"/>
      <c r="Q70" s="213"/>
      <c r="R70" s="213"/>
      <c r="S70" s="213"/>
      <c r="T70" s="213"/>
    </row>
    <row r="71" spans="1:20">
      <c r="A71" s="213"/>
      <c r="B71" s="213"/>
      <c r="C71" s="213"/>
      <c r="D71" s="213"/>
      <c r="E71" s="213"/>
      <c r="F71" s="213"/>
      <c r="G71" s="213"/>
      <c r="H71" s="213"/>
      <c r="I71" s="213"/>
      <c r="J71" s="213"/>
      <c r="K71" s="213"/>
      <c r="L71" s="213"/>
      <c r="M71" s="213"/>
      <c r="N71" s="213"/>
      <c r="O71" s="213"/>
      <c r="P71" s="213"/>
      <c r="Q71" s="213"/>
      <c r="R71" s="213"/>
      <c r="S71" s="213"/>
      <c r="T71" s="213"/>
    </row>
    <row r="72" spans="1:20">
      <c r="A72" s="213"/>
      <c r="B72" s="213"/>
      <c r="C72" s="213"/>
      <c r="D72" s="213"/>
      <c r="E72" s="213"/>
      <c r="F72" s="213"/>
      <c r="G72" s="213"/>
      <c r="H72" s="213"/>
      <c r="I72" s="213"/>
      <c r="J72" s="213"/>
      <c r="K72" s="213"/>
      <c r="L72" s="213"/>
      <c r="M72" s="213"/>
      <c r="N72" s="213"/>
      <c r="O72" s="213"/>
      <c r="P72" s="213"/>
      <c r="Q72" s="213"/>
      <c r="R72" s="213"/>
      <c r="S72" s="213"/>
      <c r="T72" s="213"/>
    </row>
    <row r="73" spans="1:20">
      <c r="A73" s="213"/>
      <c r="B73" s="213"/>
      <c r="C73" s="213"/>
      <c r="D73" s="213"/>
      <c r="E73" s="213"/>
      <c r="F73" s="213"/>
      <c r="G73" s="213"/>
      <c r="H73" s="213"/>
      <c r="I73" s="213"/>
      <c r="J73" s="213"/>
      <c r="K73" s="213"/>
      <c r="L73" s="213"/>
      <c r="M73" s="213"/>
      <c r="N73" s="213"/>
      <c r="O73" s="213"/>
      <c r="P73" s="213"/>
      <c r="Q73" s="213"/>
      <c r="R73" s="213"/>
      <c r="S73" s="213"/>
      <c r="T73" s="213"/>
    </row>
    <row r="74" spans="1:20">
      <c r="A74" s="213"/>
      <c r="B74" s="213"/>
      <c r="C74" s="213"/>
      <c r="D74" s="213"/>
      <c r="E74" s="213"/>
      <c r="F74" s="213"/>
      <c r="G74" s="213"/>
      <c r="H74" s="213"/>
      <c r="I74" s="213"/>
      <c r="J74" s="213"/>
      <c r="K74" s="213"/>
      <c r="L74" s="213"/>
      <c r="M74" s="213"/>
      <c r="N74" s="213"/>
      <c r="O74" s="213"/>
      <c r="P74" s="213"/>
      <c r="Q74" s="213"/>
      <c r="R74" s="213"/>
      <c r="S74" s="213"/>
      <c r="T74" s="213"/>
    </row>
    <row r="75" spans="1:20">
      <c r="A75" s="213"/>
      <c r="B75" s="213"/>
      <c r="C75" s="213"/>
      <c r="D75" s="213"/>
      <c r="E75" s="213"/>
      <c r="F75" s="213"/>
      <c r="G75" s="213"/>
      <c r="H75" s="213"/>
      <c r="I75" s="213"/>
      <c r="J75" s="213"/>
      <c r="K75" s="213"/>
      <c r="L75" s="213"/>
      <c r="M75" s="213"/>
      <c r="N75" s="213"/>
      <c r="O75" s="213"/>
      <c r="P75" s="213"/>
      <c r="Q75" s="213"/>
      <c r="R75" s="213"/>
      <c r="S75" s="213"/>
      <c r="T75" s="213"/>
    </row>
    <row r="76" spans="1:20">
      <c r="A76" s="213"/>
      <c r="B76" s="213"/>
      <c r="C76" s="213"/>
      <c r="D76" s="213"/>
      <c r="E76" s="213"/>
      <c r="F76" s="213"/>
      <c r="G76" s="213"/>
      <c r="H76" s="213"/>
      <c r="I76" s="213"/>
      <c r="J76" s="213"/>
      <c r="K76" s="213"/>
      <c r="L76" s="213"/>
      <c r="M76" s="213"/>
      <c r="N76" s="213"/>
      <c r="O76" s="213"/>
      <c r="P76" s="213"/>
      <c r="Q76" s="213"/>
      <c r="R76" s="213"/>
      <c r="S76" s="213"/>
      <c r="T76" s="213"/>
    </row>
    <row r="77" spans="1:20">
      <c r="A77" s="213"/>
      <c r="B77" s="213"/>
      <c r="C77" s="213"/>
      <c r="D77" s="213"/>
      <c r="E77" s="213"/>
      <c r="F77" s="213"/>
      <c r="G77" s="213"/>
      <c r="H77" s="213"/>
      <c r="I77" s="213"/>
      <c r="J77" s="213"/>
      <c r="K77" s="213"/>
      <c r="L77" s="213"/>
      <c r="M77" s="213"/>
      <c r="N77" s="213"/>
      <c r="O77" s="213"/>
      <c r="P77" s="213"/>
      <c r="Q77" s="213"/>
      <c r="R77" s="213"/>
      <c r="S77" s="213"/>
      <c r="T77" s="213"/>
    </row>
    <row r="78" spans="1:20">
      <c r="A78" s="213"/>
      <c r="B78" s="213"/>
      <c r="C78" s="213"/>
      <c r="D78" s="213"/>
      <c r="E78" s="213"/>
      <c r="F78" s="213"/>
      <c r="G78" s="213"/>
      <c r="H78" s="213"/>
      <c r="I78" s="213"/>
      <c r="J78" s="213"/>
      <c r="K78" s="213"/>
      <c r="L78" s="213"/>
      <c r="M78" s="213"/>
      <c r="N78" s="213"/>
      <c r="O78" s="213"/>
      <c r="P78" s="213"/>
      <c r="Q78" s="213"/>
      <c r="R78" s="213"/>
      <c r="S78" s="213"/>
      <c r="T78" s="213"/>
    </row>
    <row r="79" spans="1:20">
      <c r="A79" s="213"/>
      <c r="B79" s="213"/>
      <c r="C79" s="213"/>
      <c r="D79" s="213"/>
      <c r="E79" s="213"/>
      <c r="F79" s="213"/>
      <c r="G79" s="213"/>
      <c r="H79" s="213"/>
      <c r="I79" s="213"/>
      <c r="J79" s="213"/>
      <c r="K79" s="213"/>
      <c r="L79" s="213"/>
      <c r="M79" s="213"/>
      <c r="N79" s="213"/>
      <c r="O79" s="213"/>
      <c r="P79" s="213"/>
      <c r="Q79" s="213"/>
      <c r="R79" s="213"/>
      <c r="S79" s="213"/>
      <c r="T79" s="213"/>
    </row>
    <row r="80" spans="1:20">
      <c r="A80" s="213"/>
      <c r="B80" s="213"/>
      <c r="C80" s="213"/>
      <c r="D80" s="213"/>
      <c r="E80" s="213"/>
      <c r="F80" s="213"/>
      <c r="G80" s="213"/>
      <c r="H80" s="213"/>
      <c r="I80" s="213"/>
      <c r="J80" s="213"/>
      <c r="K80" s="213"/>
      <c r="L80" s="213"/>
      <c r="M80" s="213"/>
      <c r="N80" s="213"/>
      <c r="O80" s="213"/>
      <c r="P80" s="213"/>
      <c r="Q80" s="213"/>
      <c r="R80" s="213"/>
      <c r="S80" s="213"/>
      <c r="T80" s="213"/>
    </row>
    <row r="81" spans="1:20">
      <c r="A81" s="213"/>
      <c r="B81" s="213"/>
      <c r="C81" s="213"/>
      <c r="D81" s="213"/>
      <c r="E81" s="213"/>
      <c r="F81" s="213"/>
      <c r="G81" s="213"/>
      <c r="H81" s="213"/>
      <c r="I81" s="213"/>
      <c r="J81" s="213"/>
      <c r="K81" s="213"/>
      <c r="L81" s="213"/>
      <c r="M81" s="213"/>
      <c r="N81" s="213"/>
      <c r="O81" s="213"/>
      <c r="P81" s="213"/>
      <c r="Q81" s="213"/>
      <c r="R81" s="213"/>
      <c r="S81" s="213"/>
      <c r="T81" s="213"/>
    </row>
    <row r="82" spans="1:20">
      <c r="A82" s="213"/>
      <c r="B82" s="213"/>
      <c r="C82" s="213"/>
      <c r="D82" s="213"/>
      <c r="E82" s="213"/>
      <c r="F82" s="213"/>
      <c r="G82" s="213"/>
      <c r="H82" s="213"/>
      <c r="I82" s="213"/>
      <c r="J82" s="213"/>
      <c r="K82" s="213"/>
      <c r="L82" s="213"/>
      <c r="M82" s="213"/>
      <c r="N82" s="213"/>
      <c r="O82" s="213"/>
      <c r="P82" s="213"/>
      <c r="Q82" s="213"/>
      <c r="R82" s="213"/>
      <c r="S82" s="213"/>
      <c r="T82" s="213"/>
    </row>
    <row r="83" spans="1:20">
      <c r="A83" s="213"/>
      <c r="B83" s="213"/>
      <c r="C83" s="213"/>
      <c r="D83" s="213"/>
      <c r="E83" s="213"/>
      <c r="F83" s="213"/>
      <c r="G83" s="213"/>
      <c r="H83" s="213"/>
      <c r="I83" s="213"/>
      <c r="J83" s="213"/>
      <c r="K83" s="213"/>
      <c r="L83" s="213"/>
      <c r="M83" s="213"/>
      <c r="N83" s="213"/>
      <c r="O83" s="213"/>
      <c r="P83" s="213"/>
      <c r="Q83" s="213"/>
      <c r="R83" s="213"/>
      <c r="S83" s="213"/>
      <c r="T83" s="213"/>
    </row>
  </sheetData>
  <sheetProtection algorithmName="SHA-512" hashValue="hB15o/ik/HZGUbWwq/vGNJTNub86o4kSN6x+xEbnn1kup6KZhVBfFUwlcKGj2rrNabCvXse2GgGwsaOJalwHOg==" saltValue="63j9jCN6WsgUPGTYgKdDRw==" spinCount="100000" sheet="1" objects="1" scenarios="1"/>
  <protectedRanges>
    <protectedRange sqref="E7:F16" name="Range15_1"/>
    <protectedRange sqref="L7:M7" name="Range14_1"/>
  </protectedRanges>
  <mergeCells count="16">
    <mergeCell ref="B19:F19"/>
    <mergeCell ref="B20:K20"/>
    <mergeCell ref="M20:N20"/>
    <mergeCell ref="Q20:U20"/>
    <mergeCell ref="B12:I12"/>
    <mergeCell ref="B13:I13"/>
    <mergeCell ref="B14:I14"/>
    <mergeCell ref="B15:I15"/>
    <mergeCell ref="B16:I16"/>
    <mergeCell ref="B17:I17"/>
    <mergeCell ref="B11:I11"/>
    <mergeCell ref="B4:O5"/>
    <mergeCell ref="B7:D7"/>
    <mergeCell ref="B8:I8"/>
    <mergeCell ref="B9:I9"/>
    <mergeCell ref="B10:I10"/>
  </mergeCells>
  <printOptions horizontalCentered="1"/>
  <pageMargins left="0.74803149606299213" right="0.70866141732283472" top="0.74803149606299213" bottom="0.9055118110236221" header="0.39370078740157483" footer="0.39370078740157483"/>
  <pageSetup paperSize="9" scale="87" orientation="portrait" r:id="rId1"/>
  <headerFooter scaleWithDoc="0" alignWithMargins="0">
    <oddHeader xml:space="preserve">&amp;L&amp;"-,Regular"&amp;8&amp;F&amp;R&amp;"-,Regular"&amp;8&amp;A
___________________________________________________________________________________________________
</oddHeader>
    <oddFooter>&amp;L&amp;"-,Regular"&amp;8___________________________________________________________________________________________________
NZ Transport Agency’s Economic evaluation manual 
Effective from Jul 2013</oddFooter>
  </headerFooter>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5F4A85-EF30-49CA-A86F-3AB761B32E64}">
  <sheetPr codeName="Sheet12">
    <pageSetUpPr fitToPage="1"/>
  </sheetPr>
  <dimension ref="A1:AA83"/>
  <sheetViews>
    <sheetView zoomScaleNormal="100" workbookViewId="0"/>
  </sheetViews>
  <sheetFormatPr defaultRowHeight="12.6"/>
  <cols>
    <col min="1" max="1" width="4.8984375" style="297" customWidth="1"/>
    <col min="2" max="3" width="8.19921875" style="217" customWidth="1"/>
    <col min="4" max="4" width="8.59765625" style="217" customWidth="1"/>
    <col min="5" max="5" width="6.59765625" style="217" customWidth="1"/>
    <col min="6" max="6" width="8.69921875" style="217" customWidth="1"/>
    <col min="7" max="7" width="3.8984375" style="217" customWidth="1"/>
    <col min="8" max="8" width="5.59765625" style="217" customWidth="1"/>
    <col min="9" max="9" width="4.8984375" style="217" customWidth="1"/>
    <col min="10" max="10" width="4.5" style="217" customWidth="1"/>
    <col min="11" max="11" width="6.59765625" style="217" customWidth="1"/>
    <col min="12" max="17" width="4.5" style="217" customWidth="1"/>
    <col min="18" max="18" width="2.5" style="217" customWidth="1"/>
    <col min="19" max="19" width="13.59765625" style="281" customWidth="1"/>
    <col min="20" max="20" width="26.69921875" style="217" customWidth="1"/>
    <col min="21" max="24" width="13.59765625" style="217" customWidth="1"/>
    <col min="25" max="256" width="9" style="217"/>
    <col min="257" max="257" width="4.8984375" style="217" customWidth="1"/>
    <col min="258" max="259" width="8.19921875" style="217" customWidth="1"/>
    <col min="260" max="260" width="4.8984375" style="217" customWidth="1"/>
    <col min="261" max="263" width="3.8984375" style="217" customWidth="1"/>
    <col min="264" max="264" width="5.59765625" style="217" customWidth="1"/>
    <col min="265" max="265" width="4.8984375" style="217" customWidth="1"/>
    <col min="266" max="273" width="4.5" style="217" customWidth="1"/>
    <col min="274" max="274" width="2.5" style="217" customWidth="1"/>
    <col min="275" max="275" width="13.59765625" style="217" customWidth="1"/>
    <col min="276" max="276" width="26.69921875" style="217" customWidth="1"/>
    <col min="277" max="280" width="13.59765625" style="217" customWidth="1"/>
    <col min="281" max="512" width="9" style="217"/>
    <col min="513" max="513" width="4.8984375" style="217" customWidth="1"/>
    <col min="514" max="515" width="8.19921875" style="217" customWidth="1"/>
    <col min="516" max="516" width="4.8984375" style="217" customWidth="1"/>
    <col min="517" max="519" width="3.8984375" style="217" customWidth="1"/>
    <col min="520" max="520" width="5.59765625" style="217" customWidth="1"/>
    <col min="521" max="521" width="4.8984375" style="217" customWidth="1"/>
    <col min="522" max="529" width="4.5" style="217" customWidth="1"/>
    <col min="530" max="530" width="2.5" style="217" customWidth="1"/>
    <col min="531" max="531" width="13.59765625" style="217" customWidth="1"/>
    <col min="532" max="532" width="26.69921875" style="217" customWidth="1"/>
    <col min="533" max="536" width="13.59765625" style="217" customWidth="1"/>
    <col min="537" max="768" width="9" style="217"/>
    <col min="769" max="769" width="4.8984375" style="217" customWidth="1"/>
    <col min="770" max="771" width="8.19921875" style="217" customWidth="1"/>
    <col min="772" max="772" width="4.8984375" style="217" customWidth="1"/>
    <col min="773" max="775" width="3.8984375" style="217" customWidth="1"/>
    <col min="776" max="776" width="5.59765625" style="217" customWidth="1"/>
    <col min="777" max="777" width="4.8984375" style="217" customWidth="1"/>
    <col min="778" max="785" width="4.5" style="217" customWidth="1"/>
    <col min="786" max="786" width="2.5" style="217" customWidth="1"/>
    <col min="787" max="787" width="13.59765625" style="217" customWidth="1"/>
    <col min="788" max="788" width="26.69921875" style="217" customWidth="1"/>
    <col min="789" max="792" width="13.59765625" style="217" customWidth="1"/>
    <col min="793" max="1024" width="9" style="217"/>
    <col min="1025" max="1025" width="4.8984375" style="217" customWidth="1"/>
    <col min="1026" max="1027" width="8.19921875" style="217" customWidth="1"/>
    <col min="1028" max="1028" width="4.8984375" style="217" customWidth="1"/>
    <col min="1029" max="1031" width="3.8984375" style="217" customWidth="1"/>
    <col min="1032" max="1032" width="5.59765625" style="217" customWidth="1"/>
    <col min="1033" max="1033" width="4.8984375" style="217" customWidth="1"/>
    <col min="1034" max="1041" width="4.5" style="217" customWidth="1"/>
    <col min="1042" max="1042" width="2.5" style="217" customWidth="1"/>
    <col min="1043" max="1043" width="13.59765625" style="217" customWidth="1"/>
    <col min="1044" max="1044" width="26.69921875" style="217" customWidth="1"/>
    <col min="1045" max="1048" width="13.59765625" style="217" customWidth="1"/>
    <col min="1049" max="1280" width="9" style="217"/>
    <col min="1281" max="1281" width="4.8984375" style="217" customWidth="1"/>
    <col min="1282" max="1283" width="8.19921875" style="217" customWidth="1"/>
    <col min="1284" max="1284" width="4.8984375" style="217" customWidth="1"/>
    <col min="1285" max="1287" width="3.8984375" style="217" customWidth="1"/>
    <col min="1288" max="1288" width="5.59765625" style="217" customWidth="1"/>
    <col min="1289" max="1289" width="4.8984375" style="217" customWidth="1"/>
    <col min="1290" max="1297" width="4.5" style="217" customWidth="1"/>
    <col min="1298" max="1298" width="2.5" style="217" customWidth="1"/>
    <col min="1299" max="1299" width="13.59765625" style="217" customWidth="1"/>
    <col min="1300" max="1300" width="26.69921875" style="217" customWidth="1"/>
    <col min="1301" max="1304" width="13.59765625" style="217" customWidth="1"/>
    <col min="1305" max="1536" width="9" style="217"/>
    <col min="1537" max="1537" width="4.8984375" style="217" customWidth="1"/>
    <col min="1538" max="1539" width="8.19921875" style="217" customWidth="1"/>
    <col min="1540" max="1540" width="4.8984375" style="217" customWidth="1"/>
    <col min="1541" max="1543" width="3.8984375" style="217" customWidth="1"/>
    <col min="1544" max="1544" width="5.59765625" style="217" customWidth="1"/>
    <col min="1545" max="1545" width="4.8984375" style="217" customWidth="1"/>
    <col min="1546" max="1553" width="4.5" style="217" customWidth="1"/>
    <col min="1554" max="1554" width="2.5" style="217" customWidth="1"/>
    <col min="1555" max="1555" width="13.59765625" style="217" customWidth="1"/>
    <col min="1556" max="1556" width="26.69921875" style="217" customWidth="1"/>
    <col min="1557" max="1560" width="13.59765625" style="217" customWidth="1"/>
    <col min="1561" max="1792" width="9" style="217"/>
    <col min="1793" max="1793" width="4.8984375" style="217" customWidth="1"/>
    <col min="1794" max="1795" width="8.19921875" style="217" customWidth="1"/>
    <col min="1796" max="1796" width="4.8984375" style="217" customWidth="1"/>
    <col min="1797" max="1799" width="3.8984375" style="217" customWidth="1"/>
    <col min="1800" max="1800" width="5.59765625" style="217" customWidth="1"/>
    <col min="1801" max="1801" width="4.8984375" style="217" customWidth="1"/>
    <col min="1802" max="1809" width="4.5" style="217" customWidth="1"/>
    <col min="1810" max="1810" width="2.5" style="217" customWidth="1"/>
    <col min="1811" max="1811" width="13.59765625" style="217" customWidth="1"/>
    <col min="1812" max="1812" width="26.69921875" style="217" customWidth="1"/>
    <col min="1813" max="1816" width="13.59765625" style="217" customWidth="1"/>
    <col min="1817" max="2048" width="9" style="217"/>
    <col min="2049" max="2049" width="4.8984375" style="217" customWidth="1"/>
    <col min="2050" max="2051" width="8.19921875" style="217" customWidth="1"/>
    <col min="2052" max="2052" width="4.8984375" style="217" customWidth="1"/>
    <col min="2053" max="2055" width="3.8984375" style="217" customWidth="1"/>
    <col min="2056" max="2056" width="5.59765625" style="217" customWidth="1"/>
    <col min="2057" max="2057" width="4.8984375" style="217" customWidth="1"/>
    <col min="2058" max="2065" width="4.5" style="217" customWidth="1"/>
    <col min="2066" max="2066" width="2.5" style="217" customWidth="1"/>
    <col min="2067" max="2067" width="13.59765625" style="217" customWidth="1"/>
    <col min="2068" max="2068" width="26.69921875" style="217" customWidth="1"/>
    <col min="2069" max="2072" width="13.59765625" style="217" customWidth="1"/>
    <col min="2073" max="2304" width="9" style="217"/>
    <col min="2305" max="2305" width="4.8984375" style="217" customWidth="1"/>
    <col min="2306" max="2307" width="8.19921875" style="217" customWidth="1"/>
    <col min="2308" max="2308" width="4.8984375" style="217" customWidth="1"/>
    <col min="2309" max="2311" width="3.8984375" style="217" customWidth="1"/>
    <col min="2312" max="2312" width="5.59765625" style="217" customWidth="1"/>
    <col min="2313" max="2313" width="4.8984375" style="217" customWidth="1"/>
    <col min="2314" max="2321" width="4.5" style="217" customWidth="1"/>
    <col min="2322" max="2322" width="2.5" style="217" customWidth="1"/>
    <col min="2323" max="2323" width="13.59765625" style="217" customWidth="1"/>
    <col min="2324" max="2324" width="26.69921875" style="217" customWidth="1"/>
    <col min="2325" max="2328" width="13.59765625" style="217" customWidth="1"/>
    <col min="2329" max="2560" width="9" style="217"/>
    <col min="2561" max="2561" width="4.8984375" style="217" customWidth="1"/>
    <col min="2562" max="2563" width="8.19921875" style="217" customWidth="1"/>
    <col min="2564" max="2564" width="4.8984375" style="217" customWidth="1"/>
    <col min="2565" max="2567" width="3.8984375" style="217" customWidth="1"/>
    <col min="2568" max="2568" width="5.59765625" style="217" customWidth="1"/>
    <col min="2569" max="2569" width="4.8984375" style="217" customWidth="1"/>
    <col min="2570" max="2577" width="4.5" style="217" customWidth="1"/>
    <col min="2578" max="2578" width="2.5" style="217" customWidth="1"/>
    <col min="2579" max="2579" width="13.59765625" style="217" customWidth="1"/>
    <col min="2580" max="2580" width="26.69921875" style="217" customWidth="1"/>
    <col min="2581" max="2584" width="13.59765625" style="217" customWidth="1"/>
    <col min="2585" max="2816" width="9" style="217"/>
    <col min="2817" max="2817" width="4.8984375" style="217" customWidth="1"/>
    <col min="2818" max="2819" width="8.19921875" style="217" customWidth="1"/>
    <col min="2820" max="2820" width="4.8984375" style="217" customWidth="1"/>
    <col min="2821" max="2823" width="3.8984375" style="217" customWidth="1"/>
    <col min="2824" max="2824" width="5.59765625" style="217" customWidth="1"/>
    <col min="2825" max="2825" width="4.8984375" style="217" customWidth="1"/>
    <col min="2826" max="2833" width="4.5" style="217" customWidth="1"/>
    <col min="2834" max="2834" width="2.5" style="217" customWidth="1"/>
    <col min="2835" max="2835" width="13.59765625" style="217" customWidth="1"/>
    <col min="2836" max="2836" width="26.69921875" style="217" customWidth="1"/>
    <col min="2837" max="2840" width="13.59765625" style="217" customWidth="1"/>
    <col min="2841" max="3072" width="9" style="217"/>
    <col min="3073" max="3073" width="4.8984375" style="217" customWidth="1"/>
    <col min="3074" max="3075" width="8.19921875" style="217" customWidth="1"/>
    <col min="3076" max="3076" width="4.8984375" style="217" customWidth="1"/>
    <col min="3077" max="3079" width="3.8984375" style="217" customWidth="1"/>
    <col min="3080" max="3080" width="5.59765625" style="217" customWidth="1"/>
    <col min="3081" max="3081" width="4.8984375" style="217" customWidth="1"/>
    <col min="3082" max="3089" width="4.5" style="217" customWidth="1"/>
    <col min="3090" max="3090" width="2.5" style="217" customWidth="1"/>
    <col min="3091" max="3091" width="13.59765625" style="217" customWidth="1"/>
    <col min="3092" max="3092" width="26.69921875" style="217" customWidth="1"/>
    <col min="3093" max="3096" width="13.59765625" style="217" customWidth="1"/>
    <col min="3097" max="3328" width="9" style="217"/>
    <col min="3329" max="3329" width="4.8984375" style="217" customWidth="1"/>
    <col min="3330" max="3331" width="8.19921875" style="217" customWidth="1"/>
    <col min="3332" max="3332" width="4.8984375" style="217" customWidth="1"/>
    <col min="3333" max="3335" width="3.8984375" style="217" customWidth="1"/>
    <col min="3336" max="3336" width="5.59765625" style="217" customWidth="1"/>
    <col min="3337" max="3337" width="4.8984375" style="217" customWidth="1"/>
    <col min="3338" max="3345" width="4.5" style="217" customWidth="1"/>
    <col min="3346" max="3346" width="2.5" style="217" customWidth="1"/>
    <col min="3347" max="3347" width="13.59765625" style="217" customWidth="1"/>
    <col min="3348" max="3348" width="26.69921875" style="217" customWidth="1"/>
    <col min="3349" max="3352" width="13.59765625" style="217" customWidth="1"/>
    <col min="3353" max="3584" width="9" style="217"/>
    <col min="3585" max="3585" width="4.8984375" style="217" customWidth="1"/>
    <col min="3586" max="3587" width="8.19921875" style="217" customWidth="1"/>
    <col min="3588" max="3588" width="4.8984375" style="217" customWidth="1"/>
    <col min="3589" max="3591" width="3.8984375" style="217" customWidth="1"/>
    <col min="3592" max="3592" width="5.59765625" style="217" customWidth="1"/>
    <col min="3593" max="3593" width="4.8984375" style="217" customWidth="1"/>
    <col min="3594" max="3601" width="4.5" style="217" customWidth="1"/>
    <col min="3602" max="3602" width="2.5" style="217" customWidth="1"/>
    <col min="3603" max="3603" width="13.59765625" style="217" customWidth="1"/>
    <col min="3604" max="3604" width="26.69921875" style="217" customWidth="1"/>
    <col min="3605" max="3608" width="13.59765625" style="217" customWidth="1"/>
    <col min="3609" max="3840" width="9" style="217"/>
    <col min="3841" max="3841" width="4.8984375" style="217" customWidth="1"/>
    <col min="3842" max="3843" width="8.19921875" style="217" customWidth="1"/>
    <col min="3844" max="3844" width="4.8984375" style="217" customWidth="1"/>
    <col min="3845" max="3847" width="3.8984375" style="217" customWidth="1"/>
    <col min="3848" max="3848" width="5.59765625" style="217" customWidth="1"/>
    <col min="3849" max="3849" width="4.8984375" style="217" customWidth="1"/>
    <col min="3850" max="3857" width="4.5" style="217" customWidth="1"/>
    <col min="3858" max="3858" width="2.5" style="217" customWidth="1"/>
    <col min="3859" max="3859" width="13.59765625" style="217" customWidth="1"/>
    <col min="3860" max="3860" width="26.69921875" style="217" customWidth="1"/>
    <col min="3861" max="3864" width="13.59765625" style="217" customWidth="1"/>
    <col min="3865" max="4096" width="9" style="217"/>
    <col min="4097" max="4097" width="4.8984375" style="217" customWidth="1"/>
    <col min="4098" max="4099" width="8.19921875" style="217" customWidth="1"/>
    <col min="4100" max="4100" width="4.8984375" style="217" customWidth="1"/>
    <col min="4101" max="4103" width="3.8984375" style="217" customWidth="1"/>
    <col min="4104" max="4104" width="5.59765625" style="217" customWidth="1"/>
    <col min="4105" max="4105" width="4.8984375" style="217" customWidth="1"/>
    <col min="4106" max="4113" width="4.5" style="217" customWidth="1"/>
    <col min="4114" max="4114" width="2.5" style="217" customWidth="1"/>
    <col min="4115" max="4115" width="13.59765625" style="217" customWidth="1"/>
    <col min="4116" max="4116" width="26.69921875" style="217" customWidth="1"/>
    <col min="4117" max="4120" width="13.59765625" style="217" customWidth="1"/>
    <col min="4121" max="4352" width="9" style="217"/>
    <col min="4353" max="4353" width="4.8984375" style="217" customWidth="1"/>
    <col min="4354" max="4355" width="8.19921875" style="217" customWidth="1"/>
    <col min="4356" max="4356" width="4.8984375" style="217" customWidth="1"/>
    <col min="4357" max="4359" width="3.8984375" style="217" customWidth="1"/>
    <col min="4360" max="4360" width="5.59765625" style="217" customWidth="1"/>
    <col min="4361" max="4361" width="4.8984375" style="217" customWidth="1"/>
    <col min="4362" max="4369" width="4.5" style="217" customWidth="1"/>
    <col min="4370" max="4370" width="2.5" style="217" customWidth="1"/>
    <col min="4371" max="4371" width="13.59765625" style="217" customWidth="1"/>
    <col min="4372" max="4372" width="26.69921875" style="217" customWidth="1"/>
    <col min="4373" max="4376" width="13.59765625" style="217" customWidth="1"/>
    <col min="4377" max="4608" width="9" style="217"/>
    <col min="4609" max="4609" width="4.8984375" style="217" customWidth="1"/>
    <col min="4610" max="4611" width="8.19921875" style="217" customWidth="1"/>
    <col min="4612" max="4612" width="4.8984375" style="217" customWidth="1"/>
    <col min="4613" max="4615" width="3.8984375" style="217" customWidth="1"/>
    <col min="4616" max="4616" width="5.59765625" style="217" customWidth="1"/>
    <col min="4617" max="4617" width="4.8984375" style="217" customWidth="1"/>
    <col min="4618" max="4625" width="4.5" style="217" customWidth="1"/>
    <col min="4626" max="4626" width="2.5" style="217" customWidth="1"/>
    <col min="4627" max="4627" width="13.59765625" style="217" customWidth="1"/>
    <col min="4628" max="4628" width="26.69921875" style="217" customWidth="1"/>
    <col min="4629" max="4632" width="13.59765625" style="217" customWidth="1"/>
    <col min="4633" max="4864" width="9" style="217"/>
    <col min="4865" max="4865" width="4.8984375" style="217" customWidth="1"/>
    <col min="4866" max="4867" width="8.19921875" style="217" customWidth="1"/>
    <col min="4868" max="4868" width="4.8984375" style="217" customWidth="1"/>
    <col min="4869" max="4871" width="3.8984375" style="217" customWidth="1"/>
    <col min="4872" max="4872" width="5.59765625" style="217" customWidth="1"/>
    <col min="4873" max="4873" width="4.8984375" style="217" customWidth="1"/>
    <col min="4874" max="4881" width="4.5" style="217" customWidth="1"/>
    <col min="4882" max="4882" width="2.5" style="217" customWidth="1"/>
    <col min="4883" max="4883" width="13.59765625" style="217" customWidth="1"/>
    <col min="4884" max="4884" width="26.69921875" style="217" customWidth="1"/>
    <col min="4885" max="4888" width="13.59765625" style="217" customWidth="1"/>
    <col min="4889" max="5120" width="9" style="217"/>
    <col min="5121" max="5121" width="4.8984375" style="217" customWidth="1"/>
    <col min="5122" max="5123" width="8.19921875" style="217" customWidth="1"/>
    <col min="5124" max="5124" width="4.8984375" style="217" customWidth="1"/>
    <col min="5125" max="5127" width="3.8984375" style="217" customWidth="1"/>
    <col min="5128" max="5128" width="5.59765625" style="217" customWidth="1"/>
    <col min="5129" max="5129" width="4.8984375" style="217" customWidth="1"/>
    <col min="5130" max="5137" width="4.5" style="217" customWidth="1"/>
    <col min="5138" max="5138" width="2.5" style="217" customWidth="1"/>
    <col min="5139" max="5139" width="13.59765625" style="217" customWidth="1"/>
    <col min="5140" max="5140" width="26.69921875" style="217" customWidth="1"/>
    <col min="5141" max="5144" width="13.59765625" style="217" customWidth="1"/>
    <col min="5145" max="5376" width="9" style="217"/>
    <col min="5377" max="5377" width="4.8984375" style="217" customWidth="1"/>
    <col min="5378" max="5379" width="8.19921875" style="217" customWidth="1"/>
    <col min="5380" max="5380" width="4.8984375" style="217" customWidth="1"/>
    <col min="5381" max="5383" width="3.8984375" style="217" customWidth="1"/>
    <col min="5384" max="5384" width="5.59765625" style="217" customWidth="1"/>
    <col min="5385" max="5385" width="4.8984375" style="217" customWidth="1"/>
    <col min="5386" max="5393" width="4.5" style="217" customWidth="1"/>
    <col min="5394" max="5394" width="2.5" style="217" customWidth="1"/>
    <col min="5395" max="5395" width="13.59765625" style="217" customWidth="1"/>
    <col min="5396" max="5396" width="26.69921875" style="217" customWidth="1"/>
    <col min="5397" max="5400" width="13.59765625" style="217" customWidth="1"/>
    <col min="5401" max="5632" width="9" style="217"/>
    <col min="5633" max="5633" width="4.8984375" style="217" customWidth="1"/>
    <col min="5634" max="5635" width="8.19921875" style="217" customWidth="1"/>
    <col min="5636" max="5636" width="4.8984375" style="217" customWidth="1"/>
    <col min="5637" max="5639" width="3.8984375" style="217" customWidth="1"/>
    <col min="5640" max="5640" width="5.59765625" style="217" customWidth="1"/>
    <col min="5641" max="5641" width="4.8984375" style="217" customWidth="1"/>
    <col min="5642" max="5649" width="4.5" style="217" customWidth="1"/>
    <col min="5650" max="5650" width="2.5" style="217" customWidth="1"/>
    <col min="5651" max="5651" width="13.59765625" style="217" customWidth="1"/>
    <col min="5652" max="5652" width="26.69921875" style="217" customWidth="1"/>
    <col min="5653" max="5656" width="13.59765625" style="217" customWidth="1"/>
    <col min="5657" max="5888" width="9" style="217"/>
    <col min="5889" max="5889" width="4.8984375" style="217" customWidth="1"/>
    <col min="5890" max="5891" width="8.19921875" style="217" customWidth="1"/>
    <col min="5892" max="5892" width="4.8984375" style="217" customWidth="1"/>
    <col min="5893" max="5895" width="3.8984375" style="217" customWidth="1"/>
    <col min="5896" max="5896" width="5.59765625" style="217" customWidth="1"/>
    <col min="5897" max="5897" width="4.8984375" style="217" customWidth="1"/>
    <col min="5898" max="5905" width="4.5" style="217" customWidth="1"/>
    <col min="5906" max="5906" width="2.5" style="217" customWidth="1"/>
    <col min="5907" max="5907" width="13.59765625" style="217" customWidth="1"/>
    <col min="5908" max="5908" width="26.69921875" style="217" customWidth="1"/>
    <col min="5909" max="5912" width="13.59765625" style="217" customWidth="1"/>
    <col min="5913" max="6144" width="9" style="217"/>
    <col min="6145" max="6145" width="4.8984375" style="217" customWidth="1"/>
    <col min="6146" max="6147" width="8.19921875" style="217" customWidth="1"/>
    <col min="6148" max="6148" width="4.8984375" style="217" customWidth="1"/>
    <col min="6149" max="6151" width="3.8984375" style="217" customWidth="1"/>
    <col min="6152" max="6152" width="5.59765625" style="217" customWidth="1"/>
    <col min="6153" max="6153" width="4.8984375" style="217" customWidth="1"/>
    <col min="6154" max="6161" width="4.5" style="217" customWidth="1"/>
    <col min="6162" max="6162" width="2.5" style="217" customWidth="1"/>
    <col min="6163" max="6163" width="13.59765625" style="217" customWidth="1"/>
    <col min="6164" max="6164" width="26.69921875" style="217" customWidth="1"/>
    <col min="6165" max="6168" width="13.59765625" style="217" customWidth="1"/>
    <col min="6169" max="6400" width="9" style="217"/>
    <col min="6401" max="6401" width="4.8984375" style="217" customWidth="1"/>
    <col min="6402" max="6403" width="8.19921875" style="217" customWidth="1"/>
    <col min="6404" max="6404" width="4.8984375" style="217" customWidth="1"/>
    <col min="6405" max="6407" width="3.8984375" style="217" customWidth="1"/>
    <col min="6408" max="6408" width="5.59765625" style="217" customWidth="1"/>
    <col min="6409" max="6409" width="4.8984375" style="217" customWidth="1"/>
    <col min="6410" max="6417" width="4.5" style="217" customWidth="1"/>
    <col min="6418" max="6418" width="2.5" style="217" customWidth="1"/>
    <col min="6419" max="6419" width="13.59765625" style="217" customWidth="1"/>
    <col min="6420" max="6420" width="26.69921875" style="217" customWidth="1"/>
    <col min="6421" max="6424" width="13.59765625" style="217" customWidth="1"/>
    <col min="6425" max="6656" width="9" style="217"/>
    <col min="6657" max="6657" width="4.8984375" style="217" customWidth="1"/>
    <col min="6658" max="6659" width="8.19921875" style="217" customWidth="1"/>
    <col min="6660" max="6660" width="4.8984375" style="217" customWidth="1"/>
    <col min="6661" max="6663" width="3.8984375" style="217" customWidth="1"/>
    <col min="6664" max="6664" width="5.59765625" style="217" customWidth="1"/>
    <col min="6665" max="6665" width="4.8984375" style="217" customWidth="1"/>
    <col min="6666" max="6673" width="4.5" style="217" customWidth="1"/>
    <col min="6674" max="6674" width="2.5" style="217" customWidth="1"/>
    <col min="6675" max="6675" width="13.59765625" style="217" customWidth="1"/>
    <col min="6676" max="6676" width="26.69921875" style="217" customWidth="1"/>
    <col min="6677" max="6680" width="13.59765625" style="217" customWidth="1"/>
    <col min="6681" max="6912" width="9" style="217"/>
    <col min="6913" max="6913" width="4.8984375" style="217" customWidth="1"/>
    <col min="6914" max="6915" width="8.19921875" style="217" customWidth="1"/>
    <col min="6916" max="6916" width="4.8984375" style="217" customWidth="1"/>
    <col min="6917" max="6919" width="3.8984375" style="217" customWidth="1"/>
    <col min="6920" max="6920" width="5.59765625" style="217" customWidth="1"/>
    <col min="6921" max="6921" width="4.8984375" style="217" customWidth="1"/>
    <col min="6922" max="6929" width="4.5" style="217" customWidth="1"/>
    <col min="6930" max="6930" width="2.5" style="217" customWidth="1"/>
    <col min="6931" max="6931" width="13.59765625" style="217" customWidth="1"/>
    <col min="6932" max="6932" width="26.69921875" style="217" customWidth="1"/>
    <col min="6933" max="6936" width="13.59765625" style="217" customWidth="1"/>
    <col min="6937" max="7168" width="9" style="217"/>
    <col min="7169" max="7169" width="4.8984375" style="217" customWidth="1"/>
    <col min="7170" max="7171" width="8.19921875" style="217" customWidth="1"/>
    <col min="7172" max="7172" width="4.8984375" style="217" customWidth="1"/>
    <col min="7173" max="7175" width="3.8984375" style="217" customWidth="1"/>
    <col min="7176" max="7176" width="5.59765625" style="217" customWidth="1"/>
    <col min="7177" max="7177" width="4.8984375" style="217" customWidth="1"/>
    <col min="7178" max="7185" width="4.5" style="217" customWidth="1"/>
    <col min="7186" max="7186" width="2.5" style="217" customWidth="1"/>
    <col min="7187" max="7187" width="13.59765625" style="217" customWidth="1"/>
    <col min="7188" max="7188" width="26.69921875" style="217" customWidth="1"/>
    <col min="7189" max="7192" width="13.59765625" style="217" customWidth="1"/>
    <col min="7193" max="7424" width="9" style="217"/>
    <col min="7425" max="7425" width="4.8984375" style="217" customWidth="1"/>
    <col min="7426" max="7427" width="8.19921875" style="217" customWidth="1"/>
    <col min="7428" max="7428" width="4.8984375" style="217" customWidth="1"/>
    <col min="7429" max="7431" width="3.8984375" style="217" customWidth="1"/>
    <col min="7432" max="7432" width="5.59765625" style="217" customWidth="1"/>
    <col min="7433" max="7433" width="4.8984375" style="217" customWidth="1"/>
    <col min="7434" max="7441" width="4.5" style="217" customWidth="1"/>
    <col min="7442" max="7442" width="2.5" style="217" customWidth="1"/>
    <col min="7443" max="7443" width="13.59765625" style="217" customWidth="1"/>
    <col min="7444" max="7444" width="26.69921875" style="217" customWidth="1"/>
    <col min="7445" max="7448" width="13.59765625" style="217" customWidth="1"/>
    <col min="7449" max="7680" width="9" style="217"/>
    <col min="7681" max="7681" width="4.8984375" style="217" customWidth="1"/>
    <col min="7682" max="7683" width="8.19921875" style="217" customWidth="1"/>
    <col min="7684" max="7684" width="4.8984375" style="217" customWidth="1"/>
    <col min="7685" max="7687" width="3.8984375" style="217" customWidth="1"/>
    <col min="7688" max="7688" width="5.59765625" style="217" customWidth="1"/>
    <col min="7689" max="7689" width="4.8984375" style="217" customWidth="1"/>
    <col min="7690" max="7697" width="4.5" style="217" customWidth="1"/>
    <col min="7698" max="7698" width="2.5" style="217" customWidth="1"/>
    <col min="7699" max="7699" width="13.59765625" style="217" customWidth="1"/>
    <col min="7700" max="7700" width="26.69921875" style="217" customWidth="1"/>
    <col min="7701" max="7704" width="13.59765625" style="217" customWidth="1"/>
    <col min="7705" max="7936" width="9" style="217"/>
    <col min="7937" max="7937" width="4.8984375" style="217" customWidth="1"/>
    <col min="7938" max="7939" width="8.19921875" style="217" customWidth="1"/>
    <col min="7940" max="7940" width="4.8984375" style="217" customWidth="1"/>
    <col min="7941" max="7943" width="3.8984375" style="217" customWidth="1"/>
    <col min="7944" max="7944" width="5.59765625" style="217" customWidth="1"/>
    <col min="7945" max="7945" width="4.8984375" style="217" customWidth="1"/>
    <col min="7946" max="7953" width="4.5" style="217" customWidth="1"/>
    <col min="7954" max="7954" width="2.5" style="217" customWidth="1"/>
    <col min="7955" max="7955" width="13.59765625" style="217" customWidth="1"/>
    <col min="7956" max="7956" width="26.69921875" style="217" customWidth="1"/>
    <col min="7957" max="7960" width="13.59765625" style="217" customWidth="1"/>
    <col min="7961" max="8192" width="9" style="217"/>
    <col min="8193" max="8193" width="4.8984375" style="217" customWidth="1"/>
    <col min="8194" max="8195" width="8.19921875" style="217" customWidth="1"/>
    <col min="8196" max="8196" width="4.8984375" style="217" customWidth="1"/>
    <col min="8197" max="8199" width="3.8984375" style="217" customWidth="1"/>
    <col min="8200" max="8200" width="5.59765625" style="217" customWidth="1"/>
    <col min="8201" max="8201" width="4.8984375" style="217" customWidth="1"/>
    <col min="8202" max="8209" width="4.5" style="217" customWidth="1"/>
    <col min="8210" max="8210" width="2.5" style="217" customWidth="1"/>
    <col min="8211" max="8211" width="13.59765625" style="217" customWidth="1"/>
    <col min="8212" max="8212" width="26.69921875" style="217" customWidth="1"/>
    <col min="8213" max="8216" width="13.59765625" style="217" customWidth="1"/>
    <col min="8217" max="8448" width="9" style="217"/>
    <col min="8449" max="8449" width="4.8984375" style="217" customWidth="1"/>
    <col min="8450" max="8451" width="8.19921875" style="217" customWidth="1"/>
    <col min="8452" max="8452" width="4.8984375" style="217" customWidth="1"/>
    <col min="8453" max="8455" width="3.8984375" style="217" customWidth="1"/>
    <col min="8456" max="8456" width="5.59765625" style="217" customWidth="1"/>
    <col min="8457" max="8457" width="4.8984375" style="217" customWidth="1"/>
    <col min="8458" max="8465" width="4.5" style="217" customWidth="1"/>
    <col min="8466" max="8466" width="2.5" style="217" customWidth="1"/>
    <col min="8467" max="8467" width="13.59765625" style="217" customWidth="1"/>
    <col min="8468" max="8468" width="26.69921875" style="217" customWidth="1"/>
    <col min="8469" max="8472" width="13.59765625" style="217" customWidth="1"/>
    <col min="8473" max="8704" width="9" style="217"/>
    <col min="8705" max="8705" width="4.8984375" style="217" customWidth="1"/>
    <col min="8706" max="8707" width="8.19921875" style="217" customWidth="1"/>
    <col min="8708" max="8708" width="4.8984375" style="217" customWidth="1"/>
    <col min="8709" max="8711" width="3.8984375" style="217" customWidth="1"/>
    <col min="8712" max="8712" width="5.59765625" style="217" customWidth="1"/>
    <col min="8713" max="8713" width="4.8984375" style="217" customWidth="1"/>
    <col min="8714" max="8721" width="4.5" style="217" customWidth="1"/>
    <col min="8722" max="8722" width="2.5" style="217" customWidth="1"/>
    <col min="8723" max="8723" width="13.59765625" style="217" customWidth="1"/>
    <col min="8724" max="8724" width="26.69921875" style="217" customWidth="1"/>
    <col min="8725" max="8728" width="13.59765625" style="217" customWidth="1"/>
    <col min="8729" max="8960" width="9" style="217"/>
    <col min="8961" max="8961" width="4.8984375" style="217" customWidth="1"/>
    <col min="8962" max="8963" width="8.19921875" style="217" customWidth="1"/>
    <col min="8964" max="8964" width="4.8984375" style="217" customWidth="1"/>
    <col min="8965" max="8967" width="3.8984375" style="217" customWidth="1"/>
    <col min="8968" max="8968" width="5.59765625" style="217" customWidth="1"/>
    <col min="8969" max="8969" width="4.8984375" style="217" customWidth="1"/>
    <col min="8970" max="8977" width="4.5" style="217" customWidth="1"/>
    <col min="8978" max="8978" width="2.5" style="217" customWidth="1"/>
    <col min="8979" max="8979" width="13.59765625" style="217" customWidth="1"/>
    <col min="8980" max="8980" width="26.69921875" style="217" customWidth="1"/>
    <col min="8981" max="8984" width="13.59765625" style="217" customWidth="1"/>
    <col min="8985" max="9216" width="9" style="217"/>
    <col min="9217" max="9217" width="4.8984375" style="217" customWidth="1"/>
    <col min="9218" max="9219" width="8.19921875" style="217" customWidth="1"/>
    <col min="9220" max="9220" width="4.8984375" style="217" customWidth="1"/>
    <col min="9221" max="9223" width="3.8984375" style="217" customWidth="1"/>
    <col min="9224" max="9224" width="5.59765625" style="217" customWidth="1"/>
    <col min="9225" max="9225" width="4.8984375" style="217" customWidth="1"/>
    <col min="9226" max="9233" width="4.5" style="217" customWidth="1"/>
    <col min="9234" max="9234" width="2.5" style="217" customWidth="1"/>
    <col min="9235" max="9235" width="13.59765625" style="217" customWidth="1"/>
    <col min="9236" max="9236" width="26.69921875" style="217" customWidth="1"/>
    <col min="9237" max="9240" width="13.59765625" style="217" customWidth="1"/>
    <col min="9241" max="9472" width="9" style="217"/>
    <col min="9473" max="9473" width="4.8984375" style="217" customWidth="1"/>
    <col min="9474" max="9475" width="8.19921875" style="217" customWidth="1"/>
    <col min="9476" max="9476" width="4.8984375" style="217" customWidth="1"/>
    <col min="9477" max="9479" width="3.8984375" style="217" customWidth="1"/>
    <col min="9480" max="9480" width="5.59765625" style="217" customWidth="1"/>
    <col min="9481" max="9481" width="4.8984375" style="217" customWidth="1"/>
    <col min="9482" max="9489" width="4.5" style="217" customWidth="1"/>
    <col min="9490" max="9490" width="2.5" style="217" customWidth="1"/>
    <col min="9491" max="9491" width="13.59765625" style="217" customWidth="1"/>
    <col min="9492" max="9492" width="26.69921875" style="217" customWidth="1"/>
    <col min="9493" max="9496" width="13.59765625" style="217" customWidth="1"/>
    <col min="9497" max="9728" width="9" style="217"/>
    <col min="9729" max="9729" width="4.8984375" style="217" customWidth="1"/>
    <col min="9730" max="9731" width="8.19921875" style="217" customWidth="1"/>
    <col min="9732" max="9732" width="4.8984375" style="217" customWidth="1"/>
    <col min="9733" max="9735" width="3.8984375" style="217" customWidth="1"/>
    <col min="9736" max="9736" width="5.59765625" style="217" customWidth="1"/>
    <col min="9737" max="9737" width="4.8984375" style="217" customWidth="1"/>
    <col min="9738" max="9745" width="4.5" style="217" customWidth="1"/>
    <col min="9746" max="9746" width="2.5" style="217" customWidth="1"/>
    <col min="9747" max="9747" width="13.59765625" style="217" customWidth="1"/>
    <col min="9748" max="9748" width="26.69921875" style="217" customWidth="1"/>
    <col min="9749" max="9752" width="13.59765625" style="217" customWidth="1"/>
    <col min="9753" max="9984" width="9" style="217"/>
    <col min="9985" max="9985" width="4.8984375" style="217" customWidth="1"/>
    <col min="9986" max="9987" width="8.19921875" style="217" customWidth="1"/>
    <col min="9988" max="9988" width="4.8984375" style="217" customWidth="1"/>
    <col min="9989" max="9991" width="3.8984375" style="217" customWidth="1"/>
    <col min="9992" max="9992" width="5.59765625" style="217" customWidth="1"/>
    <col min="9993" max="9993" width="4.8984375" style="217" customWidth="1"/>
    <col min="9994" max="10001" width="4.5" style="217" customWidth="1"/>
    <col min="10002" max="10002" width="2.5" style="217" customWidth="1"/>
    <col min="10003" max="10003" width="13.59765625" style="217" customWidth="1"/>
    <col min="10004" max="10004" width="26.69921875" style="217" customWidth="1"/>
    <col min="10005" max="10008" width="13.59765625" style="217" customWidth="1"/>
    <col min="10009" max="10240" width="9" style="217"/>
    <col min="10241" max="10241" width="4.8984375" style="217" customWidth="1"/>
    <col min="10242" max="10243" width="8.19921875" style="217" customWidth="1"/>
    <col min="10244" max="10244" width="4.8984375" style="217" customWidth="1"/>
    <col min="10245" max="10247" width="3.8984375" style="217" customWidth="1"/>
    <col min="10248" max="10248" width="5.59765625" style="217" customWidth="1"/>
    <col min="10249" max="10249" width="4.8984375" style="217" customWidth="1"/>
    <col min="10250" max="10257" width="4.5" style="217" customWidth="1"/>
    <col min="10258" max="10258" width="2.5" style="217" customWidth="1"/>
    <col min="10259" max="10259" width="13.59765625" style="217" customWidth="1"/>
    <col min="10260" max="10260" width="26.69921875" style="217" customWidth="1"/>
    <col min="10261" max="10264" width="13.59765625" style="217" customWidth="1"/>
    <col min="10265" max="10496" width="9" style="217"/>
    <col min="10497" max="10497" width="4.8984375" style="217" customWidth="1"/>
    <col min="10498" max="10499" width="8.19921875" style="217" customWidth="1"/>
    <col min="10500" max="10500" width="4.8984375" style="217" customWidth="1"/>
    <col min="10501" max="10503" width="3.8984375" style="217" customWidth="1"/>
    <col min="10504" max="10504" width="5.59765625" style="217" customWidth="1"/>
    <col min="10505" max="10505" width="4.8984375" style="217" customWidth="1"/>
    <col min="10506" max="10513" width="4.5" style="217" customWidth="1"/>
    <col min="10514" max="10514" width="2.5" style="217" customWidth="1"/>
    <col min="10515" max="10515" width="13.59765625" style="217" customWidth="1"/>
    <col min="10516" max="10516" width="26.69921875" style="217" customWidth="1"/>
    <col min="10517" max="10520" width="13.59765625" style="217" customWidth="1"/>
    <col min="10521" max="10752" width="9" style="217"/>
    <col min="10753" max="10753" width="4.8984375" style="217" customWidth="1"/>
    <col min="10754" max="10755" width="8.19921875" style="217" customWidth="1"/>
    <col min="10756" max="10756" width="4.8984375" style="217" customWidth="1"/>
    <col min="10757" max="10759" width="3.8984375" style="217" customWidth="1"/>
    <col min="10760" max="10760" width="5.59765625" style="217" customWidth="1"/>
    <col min="10761" max="10761" width="4.8984375" style="217" customWidth="1"/>
    <col min="10762" max="10769" width="4.5" style="217" customWidth="1"/>
    <col min="10770" max="10770" width="2.5" style="217" customWidth="1"/>
    <col min="10771" max="10771" width="13.59765625" style="217" customWidth="1"/>
    <col min="10772" max="10772" width="26.69921875" style="217" customWidth="1"/>
    <col min="10773" max="10776" width="13.59765625" style="217" customWidth="1"/>
    <col min="10777" max="11008" width="9" style="217"/>
    <col min="11009" max="11009" width="4.8984375" style="217" customWidth="1"/>
    <col min="11010" max="11011" width="8.19921875" style="217" customWidth="1"/>
    <col min="11012" max="11012" width="4.8984375" style="217" customWidth="1"/>
    <col min="11013" max="11015" width="3.8984375" style="217" customWidth="1"/>
    <col min="11016" max="11016" width="5.59765625" style="217" customWidth="1"/>
    <col min="11017" max="11017" width="4.8984375" style="217" customWidth="1"/>
    <col min="11018" max="11025" width="4.5" style="217" customWidth="1"/>
    <col min="11026" max="11026" width="2.5" style="217" customWidth="1"/>
    <col min="11027" max="11027" width="13.59765625" style="217" customWidth="1"/>
    <col min="11028" max="11028" width="26.69921875" style="217" customWidth="1"/>
    <col min="11029" max="11032" width="13.59765625" style="217" customWidth="1"/>
    <col min="11033" max="11264" width="9" style="217"/>
    <col min="11265" max="11265" width="4.8984375" style="217" customWidth="1"/>
    <col min="11266" max="11267" width="8.19921875" style="217" customWidth="1"/>
    <col min="11268" max="11268" width="4.8984375" style="217" customWidth="1"/>
    <col min="11269" max="11271" width="3.8984375" style="217" customWidth="1"/>
    <col min="11272" max="11272" width="5.59765625" style="217" customWidth="1"/>
    <col min="11273" max="11273" width="4.8984375" style="217" customWidth="1"/>
    <col min="11274" max="11281" width="4.5" style="217" customWidth="1"/>
    <col min="11282" max="11282" width="2.5" style="217" customWidth="1"/>
    <col min="11283" max="11283" width="13.59765625" style="217" customWidth="1"/>
    <col min="11284" max="11284" width="26.69921875" style="217" customWidth="1"/>
    <col min="11285" max="11288" width="13.59765625" style="217" customWidth="1"/>
    <col min="11289" max="11520" width="9" style="217"/>
    <col min="11521" max="11521" width="4.8984375" style="217" customWidth="1"/>
    <col min="11522" max="11523" width="8.19921875" style="217" customWidth="1"/>
    <col min="11524" max="11524" width="4.8984375" style="217" customWidth="1"/>
    <col min="11525" max="11527" width="3.8984375" style="217" customWidth="1"/>
    <col min="11528" max="11528" width="5.59765625" style="217" customWidth="1"/>
    <col min="11529" max="11529" width="4.8984375" style="217" customWidth="1"/>
    <col min="11530" max="11537" width="4.5" style="217" customWidth="1"/>
    <col min="11538" max="11538" width="2.5" style="217" customWidth="1"/>
    <col min="11539" max="11539" width="13.59765625" style="217" customWidth="1"/>
    <col min="11540" max="11540" width="26.69921875" style="217" customWidth="1"/>
    <col min="11541" max="11544" width="13.59765625" style="217" customWidth="1"/>
    <col min="11545" max="11776" width="9" style="217"/>
    <col min="11777" max="11777" width="4.8984375" style="217" customWidth="1"/>
    <col min="11778" max="11779" width="8.19921875" style="217" customWidth="1"/>
    <col min="11780" max="11780" width="4.8984375" style="217" customWidth="1"/>
    <col min="11781" max="11783" width="3.8984375" style="217" customWidth="1"/>
    <col min="11784" max="11784" width="5.59765625" style="217" customWidth="1"/>
    <col min="11785" max="11785" width="4.8984375" style="217" customWidth="1"/>
    <col min="11786" max="11793" width="4.5" style="217" customWidth="1"/>
    <col min="11794" max="11794" width="2.5" style="217" customWidth="1"/>
    <col min="11795" max="11795" width="13.59765625" style="217" customWidth="1"/>
    <col min="11796" max="11796" width="26.69921875" style="217" customWidth="1"/>
    <col min="11797" max="11800" width="13.59765625" style="217" customWidth="1"/>
    <col min="11801" max="12032" width="9" style="217"/>
    <col min="12033" max="12033" width="4.8984375" style="217" customWidth="1"/>
    <col min="12034" max="12035" width="8.19921875" style="217" customWidth="1"/>
    <col min="12036" max="12036" width="4.8984375" style="217" customWidth="1"/>
    <col min="12037" max="12039" width="3.8984375" style="217" customWidth="1"/>
    <col min="12040" max="12040" width="5.59765625" style="217" customWidth="1"/>
    <col min="12041" max="12041" width="4.8984375" style="217" customWidth="1"/>
    <col min="12042" max="12049" width="4.5" style="217" customWidth="1"/>
    <col min="12050" max="12050" width="2.5" style="217" customWidth="1"/>
    <col min="12051" max="12051" width="13.59765625" style="217" customWidth="1"/>
    <col min="12052" max="12052" width="26.69921875" style="217" customWidth="1"/>
    <col min="12053" max="12056" width="13.59765625" style="217" customWidth="1"/>
    <col min="12057" max="12288" width="9" style="217"/>
    <col min="12289" max="12289" width="4.8984375" style="217" customWidth="1"/>
    <col min="12290" max="12291" width="8.19921875" style="217" customWidth="1"/>
    <col min="12292" max="12292" width="4.8984375" style="217" customWidth="1"/>
    <col min="12293" max="12295" width="3.8984375" style="217" customWidth="1"/>
    <col min="12296" max="12296" width="5.59765625" style="217" customWidth="1"/>
    <col min="12297" max="12297" width="4.8984375" style="217" customWidth="1"/>
    <col min="12298" max="12305" width="4.5" style="217" customWidth="1"/>
    <col min="12306" max="12306" width="2.5" style="217" customWidth="1"/>
    <col min="12307" max="12307" width="13.59765625" style="217" customWidth="1"/>
    <col min="12308" max="12308" width="26.69921875" style="217" customWidth="1"/>
    <col min="12309" max="12312" width="13.59765625" style="217" customWidth="1"/>
    <col min="12313" max="12544" width="9" style="217"/>
    <col min="12545" max="12545" width="4.8984375" style="217" customWidth="1"/>
    <col min="12546" max="12547" width="8.19921875" style="217" customWidth="1"/>
    <col min="12548" max="12548" width="4.8984375" style="217" customWidth="1"/>
    <col min="12549" max="12551" width="3.8984375" style="217" customWidth="1"/>
    <col min="12552" max="12552" width="5.59765625" style="217" customWidth="1"/>
    <col min="12553" max="12553" width="4.8984375" style="217" customWidth="1"/>
    <col min="12554" max="12561" width="4.5" style="217" customWidth="1"/>
    <col min="12562" max="12562" width="2.5" style="217" customWidth="1"/>
    <col min="12563" max="12563" width="13.59765625" style="217" customWidth="1"/>
    <col min="12564" max="12564" width="26.69921875" style="217" customWidth="1"/>
    <col min="12565" max="12568" width="13.59765625" style="217" customWidth="1"/>
    <col min="12569" max="12800" width="9" style="217"/>
    <col min="12801" max="12801" width="4.8984375" style="217" customWidth="1"/>
    <col min="12802" max="12803" width="8.19921875" style="217" customWidth="1"/>
    <col min="12804" max="12804" width="4.8984375" style="217" customWidth="1"/>
    <col min="12805" max="12807" width="3.8984375" style="217" customWidth="1"/>
    <col min="12808" max="12808" width="5.59765625" style="217" customWidth="1"/>
    <col min="12809" max="12809" width="4.8984375" style="217" customWidth="1"/>
    <col min="12810" max="12817" width="4.5" style="217" customWidth="1"/>
    <col min="12818" max="12818" width="2.5" style="217" customWidth="1"/>
    <col min="12819" max="12819" width="13.59765625" style="217" customWidth="1"/>
    <col min="12820" max="12820" width="26.69921875" style="217" customWidth="1"/>
    <col min="12821" max="12824" width="13.59765625" style="217" customWidth="1"/>
    <col min="12825" max="13056" width="9" style="217"/>
    <col min="13057" max="13057" width="4.8984375" style="217" customWidth="1"/>
    <col min="13058" max="13059" width="8.19921875" style="217" customWidth="1"/>
    <col min="13060" max="13060" width="4.8984375" style="217" customWidth="1"/>
    <col min="13061" max="13063" width="3.8984375" style="217" customWidth="1"/>
    <col min="13064" max="13064" width="5.59765625" style="217" customWidth="1"/>
    <col min="13065" max="13065" width="4.8984375" style="217" customWidth="1"/>
    <col min="13066" max="13073" width="4.5" style="217" customWidth="1"/>
    <col min="13074" max="13074" width="2.5" style="217" customWidth="1"/>
    <col min="13075" max="13075" width="13.59765625" style="217" customWidth="1"/>
    <col min="13076" max="13076" width="26.69921875" style="217" customWidth="1"/>
    <col min="13077" max="13080" width="13.59765625" style="217" customWidth="1"/>
    <col min="13081" max="13312" width="9" style="217"/>
    <col min="13313" max="13313" width="4.8984375" style="217" customWidth="1"/>
    <col min="13314" max="13315" width="8.19921875" style="217" customWidth="1"/>
    <col min="13316" max="13316" width="4.8984375" style="217" customWidth="1"/>
    <col min="13317" max="13319" width="3.8984375" style="217" customWidth="1"/>
    <col min="13320" max="13320" width="5.59765625" style="217" customWidth="1"/>
    <col min="13321" max="13321" width="4.8984375" style="217" customWidth="1"/>
    <col min="13322" max="13329" width="4.5" style="217" customWidth="1"/>
    <col min="13330" max="13330" width="2.5" style="217" customWidth="1"/>
    <col min="13331" max="13331" width="13.59765625" style="217" customWidth="1"/>
    <col min="13332" max="13332" width="26.69921875" style="217" customWidth="1"/>
    <col min="13333" max="13336" width="13.59765625" style="217" customWidth="1"/>
    <col min="13337" max="13568" width="9" style="217"/>
    <col min="13569" max="13569" width="4.8984375" style="217" customWidth="1"/>
    <col min="13570" max="13571" width="8.19921875" style="217" customWidth="1"/>
    <col min="13572" max="13572" width="4.8984375" style="217" customWidth="1"/>
    <col min="13573" max="13575" width="3.8984375" style="217" customWidth="1"/>
    <col min="13576" max="13576" width="5.59765625" style="217" customWidth="1"/>
    <col min="13577" max="13577" width="4.8984375" style="217" customWidth="1"/>
    <col min="13578" max="13585" width="4.5" style="217" customWidth="1"/>
    <col min="13586" max="13586" width="2.5" style="217" customWidth="1"/>
    <col min="13587" max="13587" width="13.59765625" style="217" customWidth="1"/>
    <col min="13588" max="13588" width="26.69921875" style="217" customWidth="1"/>
    <col min="13589" max="13592" width="13.59765625" style="217" customWidth="1"/>
    <col min="13593" max="13824" width="9" style="217"/>
    <col min="13825" max="13825" width="4.8984375" style="217" customWidth="1"/>
    <col min="13826" max="13827" width="8.19921875" style="217" customWidth="1"/>
    <col min="13828" max="13828" width="4.8984375" style="217" customWidth="1"/>
    <col min="13829" max="13831" width="3.8984375" style="217" customWidth="1"/>
    <col min="13832" max="13832" width="5.59765625" style="217" customWidth="1"/>
    <col min="13833" max="13833" width="4.8984375" style="217" customWidth="1"/>
    <col min="13834" max="13841" width="4.5" style="217" customWidth="1"/>
    <col min="13842" max="13842" width="2.5" style="217" customWidth="1"/>
    <col min="13843" max="13843" width="13.59765625" style="217" customWidth="1"/>
    <col min="13844" max="13844" width="26.69921875" style="217" customWidth="1"/>
    <col min="13845" max="13848" width="13.59765625" style="217" customWidth="1"/>
    <col min="13849" max="14080" width="9" style="217"/>
    <col min="14081" max="14081" width="4.8984375" style="217" customWidth="1"/>
    <col min="14082" max="14083" width="8.19921875" style="217" customWidth="1"/>
    <col min="14084" max="14084" width="4.8984375" style="217" customWidth="1"/>
    <col min="14085" max="14087" width="3.8984375" style="217" customWidth="1"/>
    <col min="14088" max="14088" width="5.59765625" style="217" customWidth="1"/>
    <col min="14089" max="14089" width="4.8984375" style="217" customWidth="1"/>
    <col min="14090" max="14097" width="4.5" style="217" customWidth="1"/>
    <col min="14098" max="14098" width="2.5" style="217" customWidth="1"/>
    <col min="14099" max="14099" width="13.59765625" style="217" customWidth="1"/>
    <col min="14100" max="14100" width="26.69921875" style="217" customWidth="1"/>
    <col min="14101" max="14104" width="13.59765625" style="217" customWidth="1"/>
    <col min="14105" max="14336" width="9" style="217"/>
    <col min="14337" max="14337" width="4.8984375" style="217" customWidth="1"/>
    <col min="14338" max="14339" width="8.19921875" style="217" customWidth="1"/>
    <col min="14340" max="14340" width="4.8984375" style="217" customWidth="1"/>
    <col min="14341" max="14343" width="3.8984375" style="217" customWidth="1"/>
    <col min="14344" max="14344" width="5.59765625" style="217" customWidth="1"/>
    <col min="14345" max="14345" width="4.8984375" style="217" customWidth="1"/>
    <col min="14346" max="14353" width="4.5" style="217" customWidth="1"/>
    <col min="14354" max="14354" width="2.5" style="217" customWidth="1"/>
    <col min="14355" max="14355" width="13.59765625" style="217" customWidth="1"/>
    <col min="14356" max="14356" width="26.69921875" style="217" customWidth="1"/>
    <col min="14357" max="14360" width="13.59765625" style="217" customWidth="1"/>
    <col min="14361" max="14592" width="9" style="217"/>
    <col min="14593" max="14593" width="4.8984375" style="217" customWidth="1"/>
    <col min="14594" max="14595" width="8.19921875" style="217" customWidth="1"/>
    <col min="14596" max="14596" width="4.8984375" style="217" customWidth="1"/>
    <col min="14597" max="14599" width="3.8984375" style="217" customWidth="1"/>
    <col min="14600" max="14600" width="5.59765625" style="217" customWidth="1"/>
    <col min="14601" max="14601" width="4.8984375" style="217" customWidth="1"/>
    <col min="14602" max="14609" width="4.5" style="217" customWidth="1"/>
    <col min="14610" max="14610" width="2.5" style="217" customWidth="1"/>
    <col min="14611" max="14611" width="13.59765625" style="217" customWidth="1"/>
    <col min="14612" max="14612" width="26.69921875" style="217" customWidth="1"/>
    <col min="14613" max="14616" width="13.59765625" style="217" customWidth="1"/>
    <col min="14617" max="14848" width="9" style="217"/>
    <col min="14849" max="14849" width="4.8984375" style="217" customWidth="1"/>
    <col min="14850" max="14851" width="8.19921875" style="217" customWidth="1"/>
    <col min="14852" max="14852" width="4.8984375" style="217" customWidth="1"/>
    <col min="14853" max="14855" width="3.8984375" style="217" customWidth="1"/>
    <col min="14856" max="14856" width="5.59765625" style="217" customWidth="1"/>
    <col min="14857" max="14857" width="4.8984375" style="217" customWidth="1"/>
    <col min="14858" max="14865" width="4.5" style="217" customWidth="1"/>
    <col min="14866" max="14866" width="2.5" style="217" customWidth="1"/>
    <col min="14867" max="14867" width="13.59765625" style="217" customWidth="1"/>
    <col min="14868" max="14868" width="26.69921875" style="217" customWidth="1"/>
    <col min="14869" max="14872" width="13.59765625" style="217" customWidth="1"/>
    <col min="14873" max="15104" width="9" style="217"/>
    <col min="15105" max="15105" width="4.8984375" style="217" customWidth="1"/>
    <col min="15106" max="15107" width="8.19921875" style="217" customWidth="1"/>
    <col min="15108" max="15108" width="4.8984375" style="217" customWidth="1"/>
    <col min="15109" max="15111" width="3.8984375" style="217" customWidth="1"/>
    <col min="15112" max="15112" width="5.59765625" style="217" customWidth="1"/>
    <col min="15113" max="15113" width="4.8984375" style="217" customWidth="1"/>
    <col min="15114" max="15121" width="4.5" style="217" customWidth="1"/>
    <col min="15122" max="15122" width="2.5" style="217" customWidth="1"/>
    <col min="15123" max="15123" width="13.59765625" style="217" customWidth="1"/>
    <col min="15124" max="15124" width="26.69921875" style="217" customWidth="1"/>
    <col min="15125" max="15128" width="13.59765625" style="217" customWidth="1"/>
    <col min="15129" max="15360" width="9" style="217"/>
    <col min="15361" max="15361" width="4.8984375" style="217" customWidth="1"/>
    <col min="15362" max="15363" width="8.19921875" style="217" customWidth="1"/>
    <col min="15364" max="15364" width="4.8984375" style="217" customWidth="1"/>
    <col min="15365" max="15367" width="3.8984375" style="217" customWidth="1"/>
    <col min="15368" max="15368" width="5.59765625" style="217" customWidth="1"/>
    <col min="15369" max="15369" width="4.8984375" style="217" customWidth="1"/>
    <col min="15370" max="15377" width="4.5" style="217" customWidth="1"/>
    <col min="15378" max="15378" width="2.5" style="217" customWidth="1"/>
    <col min="15379" max="15379" width="13.59765625" style="217" customWidth="1"/>
    <col min="15380" max="15380" width="26.69921875" style="217" customWidth="1"/>
    <col min="15381" max="15384" width="13.59765625" style="217" customWidth="1"/>
    <col min="15385" max="15616" width="9" style="217"/>
    <col min="15617" max="15617" width="4.8984375" style="217" customWidth="1"/>
    <col min="15618" max="15619" width="8.19921875" style="217" customWidth="1"/>
    <col min="15620" max="15620" width="4.8984375" style="217" customWidth="1"/>
    <col min="15621" max="15623" width="3.8984375" style="217" customWidth="1"/>
    <col min="15624" max="15624" width="5.59765625" style="217" customWidth="1"/>
    <col min="15625" max="15625" width="4.8984375" style="217" customWidth="1"/>
    <col min="15626" max="15633" width="4.5" style="217" customWidth="1"/>
    <col min="15634" max="15634" width="2.5" style="217" customWidth="1"/>
    <col min="15635" max="15635" width="13.59765625" style="217" customWidth="1"/>
    <col min="15636" max="15636" width="26.69921875" style="217" customWidth="1"/>
    <col min="15637" max="15640" width="13.59765625" style="217" customWidth="1"/>
    <col min="15641" max="15872" width="9" style="217"/>
    <col min="15873" max="15873" width="4.8984375" style="217" customWidth="1"/>
    <col min="15874" max="15875" width="8.19921875" style="217" customWidth="1"/>
    <col min="15876" max="15876" width="4.8984375" style="217" customWidth="1"/>
    <col min="15877" max="15879" width="3.8984375" style="217" customWidth="1"/>
    <col min="15880" max="15880" width="5.59765625" style="217" customWidth="1"/>
    <col min="15881" max="15881" width="4.8984375" style="217" customWidth="1"/>
    <col min="15882" max="15889" width="4.5" style="217" customWidth="1"/>
    <col min="15890" max="15890" width="2.5" style="217" customWidth="1"/>
    <col min="15891" max="15891" width="13.59765625" style="217" customWidth="1"/>
    <col min="15892" max="15892" width="26.69921875" style="217" customWidth="1"/>
    <col min="15893" max="15896" width="13.59765625" style="217" customWidth="1"/>
    <col min="15897" max="16128" width="9" style="217"/>
    <col min="16129" max="16129" width="4.8984375" style="217" customWidth="1"/>
    <col min="16130" max="16131" width="8.19921875" style="217" customWidth="1"/>
    <col min="16132" max="16132" width="4.8984375" style="217" customWidth="1"/>
    <col min="16133" max="16135" width="3.8984375" style="217" customWidth="1"/>
    <col min="16136" max="16136" width="5.59765625" style="217" customWidth="1"/>
    <col min="16137" max="16137" width="4.8984375" style="217" customWidth="1"/>
    <col min="16138" max="16145" width="4.5" style="217" customWidth="1"/>
    <col min="16146" max="16146" width="2.5" style="217" customWidth="1"/>
    <col min="16147" max="16147" width="13.59765625" style="217" customWidth="1"/>
    <col min="16148" max="16148" width="26.69921875" style="217" customWidth="1"/>
    <col min="16149" max="16152" width="13.59765625" style="217" customWidth="1"/>
    <col min="16153" max="16384" width="9" style="217"/>
  </cols>
  <sheetData>
    <row r="1" spans="1:27" s="212" customFormat="1" ht="15" customHeight="1">
      <c r="B1" s="247"/>
      <c r="C1" s="247"/>
      <c r="D1" s="247"/>
      <c r="E1" s="247"/>
      <c r="S1" s="277"/>
      <c r="T1" s="213" t="s">
        <v>368</v>
      </c>
      <c r="V1" s="247"/>
    </row>
    <row r="2" spans="1:27" ht="15" customHeight="1">
      <c r="A2" s="214" t="s">
        <v>728</v>
      </c>
      <c r="B2" s="218"/>
      <c r="C2" s="218"/>
      <c r="D2" s="218"/>
      <c r="E2" s="218"/>
      <c r="F2" s="213"/>
      <c r="G2" s="213"/>
      <c r="H2" s="213"/>
      <c r="I2" s="213"/>
      <c r="J2" s="213"/>
      <c r="K2" s="213"/>
      <c r="L2" s="213"/>
      <c r="M2" s="213"/>
      <c r="N2" s="213"/>
      <c r="O2" s="215" t="str">
        <f>'SP5-1'!L2</f>
        <v>Spreadsheet May 2025</v>
      </c>
      <c r="P2" s="213"/>
      <c r="Q2" s="213"/>
      <c r="R2" s="213"/>
      <c r="S2" s="278"/>
      <c r="T2" s="216" t="s">
        <v>369</v>
      </c>
      <c r="U2" s="213"/>
      <c r="V2" s="219"/>
      <c r="W2" s="213"/>
      <c r="X2" s="213"/>
      <c r="Y2" s="213"/>
      <c r="Z2" s="213"/>
      <c r="AA2" s="213"/>
    </row>
    <row r="3" spans="1:27" s="212" customFormat="1" ht="15" customHeight="1">
      <c r="A3" s="218" t="s">
        <v>436</v>
      </c>
      <c r="B3" s="218"/>
      <c r="C3" s="218"/>
      <c r="D3" s="213"/>
      <c r="E3" s="213"/>
      <c r="F3" s="213"/>
      <c r="G3" s="213"/>
      <c r="H3" s="213"/>
      <c r="I3" s="213"/>
      <c r="J3" s="213"/>
      <c r="K3" s="213"/>
      <c r="L3" s="213"/>
      <c r="M3" s="213"/>
      <c r="N3" s="213"/>
      <c r="O3" s="213"/>
      <c r="P3" s="213"/>
      <c r="Q3" s="213"/>
      <c r="R3" s="219"/>
      <c r="S3" s="279"/>
      <c r="T3" s="213"/>
      <c r="U3" s="213"/>
      <c r="V3" s="213"/>
      <c r="W3" s="213"/>
      <c r="X3" s="213"/>
      <c r="Y3" s="213"/>
      <c r="Z3" s="213"/>
      <c r="AA3" s="213"/>
    </row>
    <row r="4" spans="1:27" s="281" customFormat="1" ht="15" customHeight="1">
      <c r="A4" s="280"/>
      <c r="B4" s="550" t="s">
        <v>437</v>
      </c>
      <c r="C4" s="550"/>
      <c r="D4" s="550"/>
      <c r="E4" s="550"/>
      <c r="F4" s="550"/>
      <c r="G4" s="550"/>
      <c r="H4" s="550"/>
      <c r="I4" s="550"/>
      <c r="J4" s="550"/>
      <c r="K4" s="550"/>
      <c r="L4" s="550"/>
      <c r="M4" s="550"/>
      <c r="N4" s="550"/>
      <c r="O4" s="550"/>
      <c r="P4" s="550"/>
      <c r="Q4" s="550"/>
      <c r="R4" s="278"/>
      <c r="S4" s="278"/>
      <c r="T4" s="278"/>
      <c r="U4" s="278"/>
      <c r="V4" s="278"/>
      <c r="W4" s="278"/>
      <c r="X4" s="278"/>
      <c r="Y4" s="278"/>
      <c r="Z4" s="278"/>
    </row>
    <row r="5" spans="1:27" s="281" customFormat="1" ht="51" customHeight="1">
      <c r="A5" s="280"/>
      <c r="B5" s="550"/>
      <c r="C5" s="550"/>
      <c r="D5" s="550"/>
      <c r="E5" s="550"/>
      <c r="F5" s="550"/>
      <c r="G5" s="550"/>
      <c r="H5" s="550"/>
      <c r="I5" s="550"/>
      <c r="J5" s="550"/>
      <c r="K5" s="550"/>
      <c r="L5" s="550"/>
      <c r="M5" s="550"/>
      <c r="N5" s="550"/>
      <c r="O5" s="550"/>
      <c r="P5" s="550"/>
      <c r="Q5" s="550"/>
      <c r="R5" s="278"/>
      <c r="S5" s="278"/>
      <c r="T5" s="278"/>
      <c r="U5" s="278"/>
      <c r="V5" s="278"/>
      <c r="W5" s="278"/>
      <c r="X5" s="278"/>
      <c r="Y5" s="278"/>
      <c r="Z5" s="278"/>
    </row>
    <row r="6" spans="1:27" s="212" customFormat="1" ht="11.25" customHeight="1" thickBot="1">
      <c r="A6" s="219"/>
      <c r="B6" s="219"/>
      <c r="C6" s="219"/>
      <c r="D6" s="213"/>
      <c r="E6" s="213"/>
      <c r="F6" s="213"/>
      <c r="G6" s="213"/>
      <c r="H6" s="213"/>
      <c r="I6" s="213"/>
      <c r="J6" s="213"/>
      <c r="K6" s="213"/>
      <c r="L6" s="213"/>
      <c r="M6" s="213"/>
      <c r="N6" s="213"/>
      <c r="O6" s="213"/>
      <c r="P6" s="213"/>
      <c r="Q6" s="213"/>
      <c r="R6" s="219"/>
      <c r="S6" s="279"/>
      <c r="T6" s="213"/>
      <c r="U6" s="213"/>
      <c r="V6" s="213"/>
      <c r="W6" s="213"/>
      <c r="X6" s="213"/>
      <c r="Y6" s="213"/>
      <c r="Z6" s="213"/>
      <c r="AA6" s="213"/>
    </row>
    <row r="7" spans="1:27" s="212" customFormat="1" ht="11.25" hidden="1" customHeight="1" thickBot="1">
      <c r="A7" s="219"/>
      <c r="B7" s="219"/>
      <c r="C7" s="219"/>
      <c r="D7" s="213"/>
      <c r="E7" s="213"/>
      <c r="F7" s="213"/>
      <c r="G7" s="213"/>
      <c r="H7" s="213"/>
      <c r="I7" s="213"/>
      <c r="J7" s="213"/>
      <c r="K7" s="213"/>
      <c r="L7" s="213"/>
      <c r="M7" s="213"/>
      <c r="N7" s="213"/>
      <c r="O7" s="213"/>
      <c r="P7" s="213"/>
      <c r="Q7" s="213"/>
      <c r="R7" s="219"/>
      <c r="S7" s="279"/>
      <c r="T7" s="213"/>
      <c r="U7" s="213"/>
      <c r="V7" s="213"/>
      <c r="W7" s="213"/>
      <c r="X7" s="213"/>
      <c r="Y7" s="213"/>
      <c r="Z7" s="213"/>
      <c r="AA7" s="213"/>
    </row>
    <row r="8" spans="1:27" ht="19.5" customHeight="1" thickBot="1">
      <c r="A8" s="220"/>
      <c r="B8" s="221" t="s">
        <v>438</v>
      </c>
      <c r="C8" s="221"/>
      <c r="D8" s="221"/>
      <c r="E8" s="543"/>
      <c r="F8" s="543"/>
      <c r="G8" s="543"/>
      <c r="H8" s="543"/>
      <c r="I8" s="221"/>
      <c r="J8" s="221"/>
      <c r="K8" s="221"/>
      <c r="L8" s="221"/>
      <c r="M8" s="229" t="s">
        <v>440</v>
      </c>
      <c r="N8" s="543"/>
      <c r="O8" s="543"/>
      <c r="P8" s="543"/>
      <c r="Q8" s="543"/>
      <c r="R8" s="222"/>
      <c r="S8" s="279"/>
      <c r="T8" s="213"/>
      <c r="U8" s="213"/>
      <c r="V8" s="213"/>
      <c r="W8" s="213"/>
      <c r="X8" s="213"/>
      <c r="Y8" s="213"/>
      <c r="Z8" s="213"/>
      <c r="AA8" s="213"/>
    </row>
    <row r="9" spans="1:27" ht="19.5" customHeight="1" thickBot="1">
      <c r="A9" s="220">
        <v>1</v>
      </c>
      <c r="B9" s="221" t="s">
        <v>442</v>
      </c>
      <c r="C9" s="221"/>
      <c r="D9" s="221"/>
      <c r="E9" s="543"/>
      <c r="F9" s="543"/>
      <c r="G9" s="543"/>
      <c r="H9" s="543"/>
      <c r="I9" s="221"/>
      <c r="J9" s="221"/>
      <c r="K9" s="221"/>
      <c r="L9" s="221"/>
      <c r="M9" s="229" t="s">
        <v>331</v>
      </c>
      <c r="N9" s="543"/>
      <c r="O9" s="543"/>
      <c r="P9" s="543"/>
      <c r="Q9" s="543"/>
      <c r="R9" s="222"/>
      <c r="S9" s="279"/>
      <c r="T9" s="213"/>
      <c r="U9" s="213"/>
      <c r="V9" s="213"/>
      <c r="W9" s="213"/>
      <c r="X9" s="213"/>
      <c r="Y9" s="213"/>
      <c r="Z9" s="213"/>
      <c r="AA9" s="213"/>
    </row>
    <row r="10" spans="1:27" ht="19.5" customHeight="1" thickBot="1">
      <c r="A10" s="220"/>
      <c r="B10" s="221" t="s">
        <v>443</v>
      </c>
      <c r="C10" s="221"/>
      <c r="D10" s="221"/>
      <c r="E10" s="543"/>
      <c r="F10" s="543"/>
      <c r="G10" s="543"/>
      <c r="H10" s="543"/>
      <c r="I10" s="221"/>
      <c r="J10" s="221"/>
      <c r="K10" s="221"/>
      <c r="L10" s="221"/>
      <c r="M10" s="229" t="s">
        <v>481</v>
      </c>
      <c r="N10" s="573">
        <f>'SP5-1'!I29</f>
        <v>0</v>
      </c>
      <c r="O10" s="573"/>
      <c r="P10" s="573"/>
      <c r="Q10" s="573"/>
      <c r="R10" s="222" t="s">
        <v>204</v>
      </c>
      <c r="S10" s="279"/>
      <c r="T10" s="213"/>
      <c r="U10" s="213"/>
      <c r="V10" s="213"/>
      <c r="W10" s="213"/>
      <c r="X10" s="213"/>
      <c r="Y10" s="213"/>
      <c r="Z10" s="213"/>
      <c r="AA10" s="213"/>
    </row>
    <row r="11" spans="1:27" ht="19.5" customHeight="1" thickBot="1">
      <c r="A11" s="220">
        <v>2</v>
      </c>
      <c r="B11" s="221" t="s">
        <v>444</v>
      </c>
      <c r="C11" s="221"/>
      <c r="D11" s="221"/>
      <c r="E11" s="543"/>
      <c r="F11" s="543"/>
      <c r="G11" s="543"/>
      <c r="H11" s="543"/>
      <c r="I11" s="221"/>
      <c r="J11" s="221"/>
      <c r="K11" s="221"/>
      <c r="L11" s="221"/>
      <c r="M11" s="221"/>
      <c r="N11" s="221"/>
      <c r="O11" s="221"/>
      <c r="P11" s="221"/>
      <c r="Q11" s="221"/>
      <c r="R11" s="222"/>
      <c r="S11" s="279"/>
      <c r="T11" s="563" t="s">
        <v>445</v>
      </c>
      <c r="U11" s="563"/>
      <c r="V11" s="563"/>
      <c r="W11" s="563"/>
      <c r="X11" s="563"/>
      <c r="Y11" s="213"/>
      <c r="Z11" s="213"/>
      <c r="AA11" s="213"/>
    </row>
    <row r="12" spans="1:27" ht="19.5" hidden="1" customHeight="1" thickBot="1">
      <c r="A12" s="282"/>
      <c r="B12" s="233"/>
      <c r="C12" s="233"/>
      <c r="D12" s="233"/>
      <c r="E12" s="388"/>
      <c r="F12" s="388"/>
      <c r="G12" s="388"/>
      <c r="H12" s="388"/>
      <c r="I12" s="233"/>
      <c r="J12" s="233"/>
      <c r="K12" s="233"/>
      <c r="L12" s="233"/>
      <c r="M12" s="233"/>
      <c r="N12" s="233"/>
      <c r="O12" s="233"/>
      <c r="P12" s="233"/>
      <c r="Q12" s="233"/>
      <c r="R12" s="283"/>
      <c r="S12" s="279"/>
      <c r="T12" s="563"/>
      <c r="U12" s="563"/>
      <c r="V12" s="563"/>
      <c r="W12" s="563"/>
      <c r="X12" s="563"/>
      <c r="Y12" s="213"/>
      <c r="Z12" s="213"/>
      <c r="AA12" s="213"/>
    </row>
    <row r="13" spans="1:27" ht="14.25" customHeight="1" thickBot="1">
      <c r="A13" s="282"/>
      <c r="B13" s="564" t="s">
        <v>433</v>
      </c>
      <c r="C13" s="565"/>
      <c r="D13" s="565"/>
      <c r="E13" s="565"/>
      <c r="F13" s="565"/>
      <c r="G13" s="565"/>
      <c r="H13" s="565"/>
      <c r="I13" s="565"/>
      <c r="J13" s="568" t="s">
        <v>446</v>
      </c>
      <c r="K13" s="568"/>
      <c r="L13" s="568"/>
      <c r="M13" s="568"/>
      <c r="N13" s="568"/>
      <c r="O13" s="568"/>
      <c r="P13" s="568"/>
      <c r="Q13" s="569"/>
      <c r="R13" s="283"/>
      <c r="S13" s="279"/>
      <c r="T13" s="563"/>
      <c r="U13" s="563"/>
      <c r="V13" s="563"/>
      <c r="W13" s="563"/>
      <c r="X13" s="563"/>
      <c r="Y13" s="213"/>
      <c r="Z13" s="213"/>
      <c r="AA13" s="213"/>
    </row>
    <row r="14" spans="1:27" ht="24" customHeight="1" thickBot="1">
      <c r="A14" s="282"/>
      <c r="B14" s="566"/>
      <c r="C14" s="567"/>
      <c r="D14" s="567"/>
      <c r="E14" s="567"/>
      <c r="F14" s="567"/>
      <c r="G14" s="567"/>
      <c r="H14" s="567"/>
      <c r="I14" s="567"/>
      <c r="J14" s="570" t="s">
        <v>242</v>
      </c>
      <c r="K14" s="570"/>
      <c r="L14" s="570" t="s">
        <v>243</v>
      </c>
      <c r="M14" s="570"/>
      <c r="N14" s="570" t="s">
        <v>244</v>
      </c>
      <c r="O14" s="570"/>
      <c r="P14" s="571" t="s">
        <v>447</v>
      </c>
      <c r="Q14" s="572"/>
      <c r="R14" s="283"/>
      <c r="S14" s="279"/>
      <c r="T14" s="225" t="s">
        <v>448</v>
      </c>
      <c r="U14" s="218"/>
      <c r="V14" s="213"/>
      <c r="W14" s="213"/>
      <c r="X14" s="213"/>
      <c r="Y14" s="213"/>
      <c r="Z14" s="213"/>
      <c r="AA14" s="213"/>
    </row>
    <row r="15" spans="1:27" ht="14.25" customHeight="1" thickBot="1">
      <c r="A15" s="282">
        <v>3</v>
      </c>
      <c r="B15" s="578" t="s">
        <v>449</v>
      </c>
      <c r="C15" s="578"/>
      <c r="D15" s="578"/>
      <c r="E15" s="578"/>
      <c r="F15" s="578"/>
      <c r="G15" s="578"/>
      <c r="H15" s="578"/>
      <c r="I15" s="578"/>
      <c r="J15" s="581"/>
      <c r="K15" s="581"/>
      <c r="L15" s="581"/>
      <c r="M15" s="581"/>
      <c r="N15" s="581"/>
      <c r="O15" s="581"/>
      <c r="P15" s="581"/>
      <c r="Q15" s="581"/>
      <c r="R15" s="283"/>
      <c r="S15" s="279"/>
      <c r="T15" s="582"/>
      <c r="U15" s="583"/>
      <c r="V15" s="284" t="s">
        <v>242</v>
      </c>
      <c r="W15" s="284" t="s">
        <v>243</v>
      </c>
      <c r="X15" s="285" t="s">
        <v>244</v>
      </c>
      <c r="Y15" s="213"/>
      <c r="Z15" s="213"/>
      <c r="AA15" s="213"/>
    </row>
    <row r="16" spans="1:27" ht="14.25" customHeight="1" thickBot="1">
      <c r="A16" s="282">
        <v>4</v>
      </c>
      <c r="B16" s="578" t="s">
        <v>450</v>
      </c>
      <c r="C16" s="578"/>
      <c r="D16" s="578"/>
      <c r="E16" s="578"/>
      <c r="F16" s="578"/>
      <c r="G16" s="578"/>
      <c r="H16" s="578"/>
      <c r="I16" s="578"/>
      <c r="J16" s="581"/>
      <c r="K16" s="581"/>
      <c r="L16" s="581"/>
      <c r="M16" s="581"/>
      <c r="N16" s="581"/>
      <c r="O16" s="581"/>
      <c r="P16" s="581"/>
      <c r="Q16" s="581"/>
      <c r="R16" s="283"/>
      <c r="S16" s="279"/>
      <c r="T16" s="584" t="s">
        <v>857</v>
      </c>
      <c r="U16" s="380" t="s">
        <v>451</v>
      </c>
      <c r="V16" s="574">
        <v>1</v>
      </c>
      <c r="W16" s="576">
        <v>1.5</v>
      </c>
      <c r="X16" s="381">
        <v>4.5</v>
      </c>
      <c r="Y16" s="213"/>
      <c r="Z16" s="213"/>
      <c r="AA16" s="213"/>
    </row>
    <row r="17" spans="1:27" ht="14.25" customHeight="1" thickBot="1">
      <c r="A17" s="282">
        <v>5</v>
      </c>
      <c r="B17" s="578" t="s">
        <v>452</v>
      </c>
      <c r="C17" s="578"/>
      <c r="D17" s="578"/>
      <c r="E17" s="578"/>
      <c r="F17" s="578"/>
      <c r="G17" s="578"/>
      <c r="H17" s="578"/>
      <c r="I17" s="578"/>
      <c r="J17" s="579" t="str">
        <f>IF(E10="","",IF(Tables!G270="",0,Tables!G270))</f>
        <v/>
      </c>
      <c r="K17" s="579"/>
      <c r="L17" s="579" t="str">
        <f>IF(E10="","",IF(Tables!H270="",0,Tables!H270))</f>
        <v/>
      </c>
      <c r="M17" s="579"/>
      <c r="N17" s="580">
        <v>1</v>
      </c>
      <c r="O17" s="580"/>
      <c r="P17" s="580">
        <v>1</v>
      </c>
      <c r="Q17" s="580"/>
      <c r="R17" s="283"/>
      <c r="S17" s="279"/>
      <c r="T17" s="585"/>
      <c r="U17" s="382" t="s">
        <v>453</v>
      </c>
      <c r="V17" s="575"/>
      <c r="W17" s="577"/>
      <c r="X17" s="383">
        <v>2.75</v>
      </c>
      <c r="Y17" s="213"/>
      <c r="Z17" s="213"/>
      <c r="AA17" s="213"/>
    </row>
    <row r="18" spans="1:27" ht="17.25" customHeight="1" thickBot="1">
      <c r="A18" s="282">
        <v>6</v>
      </c>
      <c r="B18" s="586" t="s">
        <v>454</v>
      </c>
      <c r="C18" s="586"/>
      <c r="D18" s="586"/>
      <c r="E18" s="586"/>
      <c r="F18" s="586"/>
      <c r="G18" s="586"/>
      <c r="H18" s="586"/>
      <c r="I18" s="586"/>
      <c r="J18" s="587" t="str">
        <f>IF(J17="","",IF(J16="","",IF(L16="","",(L16+J16)*J17)))</f>
        <v/>
      </c>
      <c r="K18" s="587"/>
      <c r="L18" s="587" t="str">
        <f>IF(L17="","",IF(J16="","",IF(L16="","",(L16+J16)*L17)))</f>
        <v/>
      </c>
      <c r="M18" s="587"/>
      <c r="N18" s="587" t="str">
        <f>IF(N16="","",N16*N17)</f>
        <v/>
      </c>
      <c r="O18" s="587"/>
      <c r="P18" s="587" t="str">
        <f>IF(P16="","",P16*P17)</f>
        <v/>
      </c>
      <c r="Q18" s="587"/>
      <c r="R18" s="283"/>
      <c r="S18" s="279"/>
      <c r="T18" s="585" t="s">
        <v>858</v>
      </c>
      <c r="U18" s="382" t="s">
        <v>451</v>
      </c>
      <c r="V18" s="575">
        <v>1</v>
      </c>
      <c r="W18" s="577">
        <v>1.9</v>
      </c>
      <c r="X18" s="381">
        <v>7.5</v>
      </c>
      <c r="Y18" s="213"/>
      <c r="Z18" s="213"/>
    </row>
    <row r="19" spans="1:27" ht="14.25" customHeight="1" thickBot="1">
      <c r="A19" s="282">
        <v>7</v>
      </c>
      <c r="B19" s="578" t="s">
        <v>456</v>
      </c>
      <c r="C19" s="578"/>
      <c r="D19" s="578"/>
      <c r="E19" s="578"/>
      <c r="F19" s="578"/>
      <c r="G19" s="578"/>
      <c r="H19" s="578"/>
      <c r="I19" s="578"/>
      <c r="J19" s="579" t="str">
        <f>IF($J15="","",IF(J18="","",J18/$J15))</f>
        <v/>
      </c>
      <c r="K19" s="579"/>
      <c r="L19" s="579" t="str">
        <f>IF($J15="","",IF(L18="","",L18/$J15))</f>
        <v/>
      </c>
      <c r="M19" s="579"/>
      <c r="N19" s="579" t="str">
        <f>IF($J15="","",IF(N18="","",N18/$J15))</f>
        <v/>
      </c>
      <c r="O19" s="579"/>
      <c r="P19" s="579" t="str">
        <f>IF($J15="","",IF(P18="","",P18/$J15))</f>
        <v/>
      </c>
      <c r="Q19" s="579"/>
      <c r="R19" s="283"/>
      <c r="S19" s="279"/>
      <c r="T19" s="585"/>
      <c r="U19" s="382" t="s">
        <v>453</v>
      </c>
      <c r="V19" s="575"/>
      <c r="W19" s="577"/>
      <c r="X19" s="383">
        <v>4.5</v>
      </c>
      <c r="Y19" s="213"/>
      <c r="Z19" s="213"/>
    </row>
    <row r="20" spans="1:27" ht="14.25" customHeight="1" thickBot="1">
      <c r="A20" s="282">
        <v>8</v>
      </c>
      <c r="B20" s="578" t="s">
        <v>457</v>
      </c>
      <c r="C20" s="578"/>
      <c r="D20" s="578"/>
      <c r="E20" s="578"/>
      <c r="F20" s="578"/>
      <c r="G20" s="578"/>
      <c r="H20" s="578"/>
      <c r="I20" s="578"/>
      <c r="J20" s="579">
        <f>IF(E10&lt;A80,_xlfn.XLOOKUP(N10,C79:J79,C80:J80),_xlfn.XLOOKUP(N10,C79:J79,C81:J81))</f>
        <v>0.83</v>
      </c>
      <c r="K20" s="579"/>
      <c r="L20" s="579"/>
      <c r="M20" s="579"/>
      <c r="N20" s="579"/>
      <c r="O20" s="579"/>
      <c r="P20" s="579"/>
      <c r="Q20" s="579"/>
      <c r="R20" s="283"/>
      <c r="S20" s="279"/>
      <c r="T20" s="585" t="s">
        <v>458</v>
      </c>
      <c r="U20" s="382" t="s">
        <v>451</v>
      </c>
      <c r="V20" s="575">
        <v>1</v>
      </c>
      <c r="W20" s="577">
        <v>2.2999999999999998</v>
      </c>
      <c r="X20" s="381">
        <v>13</v>
      </c>
      <c r="Y20" s="213"/>
      <c r="Z20" s="213"/>
    </row>
    <row r="21" spans="1:27" ht="14.25" customHeight="1" thickBot="1">
      <c r="A21" s="282">
        <v>9</v>
      </c>
      <c r="B21" s="578" t="s">
        <v>459</v>
      </c>
      <c r="C21" s="578"/>
      <c r="D21" s="578"/>
      <c r="E21" s="578"/>
      <c r="F21" s="578"/>
      <c r="G21" s="578"/>
      <c r="H21" s="578"/>
      <c r="I21" s="578"/>
      <c r="J21" s="588" t="str">
        <f>IF(J19="","",J19*$J20)</f>
        <v/>
      </c>
      <c r="K21" s="588"/>
      <c r="L21" s="588" t="str">
        <f>IF(L19="","",L19*$J20)</f>
        <v/>
      </c>
      <c r="M21" s="588"/>
      <c r="N21" s="588" t="str">
        <f>IF(N19="","",N19*$J20)</f>
        <v/>
      </c>
      <c r="O21" s="588"/>
      <c r="P21" s="588" t="str">
        <f>IF(P19="","",P19*$J20)</f>
        <v/>
      </c>
      <c r="Q21" s="588"/>
      <c r="R21" s="283"/>
      <c r="S21" s="279"/>
      <c r="T21" s="585"/>
      <c r="U21" s="382" t="s">
        <v>453</v>
      </c>
      <c r="V21" s="575"/>
      <c r="W21" s="577"/>
      <c r="X21" s="383">
        <v>7.5</v>
      </c>
      <c r="Y21" s="213"/>
      <c r="Z21" s="213"/>
    </row>
    <row r="22" spans="1:27" ht="14.25" customHeight="1" thickBot="1">
      <c r="A22" s="282">
        <v>10</v>
      </c>
      <c r="B22" s="578" t="s">
        <v>704</v>
      </c>
      <c r="C22" s="578"/>
      <c r="D22" s="578"/>
      <c r="E22" s="578"/>
      <c r="F22" s="578"/>
      <c r="G22" s="578"/>
      <c r="H22" s="578"/>
      <c r="I22" s="578"/>
      <c r="J22" s="581"/>
      <c r="K22" s="581"/>
      <c r="L22" s="581"/>
      <c r="M22" s="581"/>
      <c r="N22" s="581"/>
      <c r="O22" s="581"/>
      <c r="P22" s="581"/>
      <c r="Q22" s="581"/>
      <c r="R22" s="283"/>
      <c r="S22" s="279"/>
      <c r="T22" s="384" t="s">
        <v>332</v>
      </c>
      <c r="U22" s="382" t="s">
        <v>460</v>
      </c>
      <c r="V22" s="385">
        <v>1</v>
      </c>
      <c r="W22" s="386">
        <v>1.9</v>
      </c>
      <c r="X22" s="387">
        <v>1.9</v>
      </c>
      <c r="Y22" s="213"/>
      <c r="Z22" s="213"/>
    </row>
    <row r="23" spans="1:27" ht="14.25" customHeight="1" thickBot="1">
      <c r="A23" s="282">
        <v>11</v>
      </c>
      <c r="B23" s="578" t="s">
        <v>461</v>
      </c>
      <c r="C23" s="578"/>
      <c r="D23" s="578"/>
      <c r="E23" s="578"/>
      <c r="F23" s="578"/>
      <c r="G23" s="578"/>
      <c r="H23" s="578"/>
      <c r="I23" s="578"/>
      <c r="J23" s="588" t="str">
        <f>IF(J21="","",J21*J22)</f>
        <v/>
      </c>
      <c r="K23" s="588"/>
      <c r="L23" s="588" t="str">
        <f>IF(L21="","",L21*L22)</f>
        <v/>
      </c>
      <c r="M23" s="588"/>
      <c r="N23" s="588" t="str">
        <f>IF(N21="","",N21*N22)</f>
        <v/>
      </c>
      <c r="O23" s="588"/>
      <c r="P23" s="588" t="str">
        <f>IF(P21="","",P21*P22)</f>
        <v/>
      </c>
      <c r="Q23" s="588"/>
      <c r="R23" s="283"/>
      <c r="S23" s="279"/>
      <c r="T23" s="384" t="s">
        <v>460</v>
      </c>
      <c r="U23" s="382" t="s">
        <v>460</v>
      </c>
      <c r="V23" s="385">
        <v>1</v>
      </c>
      <c r="W23" s="386">
        <v>1.7</v>
      </c>
      <c r="X23" s="381">
        <v>3.6</v>
      </c>
      <c r="Y23" s="213"/>
      <c r="Z23" s="213"/>
    </row>
    <row r="24" spans="1:27" ht="14.25" customHeight="1" thickBot="1">
      <c r="A24" s="282">
        <v>12</v>
      </c>
      <c r="B24" s="589" t="s">
        <v>859</v>
      </c>
      <c r="C24" s="590"/>
      <c r="D24" s="590"/>
      <c r="E24" s="590"/>
      <c r="F24" s="590"/>
      <c r="G24" s="590"/>
      <c r="H24" s="590"/>
      <c r="I24" s="591"/>
      <c r="J24" s="592" t="str">
        <f xml:space="preserve"> IF($N$8="","",IF($E$8="","",Tables!J199))</f>
        <v/>
      </c>
      <c r="K24" s="592"/>
      <c r="L24" s="592" t="str">
        <f xml:space="preserve"> IF($N$8="","",IF($E$8="","",Tables!J216))</f>
        <v/>
      </c>
      <c r="M24" s="592"/>
      <c r="N24" s="592" t="str">
        <f xml:space="preserve"> IF($N$8="","",IF($E$8="","",Tables!J234))</f>
        <v/>
      </c>
      <c r="O24" s="592"/>
      <c r="P24" s="592" t="str">
        <f xml:space="preserve"> IF($N$8="","",IF($E$8="","",Tables!J251))</f>
        <v/>
      </c>
      <c r="Q24" s="592"/>
      <c r="R24" s="283"/>
      <c r="S24" s="279"/>
      <c r="T24" s="563" t="s">
        <v>462</v>
      </c>
      <c r="U24" s="563"/>
      <c r="V24" s="563"/>
      <c r="W24" s="563"/>
      <c r="X24" s="213"/>
      <c r="Y24" s="213"/>
      <c r="Z24" s="213"/>
    </row>
    <row r="25" spans="1:27" ht="14.25" customHeight="1" thickBot="1">
      <c r="A25" s="282">
        <v>13</v>
      </c>
      <c r="B25" s="589" t="s">
        <v>860</v>
      </c>
      <c r="C25" s="590"/>
      <c r="D25" s="590"/>
      <c r="E25" s="590"/>
      <c r="F25" s="590"/>
      <c r="G25" s="590"/>
      <c r="H25" s="590"/>
      <c r="I25" s="591"/>
      <c r="J25" s="592" t="str">
        <f xml:space="preserve"> IF($N$8="","",IF($E$8="","",Tables!J128))</f>
        <v/>
      </c>
      <c r="K25" s="592"/>
      <c r="L25" s="592" t="str">
        <f xml:space="preserve"> IF($N$8="","",IF($E$8="","",Tables!J145))</f>
        <v/>
      </c>
      <c r="M25" s="592"/>
      <c r="N25" s="592" t="str">
        <f xml:space="preserve"> IF($N$8="","",IF($E$8="","",Tables!J164))</f>
        <v/>
      </c>
      <c r="O25" s="592"/>
      <c r="P25" s="592" t="str">
        <f xml:space="preserve"> IF($N$8="","",IF($E$8="","",Tables!J181))</f>
        <v/>
      </c>
      <c r="Q25" s="592"/>
      <c r="R25" s="283"/>
      <c r="S25" s="279"/>
      <c r="T25" s="563"/>
      <c r="U25" s="563"/>
      <c r="V25" s="563"/>
      <c r="W25" s="563"/>
      <c r="X25" s="213"/>
      <c r="Y25" s="213"/>
      <c r="Z25" s="213"/>
    </row>
    <row r="26" spans="1:27" ht="14.25" customHeight="1" thickBot="1">
      <c r="A26" s="282">
        <v>14</v>
      </c>
      <c r="B26" s="589" t="s">
        <v>861</v>
      </c>
      <c r="C26" s="590"/>
      <c r="D26" s="590"/>
      <c r="E26" s="590"/>
      <c r="F26" s="590"/>
      <c r="G26" s="590"/>
      <c r="H26" s="590"/>
      <c r="I26" s="591"/>
      <c r="J26" s="587">
        <f>(E9-50)/30</f>
        <v>-1.6666666666666667</v>
      </c>
      <c r="K26" s="587"/>
      <c r="L26" s="587"/>
      <c r="M26" s="587"/>
      <c r="N26" s="587"/>
      <c r="O26" s="587"/>
      <c r="P26" s="587"/>
      <c r="Q26" s="587"/>
      <c r="R26" s="283"/>
      <c r="S26" s="279"/>
      <c r="T26" s="563"/>
      <c r="U26" s="563"/>
      <c r="V26" s="563"/>
      <c r="W26" s="563"/>
      <c r="X26" s="213"/>
      <c r="Y26" s="213"/>
      <c r="Z26" s="213"/>
    </row>
    <row r="27" spans="1:27" ht="14.25" customHeight="1" thickBot="1">
      <c r="A27" s="282">
        <v>15</v>
      </c>
      <c r="B27" s="578" t="s">
        <v>862</v>
      </c>
      <c r="C27" s="578"/>
      <c r="D27" s="578"/>
      <c r="E27" s="578"/>
      <c r="F27" s="578"/>
      <c r="G27" s="578"/>
      <c r="H27" s="578"/>
      <c r="I27" s="578"/>
      <c r="J27" s="592" t="str">
        <f>IF(J24="","",J25+$J26*(J24-J25))</f>
        <v/>
      </c>
      <c r="K27" s="592"/>
      <c r="L27" s="592" t="str">
        <f t="shared" ref="L27" si="0">IF(L24="","",L25+$J26*(L24-L25))</f>
        <v/>
      </c>
      <c r="M27" s="592"/>
      <c r="N27" s="592" t="str">
        <f t="shared" ref="N27" si="1">IF(N24="","",N25+$J26*(N24-N25))</f>
        <v/>
      </c>
      <c r="O27" s="592"/>
      <c r="P27" s="592" t="str">
        <f t="shared" ref="P27" si="2">IF(P24="","",P25+$J26*(P24-P25))</f>
        <v/>
      </c>
      <c r="Q27" s="592"/>
      <c r="R27" s="283"/>
      <c r="S27" s="279"/>
      <c r="T27" s="286" t="s">
        <v>463</v>
      </c>
      <c r="U27" s="213"/>
      <c r="V27" s="213"/>
      <c r="W27" s="213"/>
      <c r="X27" s="213"/>
      <c r="Y27" s="213"/>
      <c r="Z27" s="213"/>
    </row>
    <row r="28" spans="1:27" ht="21" customHeight="1" thickBot="1">
      <c r="A28" s="282">
        <v>16</v>
      </c>
      <c r="B28" s="578" t="s">
        <v>464</v>
      </c>
      <c r="C28" s="578"/>
      <c r="D28" s="578"/>
      <c r="E28" s="578"/>
      <c r="F28" s="578"/>
      <c r="G28" s="578"/>
      <c r="H28" s="578"/>
      <c r="I28" s="578"/>
      <c r="J28" s="592" t="str">
        <f>IF(J23="","",IF(J27="","",J23*J27))</f>
        <v/>
      </c>
      <c r="K28" s="592"/>
      <c r="L28" s="592" t="str">
        <f>IF(L23="","",IF(L27="","",L23*L27))</f>
        <v/>
      </c>
      <c r="M28" s="592"/>
      <c r="N28" s="592" t="str">
        <f>IF(N23="","",IF(N27="","",N23*N27))</f>
        <v/>
      </c>
      <c r="O28" s="592"/>
      <c r="P28" s="593" t="str">
        <f>IF(P23="","",IF(P27="","",P23*P27))</f>
        <v/>
      </c>
      <c r="Q28" s="593"/>
      <c r="R28" s="283"/>
      <c r="S28" s="279"/>
      <c r="T28" s="379" t="s">
        <v>465</v>
      </c>
      <c r="U28" s="378" t="s">
        <v>855</v>
      </c>
      <c r="V28" s="378" t="s">
        <v>856</v>
      </c>
      <c r="W28" s="378" t="s">
        <v>332</v>
      </c>
      <c r="X28" s="213"/>
      <c r="Y28" s="213"/>
      <c r="Z28" s="213"/>
    </row>
    <row r="29" spans="1:27" ht="24.75" customHeight="1" thickBot="1">
      <c r="A29" s="282">
        <v>17</v>
      </c>
      <c r="B29" s="586" t="s">
        <v>468</v>
      </c>
      <c r="C29" s="586"/>
      <c r="D29" s="586"/>
      <c r="E29" s="586"/>
      <c r="F29" s="586"/>
      <c r="G29" s="586"/>
      <c r="H29" s="586"/>
      <c r="I29" s="586"/>
      <c r="J29" s="594">
        <f>SUM(J28:Q28)</f>
        <v>0</v>
      </c>
      <c r="K29" s="594"/>
      <c r="L29" s="594"/>
      <c r="M29" s="594"/>
      <c r="N29" s="594"/>
      <c r="O29" s="594"/>
      <c r="P29" s="594"/>
      <c r="Q29" s="594"/>
      <c r="R29" s="283"/>
      <c r="S29" s="279"/>
      <c r="T29" s="598" t="s">
        <v>469</v>
      </c>
      <c r="U29" s="600">
        <v>7</v>
      </c>
      <c r="V29" s="600">
        <v>18.5</v>
      </c>
      <c r="W29" s="600">
        <v>7</v>
      </c>
      <c r="X29" s="213"/>
      <c r="Y29" s="213"/>
      <c r="Z29" s="213"/>
    </row>
    <row r="30" spans="1:27" ht="16.5" customHeight="1" thickBot="1">
      <c r="A30" s="287"/>
      <c r="B30" s="564" t="s">
        <v>434</v>
      </c>
      <c r="C30" s="565"/>
      <c r="D30" s="565"/>
      <c r="E30" s="565"/>
      <c r="F30" s="565"/>
      <c r="G30" s="565"/>
      <c r="H30" s="565"/>
      <c r="I30" s="565"/>
      <c r="J30" s="564"/>
      <c r="K30" s="565"/>
      <c r="L30" s="565"/>
      <c r="M30" s="565"/>
      <c r="N30" s="565"/>
      <c r="O30" s="565"/>
      <c r="P30" s="565"/>
      <c r="Q30" s="565"/>
      <c r="R30" s="283"/>
      <c r="S30" s="279"/>
      <c r="T30" s="599"/>
      <c r="U30" s="601"/>
      <c r="V30" s="601"/>
      <c r="W30" s="601"/>
      <c r="X30" s="213"/>
      <c r="Y30" s="213"/>
      <c r="Z30" s="213"/>
    </row>
    <row r="31" spans="1:27" ht="14.25" customHeight="1" thickBot="1">
      <c r="A31" s="282">
        <v>18</v>
      </c>
      <c r="B31" s="578" t="s">
        <v>470</v>
      </c>
      <c r="C31" s="578"/>
      <c r="D31" s="578"/>
      <c r="E31" s="578"/>
      <c r="F31" s="578"/>
      <c r="G31" s="578"/>
      <c r="H31" s="578"/>
      <c r="I31" s="578"/>
      <c r="J31" s="581"/>
      <c r="K31" s="581"/>
      <c r="L31" s="581"/>
      <c r="M31" s="581"/>
      <c r="N31" s="581"/>
      <c r="O31" s="581"/>
      <c r="P31" s="581"/>
      <c r="Q31" s="581"/>
      <c r="R31" s="283"/>
      <c r="S31" s="279"/>
      <c r="T31" s="595" t="s">
        <v>471</v>
      </c>
      <c r="U31" s="596"/>
      <c r="V31" s="596"/>
      <c r="W31" s="596"/>
      <c r="X31" s="597"/>
      <c r="Y31" s="213"/>
      <c r="Z31" s="213"/>
    </row>
    <row r="32" spans="1:27" ht="14.25" customHeight="1" thickBot="1">
      <c r="A32" s="282">
        <v>19</v>
      </c>
      <c r="B32" s="578" t="s">
        <v>472</v>
      </c>
      <c r="C32" s="578"/>
      <c r="D32" s="578"/>
      <c r="E32" s="578"/>
      <c r="F32" s="578"/>
      <c r="G32" s="578"/>
      <c r="H32" s="578"/>
      <c r="I32" s="578"/>
      <c r="J32" s="587">
        <f>100-J31</f>
        <v>100</v>
      </c>
      <c r="K32" s="587"/>
      <c r="L32" s="587">
        <f>100-L31</f>
        <v>100</v>
      </c>
      <c r="M32" s="587"/>
      <c r="N32" s="587">
        <f>100-N31</f>
        <v>100</v>
      </c>
      <c r="O32" s="587"/>
      <c r="P32" s="587">
        <f>100-P31</f>
        <v>100</v>
      </c>
      <c r="Q32" s="587"/>
      <c r="R32" s="283"/>
      <c r="S32" s="279"/>
      <c r="T32" s="213"/>
      <c r="U32" s="213"/>
      <c r="V32" s="213"/>
      <c r="W32" s="213"/>
      <c r="X32" s="213"/>
      <c r="Y32" s="213"/>
      <c r="Z32" s="213"/>
    </row>
    <row r="33" spans="1:27" ht="14.25" customHeight="1" thickBot="1">
      <c r="A33" s="282">
        <v>20</v>
      </c>
      <c r="B33" s="578" t="s">
        <v>473</v>
      </c>
      <c r="C33" s="578"/>
      <c r="D33" s="578"/>
      <c r="E33" s="578"/>
      <c r="F33" s="578"/>
      <c r="G33" s="578"/>
      <c r="H33" s="578"/>
      <c r="I33" s="578"/>
      <c r="J33" s="588" t="str">
        <f>IF(J23="","",J23*(J32/100))</f>
        <v/>
      </c>
      <c r="K33" s="588"/>
      <c r="L33" s="588" t="str">
        <f>IF(L23="","",L23*(L32/100))</f>
        <v/>
      </c>
      <c r="M33" s="588"/>
      <c r="N33" s="588" t="str">
        <f>IF(N23="","",N23*(N32/100))</f>
        <v/>
      </c>
      <c r="O33" s="588"/>
      <c r="P33" s="588" t="str">
        <f>IF(P23="","",P23*(P32/100))</f>
        <v/>
      </c>
      <c r="Q33" s="588"/>
      <c r="R33" s="283"/>
      <c r="S33" s="279"/>
      <c r="T33" s="213"/>
      <c r="U33" s="213"/>
      <c r="V33" s="213"/>
      <c r="W33" s="213"/>
      <c r="X33" s="213"/>
      <c r="Y33" s="213"/>
      <c r="Z33" s="213"/>
    </row>
    <row r="34" spans="1:27" ht="14.25" customHeight="1" thickBot="1">
      <c r="A34" s="282">
        <v>21</v>
      </c>
      <c r="B34" s="589" t="s">
        <v>859</v>
      </c>
      <c r="C34" s="590"/>
      <c r="D34" s="590"/>
      <c r="E34" s="590"/>
      <c r="F34" s="590"/>
      <c r="G34" s="590"/>
      <c r="H34" s="590"/>
      <c r="I34" s="591"/>
      <c r="J34" s="592" t="str">
        <f>J24</f>
        <v/>
      </c>
      <c r="K34" s="592"/>
      <c r="L34" s="592" t="str">
        <f>L24</f>
        <v/>
      </c>
      <c r="M34" s="592"/>
      <c r="N34" s="592" t="str">
        <f>N24</f>
        <v/>
      </c>
      <c r="O34" s="592"/>
      <c r="P34" s="592" t="str">
        <f>P24</f>
        <v/>
      </c>
      <c r="Q34" s="592"/>
      <c r="R34" s="283"/>
      <c r="S34" s="279"/>
      <c r="T34" s="213"/>
      <c r="U34" s="213"/>
      <c r="V34" s="213"/>
      <c r="W34" s="213"/>
      <c r="X34" s="213"/>
      <c r="Y34" s="213"/>
      <c r="Z34" s="213"/>
    </row>
    <row r="35" spans="1:27" ht="14.25" customHeight="1" thickBot="1">
      <c r="A35" s="282">
        <v>22</v>
      </c>
      <c r="B35" s="589" t="s">
        <v>860</v>
      </c>
      <c r="C35" s="590"/>
      <c r="D35" s="590"/>
      <c r="E35" s="590"/>
      <c r="F35" s="590"/>
      <c r="G35" s="590"/>
      <c r="H35" s="590"/>
      <c r="I35" s="591"/>
      <c r="J35" s="592" t="str">
        <f>J25</f>
        <v/>
      </c>
      <c r="K35" s="592"/>
      <c r="L35" s="592" t="str">
        <f>L25</f>
        <v/>
      </c>
      <c r="M35" s="592"/>
      <c r="N35" s="592" t="str">
        <f>N25</f>
        <v/>
      </c>
      <c r="O35" s="592"/>
      <c r="P35" s="592" t="str">
        <f>P25</f>
        <v/>
      </c>
      <c r="Q35" s="592"/>
      <c r="R35" s="283"/>
      <c r="S35" s="279"/>
      <c r="T35" s="213"/>
      <c r="U35" s="213"/>
      <c r="V35" s="213"/>
      <c r="W35" s="213"/>
      <c r="X35" s="213"/>
      <c r="Y35" s="213"/>
      <c r="Z35" s="213"/>
    </row>
    <row r="36" spans="1:27" ht="14.25" customHeight="1" thickBot="1">
      <c r="A36" s="282">
        <v>23</v>
      </c>
      <c r="B36" s="589" t="s">
        <v>861</v>
      </c>
      <c r="C36" s="590"/>
      <c r="D36" s="590"/>
      <c r="E36" s="590"/>
      <c r="F36" s="590"/>
      <c r="G36" s="590"/>
      <c r="H36" s="590"/>
      <c r="I36" s="591"/>
      <c r="J36" s="587">
        <f>(E11-50)/30</f>
        <v>-1.6666666666666667</v>
      </c>
      <c r="K36" s="587"/>
      <c r="L36" s="587"/>
      <c r="M36" s="587"/>
      <c r="N36" s="587"/>
      <c r="O36" s="587"/>
      <c r="P36" s="587"/>
      <c r="Q36" s="587"/>
      <c r="R36" s="283"/>
      <c r="S36" s="279"/>
      <c r="T36" s="213"/>
      <c r="U36" s="213"/>
      <c r="V36" s="213"/>
      <c r="W36" s="213"/>
      <c r="X36" s="213"/>
      <c r="Y36" s="213"/>
      <c r="Z36" s="213"/>
    </row>
    <row r="37" spans="1:27" ht="14.25" customHeight="1" thickBot="1">
      <c r="A37" s="282">
        <v>24</v>
      </c>
      <c r="B37" s="578" t="s">
        <v>863</v>
      </c>
      <c r="C37" s="578"/>
      <c r="D37" s="578"/>
      <c r="E37" s="578"/>
      <c r="F37" s="578"/>
      <c r="G37" s="578"/>
      <c r="H37" s="578"/>
      <c r="I37" s="578"/>
      <c r="J37" s="592" t="str">
        <f>IF(J34="","",IF($E$11&gt;=80,J34,IF($E$11&lt;50,J35,J35+$J36*(J34-J35))))</f>
        <v/>
      </c>
      <c r="K37" s="592"/>
      <c r="L37" s="592" t="str">
        <f t="shared" ref="L37" si="3">IF(L34="","",IF($E$11&gt;=80,L34,IF($E$11&lt;50,L35,L35+$J36*(L34-L35))))</f>
        <v/>
      </c>
      <c r="M37" s="592"/>
      <c r="N37" s="592" t="str">
        <f t="shared" ref="N37" si="4">IF(N34="","",IF($E$11&gt;=80,N34,IF($E$11&lt;50,N35,N35+$J36*(N34-N35))))</f>
        <v/>
      </c>
      <c r="O37" s="592"/>
      <c r="P37" s="592" t="str">
        <f t="shared" ref="P37" si="5">IF(P34="","",IF($E$11&gt;=80,P34,IF($E$11&lt;50,P35,P35+$J36*(P34-P35))))</f>
        <v/>
      </c>
      <c r="Q37" s="592"/>
      <c r="R37" s="283"/>
      <c r="S37" s="279"/>
      <c r="T37" s="213"/>
      <c r="U37" s="213"/>
      <c r="V37" s="213"/>
      <c r="W37" s="213"/>
      <c r="X37" s="213"/>
      <c r="Y37" s="213"/>
      <c r="Z37" s="213"/>
      <c r="AA37" s="213"/>
    </row>
    <row r="38" spans="1:27" ht="14.25" customHeight="1" thickBot="1">
      <c r="A38" s="282">
        <v>25</v>
      </c>
      <c r="B38" s="578" t="s">
        <v>474</v>
      </c>
      <c r="C38" s="578"/>
      <c r="D38" s="578"/>
      <c r="E38" s="578"/>
      <c r="F38" s="578"/>
      <c r="G38" s="578"/>
      <c r="H38" s="578"/>
      <c r="I38" s="578"/>
      <c r="J38" s="592" t="str">
        <f>IF(J37="","",IF(J33="","",J37*J33))</f>
        <v/>
      </c>
      <c r="K38" s="592"/>
      <c r="L38" s="592" t="str">
        <f>IF(L37="","",IF(L33="","",L37*L33))</f>
        <v/>
      </c>
      <c r="M38" s="592"/>
      <c r="N38" s="592" t="str">
        <f>IF(N37="","",IF(N33="","",N37*N33))</f>
        <v/>
      </c>
      <c r="O38" s="592"/>
      <c r="P38" s="592" t="str">
        <f>IF(P37="","",IF(P33="","",P37*P33))</f>
        <v/>
      </c>
      <c r="Q38" s="592"/>
      <c r="R38" s="283"/>
      <c r="S38" s="279"/>
      <c r="T38" s="213"/>
      <c r="U38" s="213"/>
      <c r="V38" s="213"/>
      <c r="W38" s="213"/>
      <c r="X38" s="213"/>
      <c r="Y38" s="213"/>
      <c r="Z38" s="213"/>
      <c r="AA38" s="213"/>
    </row>
    <row r="39" spans="1:27" ht="24.75" customHeight="1" thickBot="1">
      <c r="A39" s="282">
        <v>26</v>
      </c>
      <c r="B39" s="586" t="s">
        <v>475</v>
      </c>
      <c r="C39" s="586"/>
      <c r="D39" s="586"/>
      <c r="E39" s="586"/>
      <c r="F39" s="586"/>
      <c r="G39" s="586"/>
      <c r="H39" s="586"/>
      <c r="I39" s="586"/>
      <c r="J39" s="594">
        <f>SUM(J38:Q38)</f>
        <v>0</v>
      </c>
      <c r="K39" s="594"/>
      <c r="L39" s="594"/>
      <c r="M39" s="594"/>
      <c r="N39" s="594"/>
      <c r="O39" s="594"/>
      <c r="P39" s="594"/>
      <c r="Q39" s="594"/>
      <c r="R39" s="283"/>
      <c r="S39" s="279"/>
      <c r="T39" s="213"/>
      <c r="U39" s="213"/>
      <c r="V39" s="213"/>
      <c r="W39" s="213"/>
      <c r="X39" s="213"/>
      <c r="Y39" s="213"/>
      <c r="Z39" s="213"/>
      <c r="AA39" s="213"/>
    </row>
    <row r="40" spans="1:27" ht="14.25" customHeight="1" thickBot="1">
      <c r="A40" s="282">
        <v>27</v>
      </c>
      <c r="B40" s="578" t="s">
        <v>476</v>
      </c>
      <c r="C40" s="578"/>
      <c r="D40" s="578"/>
      <c r="E40" s="578"/>
      <c r="F40" s="578"/>
      <c r="G40" s="578"/>
      <c r="H40" s="578"/>
      <c r="I40" s="578"/>
      <c r="J40" s="594">
        <f>J29-J39</f>
        <v>0</v>
      </c>
      <c r="K40" s="594"/>
      <c r="L40" s="594"/>
      <c r="M40" s="594"/>
      <c r="N40" s="594"/>
      <c r="O40" s="594"/>
      <c r="P40" s="594"/>
      <c r="Q40" s="594"/>
      <c r="R40" s="283"/>
      <c r="S40" s="279"/>
      <c r="T40" s="213"/>
      <c r="U40" s="213"/>
      <c r="V40" s="213"/>
      <c r="W40" s="213"/>
      <c r="X40" s="213"/>
      <c r="Y40" s="213"/>
      <c r="Z40" s="213"/>
      <c r="AA40" s="213"/>
    </row>
    <row r="41" spans="1:27" ht="14.25" customHeight="1" thickBot="1">
      <c r="A41" s="282">
        <v>28</v>
      </c>
      <c r="B41" s="578" t="s">
        <v>477</v>
      </c>
      <c r="C41" s="578"/>
      <c r="D41" s="578"/>
      <c r="E41" s="578"/>
      <c r="F41" s="578"/>
      <c r="G41" s="578"/>
      <c r="H41" s="578"/>
      <c r="I41" s="578"/>
      <c r="J41" s="594">
        <f>G74*J40</f>
        <v>0</v>
      </c>
      <c r="K41" s="594"/>
      <c r="L41" s="594"/>
      <c r="M41" s="594"/>
      <c r="N41" s="594"/>
      <c r="O41" s="594"/>
      <c r="P41" s="594"/>
      <c r="Q41" s="594"/>
      <c r="R41" s="288" t="s">
        <v>478</v>
      </c>
      <c r="S41" s="289"/>
      <c r="T41" s="608" t="s">
        <v>479</v>
      </c>
      <c r="U41" s="609"/>
      <c r="V41" s="609"/>
      <c r="W41" s="609"/>
      <c r="X41" s="610"/>
      <c r="Y41" s="213"/>
      <c r="Z41" s="213"/>
      <c r="AA41" s="213"/>
    </row>
    <row r="42" spans="1:27" ht="16.5" customHeight="1" thickBot="1">
      <c r="A42" s="220"/>
      <c r="B42" s="290"/>
      <c r="C42" s="290"/>
      <c r="D42" s="290"/>
      <c r="E42" s="290"/>
      <c r="F42" s="290"/>
      <c r="G42" s="290"/>
      <c r="H42" s="290"/>
      <c r="I42" s="290"/>
      <c r="J42" s="290"/>
      <c r="K42" s="290"/>
      <c r="L42" s="290"/>
      <c r="M42" s="290"/>
      <c r="N42" s="291"/>
      <c r="O42" s="290"/>
      <c r="P42" s="290"/>
      <c r="Q42" s="292"/>
      <c r="R42" s="222"/>
      <c r="S42" s="279"/>
      <c r="T42" s="213"/>
      <c r="U42" s="213"/>
      <c r="V42" s="213"/>
      <c r="W42" s="213"/>
      <c r="X42" s="213"/>
      <c r="Y42" s="213"/>
      <c r="Z42" s="213"/>
      <c r="AA42" s="213"/>
    </row>
    <row r="43" spans="1:27">
      <c r="A43" s="241"/>
      <c r="B43" s="213"/>
      <c r="C43" s="213"/>
      <c r="D43" s="213"/>
      <c r="E43" s="213"/>
      <c r="F43" s="213"/>
      <c r="G43" s="213"/>
      <c r="H43" s="213"/>
      <c r="I43" s="213"/>
      <c r="J43" s="213"/>
      <c r="K43" s="213"/>
      <c r="L43" s="213"/>
      <c r="M43" s="213"/>
      <c r="N43" s="213"/>
      <c r="O43" s="213"/>
      <c r="P43" s="213"/>
      <c r="Q43" s="213"/>
      <c r="R43" s="219"/>
      <c r="S43" s="279"/>
      <c r="T43" s="213"/>
      <c r="U43" s="213"/>
      <c r="V43" s="213"/>
      <c r="W43" s="213"/>
      <c r="X43" s="213"/>
      <c r="Y43" s="213"/>
      <c r="Z43" s="213"/>
      <c r="AA43" s="213"/>
    </row>
    <row r="44" spans="1:27">
      <c r="A44" s="213"/>
      <c r="B44" s="213"/>
      <c r="C44" s="213"/>
      <c r="D44" s="213"/>
      <c r="E44" s="213"/>
      <c r="F44" s="213"/>
      <c r="G44" s="213"/>
      <c r="H44" s="213"/>
      <c r="I44" s="213"/>
      <c r="J44" s="213"/>
      <c r="K44" s="213"/>
      <c r="L44" s="213"/>
      <c r="M44" s="213"/>
      <c r="N44" s="213"/>
      <c r="O44" s="213"/>
      <c r="P44" s="213"/>
      <c r="Q44" s="213"/>
      <c r="R44" s="213"/>
      <c r="S44" s="278"/>
      <c r="T44" s="213"/>
      <c r="U44" s="213"/>
      <c r="V44" s="213"/>
      <c r="W44" s="213"/>
      <c r="X44" s="213"/>
      <c r="Y44" s="213"/>
      <c r="Z44" s="213"/>
      <c r="AA44" s="213"/>
    </row>
    <row r="45" spans="1:27">
      <c r="A45" s="225"/>
      <c r="B45" s="213"/>
      <c r="C45" s="213"/>
      <c r="D45" s="213"/>
      <c r="E45" s="213"/>
      <c r="F45" s="213"/>
      <c r="G45" s="213"/>
      <c r="H45" s="213"/>
      <c r="I45" s="213"/>
      <c r="J45" s="213"/>
      <c r="K45" s="213"/>
      <c r="L45" s="213"/>
      <c r="M45" s="213"/>
      <c r="N45" s="213"/>
      <c r="O45" s="213"/>
      <c r="P45" s="213"/>
      <c r="Q45" s="213"/>
      <c r="R45" s="213"/>
      <c r="S45" s="213"/>
      <c r="T45" s="213"/>
      <c r="U45" s="213"/>
      <c r="V45" s="213"/>
      <c r="W45" s="213"/>
      <c r="X45" s="213"/>
      <c r="Y45" s="213"/>
      <c r="Z45" s="213"/>
      <c r="AA45" s="213"/>
    </row>
    <row r="46" spans="1:27">
      <c r="A46" s="225"/>
      <c r="B46" s="213"/>
      <c r="C46" s="213"/>
      <c r="D46" s="213"/>
      <c r="E46" s="213"/>
      <c r="F46" s="213"/>
      <c r="G46" s="213"/>
      <c r="H46" s="213"/>
      <c r="I46" s="213"/>
      <c r="J46" s="213"/>
      <c r="K46" s="213"/>
      <c r="L46" s="213"/>
      <c r="M46" s="213"/>
      <c r="N46" s="213"/>
      <c r="O46" s="213"/>
      <c r="P46" s="213"/>
      <c r="Q46" s="213"/>
      <c r="R46" s="213"/>
      <c r="S46" s="213"/>
      <c r="T46" s="213"/>
      <c r="U46" s="213"/>
      <c r="V46" s="213"/>
      <c r="W46" s="213"/>
      <c r="X46" s="213"/>
      <c r="Y46" s="213"/>
      <c r="Z46" s="213"/>
      <c r="AA46" s="213"/>
    </row>
    <row r="47" spans="1:27" ht="13.5" customHeight="1">
      <c r="A47" s="225"/>
      <c r="B47" s="213"/>
      <c r="C47" s="213"/>
      <c r="D47" s="213"/>
      <c r="E47" s="213"/>
      <c r="F47" s="213"/>
      <c r="G47" s="213"/>
      <c r="H47" s="213"/>
      <c r="I47" s="213"/>
      <c r="J47" s="213"/>
      <c r="K47" s="213"/>
      <c r="L47" s="213"/>
      <c r="M47" s="213"/>
      <c r="N47" s="213"/>
      <c r="O47" s="213"/>
      <c r="P47" s="213"/>
      <c r="Q47" s="213"/>
      <c r="R47" s="213"/>
      <c r="S47" s="213"/>
      <c r="T47" s="213"/>
      <c r="U47" s="213"/>
      <c r="V47" s="213"/>
      <c r="W47" s="213"/>
      <c r="X47" s="213"/>
      <c r="Y47" s="213"/>
      <c r="Z47" s="213"/>
      <c r="AA47" s="213"/>
    </row>
    <row r="48" spans="1:27">
      <c r="A48" s="225"/>
      <c r="B48" s="213"/>
      <c r="C48" s="213"/>
      <c r="D48" s="213"/>
      <c r="E48" s="213"/>
      <c r="F48" s="213"/>
      <c r="G48" s="213"/>
      <c r="H48" s="213"/>
      <c r="I48" s="213"/>
      <c r="J48" s="213"/>
      <c r="K48" s="213"/>
      <c r="L48" s="213"/>
      <c r="M48" s="213"/>
      <c r="N48" s="213"/>
      <c r="O48" s="213"/>
      <c r="P48" s="213"/>
      <c r="Q48" s="213"/>
      <c r="R48" s="213"/>
      <c r="S48" s="213"/>
      <c r="T48" s="213"/>
      <c r="U48" s="213"/>
      <c r="V48" s="213"/>
      <c r="W48" s="213"/>
      <c r="X48" s="213"/>
      <c r="Y48" s="213"/>
      <c r="Z48" s="213"/>
      <c r="AA48" s="213"/>
    </row>
    <row r="49" spans="1:27" ht="13.8" thickBot="1">
      <c r="A49" s="294"/>
      <c r="B49" s="213"/>
      <c r="C49" s="295" t="s">
        <v>559</v>
      </c>
      <c r="D49" s="213"/>
      <c r="E49" s="213"/>
      <c r="F49" s="213"/>
      <c r="G49" s="213"/>
      <c r="H49" s="360" t="s">
        <v>332</v>
      </c>
      <c r="I49" s="213"/>
      <c r="J49" s="213"/>
      <c r="K49" s="213"/>
      <c r="L49" s="213"/>
      <c r="M49" s="213"/>
      <c r="N49" s="213"/>
      <c r="O49" s="213"/>
      <c r="P49" s="213"/>
      <c r="Q49" s="213"/>
      <c r="R49" s="213"/>
      <c r="S49" s="213"/>
      <c r="T49" s="213"/>
      <c r="U49" s="213"/>
      <c r="V49" s="213"/>
      <c r="W49" s="213"/>
      <c r="X49" s="213"/>
      <c r="Y49" s="213"/>
      <c r="Z49" s="213"/>
      <c r="AA49" s="213"/>
    </row>
    <row r="50" spans="1:27" ht="21" thickBot="1">
      <c r="A50" s="294" t="s">
        <v>563</v>
      </c>
      <c r="B50" s="213">
        <v>1</v>
      </c>
      <c r="C50" s="295" t="s">
        <v>560</v>
      </c>
      <c r="D50" s="213"/>
      <c r="E50" s="213"/>
      <c r="F50" s="213"/>
      <c r="G50" s="213"/>
      <c r="H50" s="360" t="s">
        <v>333</v>
      </c>
      <c r="I50" s="213"/>
      <c r="J50" s="213"/>
      <c r="K50" s="213"/>
      <c r="L50" s="213"/>
      <c r="M50" s="213"/>
      <c r="N50" s="213"/>
      <c r="O50" s="213"/>
      <c r="P50" s="213"/>
      <c r="Q50" s="213"/>
      <c r="R50" s="213"/>
      <c r="S50" s="213"/>
      <c r="T50" s="213"/>
      <c r="U50" s="213"/>
      <c r="V50" s="213"/>
      <c r="W50" s="213"/>
      <c r="X50" s="213"/>
      <c r="Y50" s="213"/>
      <c r="Z50" s="213"/>
      <c r="AA50" s="213"/>
    </row>
    <row r="51" spans="1:27" ht="21" thickBot="1">
      <c r="A51" s="294" t="s">
        <v>564</v>
      </c>
      <c r="B51" s="213">
        <v>2</v>
      </c>
      <c r="C51" s="295" t="s">
        <v>561</v>
      </c>
      <c r="D51" s="213"/>
      <c r="E51" s="213"/>
      <c r="F51" s="213"/>
      <c r="G51" s="213"/>
      <c r="H51" s="360" t="s">
        <v>334</v>
      </c>
      <c r="I51" s="213"/>
      <c r="J51" s="213"/>
      <c r="K51" s="213"/>
      <c r="L51" s="213"/>
      <c r="M51" s="213"/>
      <c r="N51" s="213"/>
      <c r="O51" s="213"/>
      <c r="P51" s="213"/>
      <c r="Q51" s="213"/>
      <c r="R51" s="213"/>
      <c r="S51" s="213"/>
      <c r="T51" s="213"/>
      <c r="U51" s="213"/>
      <c r="V51" s="213"/>
      <c r="W51" s="213"/>
      <c r="X51" s="213"/>
      <c r="Y51" s="213"/>
      <c r="Z51" s="213"/>
      <c r="AA51" s="213"/>
    </row>
    <row r="52" spans="1:27" ht="41.4" thickBot="1">
      <c r="A52" s="294" t="s">
        <v>439</v>
      </c>
      <c r="B52" s="213">
        <v>3</v>
      </c>
      <c r="C52" s="295" t="s">
        <v>562</v>
      </c>
      <c r="D52" s="213"/>
      <c r="E52" s="213"/>
      <c r="F52" s="213"/>
      <c r="G52" s="213"/>
      <c r="H52" s="360" t="s">
        <v>335</v>
      </c>
      <c r="I52" s="213"/>
      <c r="J52" s="213"/>
      <c r="K52" s="213"/>
      <c r="L52" s="213"/>
      <c r="M52" s="213"/>
      <c r="N52" s="213"/>
      <c r="O52" s="213"/>
      <c r="P52" s="213"/>
      <c r="Q52" s="213"/>
      <c r="R52" s="213"/>
      <c r="S52" s="213"/>
      <c r="T52" s="213"/>
      <c r="U52" s="213"/>
      <c r="V52" s="213"/>
      <c r="W52" s="213"/>
      <c r="X52" s="213"/>
      <c r="Y52" s="213"/>
      <c r="Z52" s="213"/>
      <c r="AA52" s="213"/>
    </row>
    <row r="53" spans="1:27" ht="41.4" thickBot="1">
      <c r="A53" s="294" t="s">
        <v>565</v>
      </c>
      <c r="B53" s="213">
        <v>4</v>
      </c>
      <c r="C53" s="295" t="s">
        <v>567</v>
      </c>
      <c r="D53" s="213"/>
      <c r="E53" s="213"/>
      <c r="F53" s="213"/>
      <c r="G53" s="213"/>
      <c r="H53" s="360" t="s">
        <v>336</v>
      </c>
      <c r="I53" s="213"/>
      <c r="J53" s="213"/>
      <c r="K53" s="213"/>
      <c r="L53" s="213"/>
      <c r="M53" s="213"/>
      <c r="N53" s="213"/>
      <c r="O53" s="213"/>
      <c r="P53" s="213"/>
      <c r="Q53" s="213"/>
      <c r="R53" s="213"/>
      <c r="S53" s="213"/>
      <c r="T53" s="213"/>
      <c r="U53" s="213"/>
      <c r="V53" s="213"/>
      <c r="W53" s="213"/>
      <c r="X53" s="213"/>
      <c r="Y53" s="213"/>
      <c r="Z53" s="213"/>
      <c r="AA53" s="213"/>
    </row>
    <row r="54" spans="1:27" ht="31.2" thickBot="1">
      <c r="A54" s="294" t="s">
        <v>566</v>
      </c>
      <c r="B54" s="213">
        <v>5</v>
      </c>
      <c r="C54" s="295" t="s">
        <v>441</v>
      </c>
      <c r="D54" s="213"/>
      <c r="E54" s="213"/>
      <c r="F54" s="213"/>
      <c r="G54" s="213"/>
      <c r="H54" s="213"/>
      <c r="I54" s="213"/>
      <c r="J54" s="213"/>
      <c r="K54" s="213"/>
      <c r="L54" s="213"/>
      <c r="M54" s="213"/>
      <c r="N54" s="213"/>
      <c r="O54" s="213"/>
      <c r="P54" s="213"/>
      <c r="Q54" s="213"/>
      <c r="R54" s="213"/>
      <c r="S54" s="213"/>
      <c r="T54" s="213"/>
      <c r="U54" s="213"/>
      <c r="V54" s="213"/>
      <c r="W54" s="213"/>
      <c r="X54" s="213"/>
      <c r="Y54" s="213"/>
      <c r="Z54" s="213"/>
      <c r="AA54" s="213"/>
    </row>
    <row r="55" spans="1:27" ht="21" thickBot="1">
      <c r="A55" s="294" t="s">
        <v>568</v>
      </c>
      <c r="B55" s="213">
        <v>6</v>
      </c>
      <c r="C55" s="293"/>
      <c r="D55" s="213"/>
      <c r="E55" s="213"/>
      <c r="F55" s="213"/>
      <c r="G55" s="213"/>
      <c r="H55" s="213"/>
      <c r="I55" s="213"/>
      <c r="J55" s="213"/>
      <c r="K55" s="213"/>
      <c r="L55" s="213"/>
      <c r="M55" s="213"/>
      <c r="N55" s="213"/>
      <c r="O55" s="213"/>
      <c r="P55" s="213"/>
      <c r="Q55" s="213"/>
      <c r="R55" s="213"/>
      <c r="S55" s="213"/>
      <c r="T55" s="213"/>
      <c r="U55" s="213"/>
      <c r="V55" s="213"/>
      <c r="W55" s="213"/>
      <c r="X55" s="213"/>
      <c r="Y55" s="213"/>
      <c r="Z55" s="213"/>
      <c r="AA55" s="213"/>
    </row>
    <row r="56" spans="1:27" ht="21" thickBot="1">
      <c r="A56" s="294" t="s">
        <v>451</v>
      </c>
      <c r="B56" s="213">
        <v>7</v>
      </c>
      <c r="C56" s="611"/>
      <c r="D56" s="213"/>
      <c r="E56" s="213"/>
      <c r="F56" s="213"/>
      <c r="G56" s="213"/>
      <c r="H56" s="213"/>
      <c r="I56" s="213"/>
      <c r="J56" s="213"/>
      <c r="K56" s="213"/>
      <c r="L56" s="213"/>
      <c r="M56" s="213"/>
      <c r="N56" s="213"/>
      <c r="O56" s="213"/>
      <c r="P56" s="213"/>
      <c r="Q56" s="213"/>
      <c r="R56" s="213"/>
      <c r="S56" s="213"/>
      <c r="T56" s="213"/>
      <c r="U56" s="213"/>
      <c r="V56" s="213"/>
      <c r="W56" s="213"/>
      <c r="X56" s="213"/>
      <c r="Y56" s="213"/>
      <c r="Z56" s="213"/>
      <c r="AA56" s="213"/>
    </row>
    <row r="57" spans="1:27" ht="41.4" thickBot="1">
      <c r="A57" s="294" t="s">
        <v>569</v>
      </c>
      <c r="B57" s="213">
        <v>8</v>
      </c>
      <c r="C57" s="611"/>
      <c r="D57" s="213"/>
      <c r="E57" s="213"/>
      <c r="F57" s="213"/>
      <c r="G57" s="213"/>
      <c r="H57" s="213"/>
      <c r="I57" s="213"/>
      <c r="J57" s="213"/>
      <c r="K57" s="213"/>
      <c r="L57" s="213"/>
      <c r="M57" s="213"/>
      <c r="N57" s="213"/>
      <c r="O57" s="213"/>
      <c r="P57" s="213"/>
      <c r="Q57" s="213"/>
      <c r="R57" s="213"/>
      <c r="S57" s="213"/>
      <c r="T57" s="213"/>
      <c r="U57" s="213"/>
      <c r="V57" s="213"/>
      <c r="W57" s="213"/>
      <c r="X57" s="213"/>
      <c r="Y57" s="213"/>
      <c r="Z57" s="213"/>
      <c r="AA57" s="213"/>
    </row>
    <row r="58" spans="1:27" ht="41.4" thickBot="1">
      <c r="A58" s="294" t="s">
        <v>570</v>
      </c>
      <c r="B58" s="213">
        <v>9</v>
      </c>
      <c r="C58" s="213"/>
      <c r="D58" s="213"/>
      <c r="E58" s="213"/>
      <c r="F58" s="213"/>
      <c r="G58" s="213"/>
      <c r="H58" s="213"/>
      <c r="I58" s="213"/>
      <c r="J58" s="295"/>
      <c r="K58" s="213"/>
      <c r="L58" s="213"/>
      <c r="M58" s="213"/>
      <c r="N58" s="213"/>
      <c r="O58" s="213"/>
      <c r="P58" s="213"/>
      <c r="Q58" s="213"/>
      <c r="R58" s="213"/>
      <c r="S58" s="278"/>
      <c r="T58" s="213"/>
      <c r="U58" s="213"/>
      <c r="V58" s="213"/>
      <c r="W58" s="213"/>
      <c r="X58" s="213"/>
      <c r="Y58" s="213"/>
      <c r="Z58" s="213"/>
      <c r="AA58" s="213"/>
    </row>
    <row r="59" spans="1:27" ht="51.6" thickBot="1">
      <c r="A59" s="294" t="s">
        <v>571</v>
      </c>
      <c r="B59" s="213">
        <v>10</v>
      </c>
      <c r="C59" s="213"/>
      <c r="D59" s="213"/>
      <c r="E59" s="213"/>
      <c r="F59" s="213"/>
      <c r="G59" s="213"/>
      <c r="H59" s="213"/>
      <c r="I59" s="213"/>
      <c r="J59" s="295"/>
      <c r="K59" s="213"/>
      <c r="L59" s="213"/>
      <c r="M59" s="213"/>
      <c r="N59" s="213"/>
      <c r="O59" s="213"/>
      <c r="P59" s="213"/>
      <c r="Q59" s="213"/>
      <c r="R59" s="213"/>
      <c r="S59" s="278"/>
      <c r="T59" s="213"/>
      <c r="U59" s="213"/>
      <c r="V59" s="213"/>
      <c r="W59" s="213"/>
      <c r="X59" s="213"/>
      <c r="Y59" s="213"/>
      <c r="Z59" s="213"/>
      <c r="AA59" s="213"/>
    </row>
    <row r="60" spans="1:27" ht="31.2" thickBot="1">
      <c r="A60" s="294" t="s">
        <v>572</v>
      </c>
      <c r="B60" s="213">
        <v>11</v>
      </c>
      <c r="C60" s="213"/>
      <c r="D60" s="213"/>
      <c r="E60" s="213"/>
      <c r="F60" s="213"/>
      <c r="G60" s="213"/>
      <c r="H60" s="213"/>
      <c r="I60" s="213"/>
      <c r="J60" s="295"/>
      <c r="K60" s="213"/>
      <c r="L60" s="213"/>
      <c r="M60" s="213"/>
      <c r="N60" s="213"/>
      <c r="O60" s="213"/>
      <c r="P60" s="213"/>
      <c r="Q60" s="213"/>
      <c r="R60" s="213"/>
      <c r="S60" s="278"/>
      <c r="T60" s="213"/>
      <c r="U60" s="213"/>
      <c r="V60" s="213"/>
      <c r="W60" s="213"/>
      <c r="X60" s="213"/>
      <c r="Y60" s="213"/>
      <c r="Z60" s="213"/>
      <c r="AA60" s="213"/>
    </row>
    <row r="61" spans="1:27" ht="41.4" thickBot="1">
      <c r="A61" s="294" t="s">
        <v>573</v>
      </c>
      <c r="B61" s="213">
        <v>12</v>
      </c>
      <c r="C61" s="213"/>
      <c r="D61" s="213"/>
      <c r="E61" s="213"/>
      <c r="F61" s="213"/>
      <c r="G61" s="213"/>
      <c r="H61" s="213"/>
      <c r="I61" s="213"/>
      <c r="J61" s="295"/>
      <c r="K61" s="213"/>
      <c r="L61" s="213"/>
      <c r="M61" s="213"/>
      <c r="N61" s="213"/>
      <c r="O61" s="213"/>
      <c r="P61" s="213"/>
      <c r="Q61" s="213"/>
      <c r="R61" s="213"/>
      <c r="S61" s="278"/>
      <c r="T61" s="213"/>
      <c r="U61" s="213"/>
      <c r="V61" s="213"/>
      <c r="W61" s="213"/>
      <c r="X61" s="213"/>
      <c r="Y61" s="213"/>
      <c r="Z61" s="213"/>
      <c r="AA61" s="213"/>
    </row>
    <row r="62" spans="1:27" ht="31.2" thickBot="1">
      <c r="A62" s="294" t="s">
        <v>469</v>
      </c>
      <c r="B62" s="213">
        <v>13</v>
      </c>
      <c r="C62" s="213"/>
      <c r="D62" s="213"/>
      <c r="E62" s="213"/>
      <c r="F62" s="213"/>
      <c r="G62" s="213"/>
      <c r="H62" s="213"/>
      <c r="I62" s="213"/>
      <c r="J62" s="295"/>
      <c r="K62" s="213"/>
      <c r="L62" s="213"/>
      <c r="M62" s="213"/>
      <c r="N62" s="213"/>
      <c r="O62" s="213"/>
      <c r="P62" s="213"/>
      <c r="Q62" s="213"/>
      <c r="R62" s="213"/>
      <c r="S62" s="278"/>
      <c r="T62" s="213"/>
      <c r="U62" s="213"/>
      <c r="V62" s="213"/>
      <c r="W62" s="213"/>
      <c r="X62" s="213"/>
      <c r="Y62" s="213"/>
      <c r="Z62" s="213"/>
      <c r="AA62" s="213"/>
    </row>
    <row r="63" spans="1:27">
      <c r="A63" s="225"/>
      <c r="B63" s="213"/>
      <c r="C63" s="213"/>
      <c r="D63" s="213"/>
      <c r="E63" s="213"/>
      <c r="F63" s="213"/>
      <c r="G63" s="213"/>
      <c r="H63" s="213"/>
      <c r="I63" s="213"/>
      <c r="J63" s="295"/>
      <c r="K63" s="213"/>
      <c r="L63" s="213"/>
      <c r="M63" s="213"/>
      <c r="N63" s="213"/>
      <c r="O63" s="213"/>
      <c r="P63" s="213"/>
      <c r="Q63" s="213"/>
      <c r="R63" s="213"/>
      <c r="S63" s="278"/>
      <c r="T63" s="213"/>
      <c r="U63" s="213"/>
      <c r="V63" s="213"/>
      <c r="W63" s="213"/>
      <c r="X63" s="213"/>
      <c r="Y63" s="213"/>
      <c r="Z63" s="213"/>
      <c r="AA63" s="213"/>
    </row>
    <row r="64" spans="1:27">
      <c r="A64" s="225"/>
      <c r="B64" s="213"/>
      <c r="C64" s="213"/>
      <c r="D64" s="213"/>
      <c r="E64" s="213"/>
      <c r="F64" s="213"/>
      <c r="G64" s="213"/>
      <c r="H64" s="213"/>
      <c r="I64" s="213"/>
      <c r="J64" s="296"/>
      <c r="K64" s="213"/>
      <c r="L64" s="213"/>
      <c r="M64" s="213"/>
      <c r="N64" s="213"/>
      <c r="O64" s="213"/>
      <c r="P64" s="213"/>
      <c r="Q64" s="213"/>
      <c r="R64" s="213"/>
      <c r="S64" s="278"/>
      <c r="T64" s="213"/>
      <c r="U64" s="213"/>
      <c r="V64" s="213"/>
      <c r="W64" s="213"/>
      <c r="X64" s="213"/>
      <c r="Y64" s="213"/>
      <c r="Z64" s="213"/>
      <c r="AA64" s="213"/>
    </row>
    <row r="65" spans="1:27" hidden="1">
      <c r="A65" s="225"/>
      <c r="B65" s="213" t="s">
        <v>251</v>
      </c>
      <c r="C65" s="213"/>
      <c r="D65" s="213" t="e">
        <f>((J23+L23)-(J33+L33))*(39+780*N10)*1.33</f>
        <v>#VALUE!</v>
      </c>
      <c r="E65" s="213"/>
      <c r="F65" s="213"/>
      <c r="G65" s="213"/>
      <c r="H65" s="213"/>
      <c r="I65" s="213"/>
      <c r="J65" s="213"/>
      <c r="K65" s="213"/>
      <c r="L65" s="213"/>
      <c r="M65" s="213"/>
      <c r="N65" s="213"/>
      <c r="O65" s="213"/>
      <c r="P65" s="213"/>
      <c r="Q65" s="213"/>
      <c r="R65" s="213"/>
      <c r="S65" s="278"/>
      <c r="T65" s="213"/>
      <c r="U65" s="213"/>
      <c r="V65" s="213"/>
      <c r="W65" s="213"/>
      <c r="X65" s="213"/>
      <c r="Y65" s="213"/>
      <c r="Z65" s="213"/>
      <c r="AA65" s="213"/>
    </row>
    <row r="66" spans="1:27" hidden="1">
      <c r="A66" s="225"/>
      <c r="B66" s="213"/>
      <c r="C66" s="213"/>
      <c r="D66" s="213"/>
      <c r="E66" s="213"/>
      <c r="F66" s="213"/>
      <c r="G66" s="213"/>
      <c r="H66" s="213"/>
      <c r="I66" s="213"/>
      <c r="J66" s="213"/>
      <c r="K66" s="213"/>
      <c r="L66" s="213"/>
      <c r="M66" s="213"/>
      <c r="N66" s="213"/>
      <c r="O66" s="213"/>
      <c r="P66" s="213"/>
      <c r="Q66" s="213"/>
      <c r="R66" s="213"/>
      <c r="S66" s="278"/>
      <c r="T66" s="213"/>
      <c r="U66" s="213"/>
      <c r="V66" s="213"/>
      <c r="W66" s="213"/>
      <c r="X66" s="213"/>
      <c r="Y66" s="213"/>
      <c r="Z66" s="213"/>
      <c r="AA66" s="213"/>
    </row>
    <row r="67" spans="1:27" hidden="1">
      <c r="A67" s="225"/>
      <c r="B67" s="213"/>
      <c r="C67" s="213"/>
      <c r="D67" s="213"/>
      <c r="E67" s="213"/>
      <c r="F67" s="213"/>
      <c r="G67" s="213"/>
      <c r="H67" s="213"/>
      <c r="I67" s="213"/>
      <c r="J67" s="213"/>
      <c r="K67" s="213"/>
      <c r="L67" s="213"/>
      <c r="M67" s="213"/>
      <c r="N67" s="213"/>
      <c r="O67" s="213"/>
      <c r="P67" s="213"/>
      <c r="Q67" s="213"/>
      <c r="R67" s="213"/>
      <c r="S67" s="278"/>
      <c r="T67" s="213"/>
      <c r="U67" s="213"/>
      <c r="V67" s="213"/>
      <c r="W67" s="213"/>
      <c r="X67" s="213"/>
      <c r="Y67" s="213"/>
      <c r="Z67" s="213"/>
      <c r="AA67" s="213"/>
    </row>
    <row r="68" spans="1:27" ht="20.399999999999999" hidden="1">
      <c r="A68" s="225"/>
      <c r="B68" s="213"/>
      <c r="C68" s="331" t="s">
        <v>837</v>
      </c>
      <c r="D68" s="332" t="str">
        <f>'SP5-1'!I24</f>
        <v>2% up to 30 years and 1.5% after 30 years</v>
      </c>
      <c r="E68" s="36"/>
      <c r="F68" s="333"/>
      <c r="G68" s="333"/>
      <c r="H68" s="36"/>
      <c r="I68" s="333"/>
      <c r="J68" s="213"/>
      <c r="K68" s="213"/>
      <c r="L68" s="213"/>
      <c r="M68" s="213"/>
      <c r="N68" s="213"/>
      <c r="O68" s="213"/>
      <c r="P68" s="213"/>
      <c r="Q68" s="213"/>
      <c r="R68" s="213"/>
      <c r="S68" s="278"/>
      <c r="T68" s="213"/>
      <c r="U68" s="213"/>
      <c r="V68" s="213"/>
      <c r="W68" s="213"/>
      <c r="X68" s="213"/>
      <c r="Y68" s="213"/>
      <c r="Z68" s="213"/>
      <c r="AA68" s="213"/>
    </row>
    <row r="69" spans="1:27" hidden="1">
      <c r="A69" s="225"/>
      <c r="B69" s="213"/>
      <c r="C69" s="331" t="s">
        <v>838</v>
      </c>
      <c r="D69" s="334">
        <v>1</v>
      </c>
      <c r="E69" s="36"/>
      <c r="F69" s="333"/>
      <c r="G69" s="333"/>
      <c r="H69" s="36"/>
      <c r="I69" s="333"/>
      <c r="J69" s="213"/>
      <c r="K69" s="213"/>
      <c r="L69" s="213"/>
      <c r="M69" s="213"/>
      <c r="N69" s="213"/>
      <c r="O69" s="213"/>
      <c r="P69" s="213"/>
      <c r="Q69" s="213"/>
      <c r="R69" s="213"/>
      <c r="S69" s="278"/>
      <c r="T69" s="213"/>
      <c r="U69" s="213"/>
      <c r="V69" s="213"/>
      <c r="W69" s="213"/>
      <c r="X69" s="213"/>
      <c r="Y69" s="213"/>
      <c r="Z69" s="213"/>
      <c r="AA69" s="213"/>
    </row>
    <row r="70" spans="1:27" ht="30.6" hidden="1">
      <c r="A70" s="225"/>
      <c r="B70" s="213"/>
      <c r="C70" s="331" t="str">
        <f>'SP5-1'!B23</f>
        <v>Eval. Period (yrs)</v>
      </c>
      <c r="D70" s="334">
        <f>'SP5-1'!I23</f>
        <v>0</v>
      </c>
      <c r="E70" s="36"/>
      <c r="F70" s="36"/>
      <c r="G70" s="36"/>
      <c r="H70" s="36"/>
      <c r="I70" s="333"/>
      <c r="J70" s="213"/>
      <c r="K70" s="213"/>
      <c r="L70" s="213"/>
      <c r="M70" s="213"/>
      <c r="N70" s="213"/>
      <c r="O70" s="213"/>
      <c r="P70" s="213"/>
      <c r="Q70" s="213"/>
      <c r="R70" s="213"/>
      <c r="S70" s="278"/>
      <c r="T70" s="213"/>
      <c r="U70" s="213"/>
      <c r="V70" s="213"/>
      <c r="W70" s="213"/>
      <c r="X70" s="213"/>
      <c r="Y70" s="213"/>
      <c r="Z70" s="213"/>
      <c r="AA70" s="213"/>
    </row>
    <row r="71" spans="1:27" ht="40.799999999999997" hidden="1">
      <c r="A71" s="225"/>
      <c r="B71" s="213"/>
      <c r="C71" s="331" t="s">
        <v>839</v>
      </c>
      <c r="D71" s="332">
        <f>N10</f>
        <v>0</v>
      </c>
      <c r="E71" s="36"/>
      <c r="F71" s="36"/>
      <c r="G71" s="36"/>
      <c r="H71" s="36"/>
      <c r="I71" s="333"/>
      <c r="J71" s="213"/>
      <c r="K71" s="213"/>
      <c r="L71" s="213"/>
      <c r="M71" s="213"/>
      <c r="N71" s="213"/>
      <c r="O71" s="213"/>
      <c r="P71" s="213"/>
      <c r="Q71" s="213"/>
      <c r="R71" s="213"/>
      <c r="S71" s="278"/>
      <c r="T71" s="213"/>
      <c r="U71" s="213"/>
      <c r="V71" s="213"/>
      <c r="W71" s="213"/>
      <c r="X71" s="213"/>
      <c r="Y71" s="213"/>
      <c r="Z71" s="213"/>
      <c r="AA71" s="213"/>
    </row>
    <row r="72" spans="1:27" hidden="1">
      <c r="A72" s="225"/>
      <c r="B72" s="213"/>
      <c r="C72" s="36"/>
      <c r="D72" s="36"/>
      <c r="E72" s="36"/>
      <c r="F72" s="36"/>
      <c r="G72" s="335"/>
      <c r="H72" s="335"/>
      <c r="I72" s="36"/>
      <c r="J72" s="213"/>
      <c r="K72" s="213"/>
      <c r="L72" s="213"/>
      <c r="M72" s="213"/>
      <c r="N72" s="213"/>
      <c r="O72" s="213"/>
      <c r="P72" s="213"/>
      <c r="Q72" s="213"/>
      <c r="R72" s="213"/>
      <c r="S72" s="278"/>
      <c r="T72" s="213"/>
      <c r="U72" s="213"/>
      <c r="V72" s="213"/>
      <c r="W72" s="213"/>
      <c r="X72" s="213"/>
      <c r="Y72" s="213"/>
      <c r="Z72" s="213"/>
      <c r="AA72" s="213"/>
    </row>
    <row r="73" spans="1:27" ht="13.2" hidden="1">
      <c r="A73" s="225"/>
      <c r="B73" s="213"/>
      <c r="C73" s="336" t="s">
        <v>141</v>
      </c>
      <c r="D73" s="336" t="s">
        <v>142</v>
      </c>
      <c r="E73" s="336" t="s">
        <v>144</v>
      </c>
      <c r="F73" s="336" t="s">
        <v>143</v>
      </c>
      <c r="G73" s="602" t="s">
        <v>840</v>
      </c>
      <c r="H73" s="603"/>
      <c r="I73" s="333"/>
      <c r="J73" s="213"/>
      <c r="K73" s="213"/>
      <c r="L73" s="213"/>
      <c r="M73" s="213"/>
      <c r="N73" s="213"/>
      <c r="O73" s="213"/>
      <c r="P73" s="213"/>
      <c r="Q73" s="213"/>
      <c r="R73" s="213"/>
      <c r="S73" s="278"/>
      <c r="T73" s="213"/>
      <c r="U73" s="213"/>
      <c r="V73" s="213"/>
      <c r="W73" s="213"/>
      <c r="X73" s="213"/>
      <c r="Y73" s="213"/>
      <c r="Z73" s="213"/>
      <c r="AA73" s="213"/>
    </row>
    <row r="74" spans="1:27" hidden="1">
      <c r="A74" s="225"/>
      <c r="B74" s="213"/>
      <c r="C74" s="337">
        <f>Tables!O11</f>
        <v>0.99016372140870601</v>
      </c>
      <c r="D74" s="337">
        <f>Tables!O12</f>
        <v>0</v>
      </c>
      <c r="E74" s="337">
        <f>Tables!O13</f>
        <v>0.49344788445523591</v>
      </c>
      <c r="F74" s="337">
        <f>Tables!O14</f>
        <v>0</v>
      </c>
      <c r="G74" s="604">
        <f>(D74-C74)+((D$71)*(F74-E74))</f>
        <v>-0.99016372140870601</v>
      </c>
      <c r="H74" s="605"/>
      <c r="I74" s="333"/>
      <c r="J74" s="213"/>
      <c r="K74" s="213"/>
      <c r="L74" s="213"/>
      <c r="M74" s="213"/>
      <c r="N74" s="213"/>
      <c r="O74" s="213"/>
      <c r="P74" s="213"/>
      <c r="Q74" s="213"/>
      <c r="R74" s="213"/>
      <c r="S74" s="278"/>
      <c r="T74" s="213"/>
      <c r="U74" s="213"/>
      <c r="V74" s="213"/>
      <c r="W74" s="213"/>
      <c r="X74" s="213"/>
      <c r="Y74" s="213"/>
      <c r="Z74" s="213"/>
      <c r="AA74" s="213"/>
    </row>
    <row r="75" spans="1:27">
      <c r="A75" s="225"/>
      <c r="B75" s="213"/>
      <c r="C75" s="213"/>
      <c r="D75" s="213"/>
      <c r="E75" s="213"/>
      <c r="F75" s="213"/>
      <c r="G75" s="213"/>
      <c r="H75" s="213"/>
      <c r="I75" s="213"/>
      <c r="J75" s="213"/>
      <c r="K75" s="213"/>
      <c r="L75" s="213"/>
      <c r="M75" s="213"/>
      <c r="N75" s="213"/>
      <c r="O75" s="213"/>
      <c r="P75" s="213"/>
      <c r="Q75" s="213"/>
      <c r="R75" s="213"/>
      <c r="S75" s="278"/>
      <c r="T75" s="213"/>
      <c r="U75" s="213"/>
      <c r="V75" s="213"/>
      <c r="W75" s="213"/>
      <c r="X75" s="213"/>
      <c r="Y75" s="213"/>
      <c r="Z75" s="213"/>
      <c r="AA75" s="213"/>
    </row>
    <row r="76" spans="1:27">
      <c r="A76" s="225"/>
      <c r="B76" s="213"/>
      <c r="C76" s="213"/>
      <c r="D76" s="213"/>
      <c r="E76" s="213"/>
      <c r="F76" s="213"/>
      <c r="G76" s="213"/>
      <c r="H76" s="213"/>
      <c r="I76" s="213"/>
      <c r="J76" s="213"/>
      <c r="K76" s="213"/>
      <c r="L76" s="213"/>
      <c r="M76" s="213"/>
      <c r="N76" s="213"/>
      <c r="O76" s="213"/>
      <c r="P76" s="213"/>
      <c r="Q76" s="213"/>
      <c r="R76" s="213"/>
      <c r="S76" s="278"/>
      <c r="T76" s="213"/>
      <c r="U76" s="213"/>
      <c r="V76" s="213"/>
      <c r="W76" s="213"/>
      <c r="X76" s="213"/>
      <c r="Y76" s="213"/>
      <c r="Z76" s="213"/>
      <c r="AA76" s="213"/>
    </row>
    <row r="77" spans="1:27" s="333" customFormat="1" ht="15.6">
      <c r="A77" s="338"/>
      <c r="B77" s="82" t="s">
        <v>841</v>
      </c>
      <c r="C77"/>
      <c r="D77"/>
      <c r="E77"/>
      <c r="F77"/>
      <c r="G77"/>
      <c r="H77"/>
      <c r="I77"/>
      <c r="J77"/>
      <c r="K77" s="36"/>
      <c r="L77" s="36"/>
      <c r="M77" s="36"/>
      <c r="N77" s="36"/>
      <c r="O77" s="36"/>
      <c r="P77" s="36"/>
      <c r="Q77" s="36"/>
      <c r="R77" s="36"/>
      <c r="S77" s="339"/>
      <c r="T77" s="36"/>
      <c r="U77" s="36"/>
      <c r="V77" s="36"/>
      <c r="W77" s="36"/>
      <c r="X77" s="36"/>
      <c r="Y77" s="36"/>
      <c r="Z77" s="36"/>
      <c r="AA77" s="36"/>
    </row>
    <row r="78" spans="1:27" s="333" customFormat="1" ht="15" customHeight="1" thickBot="1">
      <c r="A78" s="338"/>
      <c r="B78" s="606" t="s">
        <v>480</v>
      </c>
      <c r="C78" s="607" t="s">
        <v>481</v>
      </c>
      <c r="D78" s="607"/>
      <c r="E78" s="607"/>
      <c r="F78" s="607"/>
      <c r="G78" s="607"/>
      <c r="H78" s="607"/>
      <c r="I78" s="607"/>
      <c r="J78" s="607"/>
      <c r="K78" s="36"/>
      <c r="L78" s="36"/>
      <c r="M78" s="36"/>
      <c r="N78" s="36"/>
      <c r="O78" s="36"/>
      <c r="P78" s="36"/>
      <c r="Q78" s="36"/>
      <c r="R78" s="36"/>
      <c r="S78" s="339"/>
      <c r="T78" s="36"/>
      <c r="U78" s="36"/>
      <c r="V78" s="36"/>
      <c r="W78" s="36"/>
      <c r="X78" s="36"/>
      <c r="Y78" s="36"/>
      <c r="Z78" s="36"/>
      <c r="AA78" s="36"/>
    </row>
    <row r="79" spans="1:27" s="333" customFormat="1" ht="14.4" thickBot="1">
      <c r="A79" s="338"/>
      <c r="B79" s="607"/>
      <c r="C79" s="340">
        <v>0</v>
      </c>
      <c r="D79" s="340">
        <v>0.01</v>
      </c>
      <c r="E79" s="340">
        <v>0.02</v>
      </c>
      <c r="F79" s="340">
        <v>0.03</v>
      </c>
      <c r="G79" s="340">
        <v>0.04</v>
      </c>
      <c r="H79" s="340">
        <v>0.05</v>
      </c>
      <c r="I79" s="340">
        <v>0.06</v>
      </c>
      <c r="J79" s="340">
        <v>7.0000000000000007E-2</v>
      </c>
      <c r="K79" s="36"/>
      <c r="L79" s="36"/>
      <c r="M79" s="36"/>
      <c r="N79" s="36"/>
      <c r="O79" s="36"/>
      <c r="P79" s="36"/>
      <c r="Q79" s="36"/>
      <c r="R79" s="36"/>
      <c r="S79" s="36"/>
      <c r="T79" s="36"/>
      <c r="U79" s="36"/>
      <c r="V79" s="36"/>
      <c r="W79" s="36"/>
      <c r="X79" s="36"/>
      <c r="Y79" s="36"/>
      <c r="Z79" s="36"/>
      <c r="AA79" s="36"/>
    </row>
    <row r="80" spans="1:27" s="333" customFormat="1" ht="28.2" thickBot="1">
      <c r="A80" s="338">
        <v>70</v>
      </c>
      <c r="B80" s="83" t="s">
        <v>842</v>
      </c>
      <c r="C80" s="83">
        <v>0.83</v>
      </c>
      <c r="D80" s="83">
        <v>0.86</v>
      </c>
      <c r="E80" s="83">
        <v>0.9</v>
      </c>
      <c r="F80" s="83">
        <v>0.93</v>
      </c>
      <c r="G80" s="83">
        <v>0.96</v>
      </c>
      <c r="H80" s="83">
        <v>0.99</v>
      </c>
      <c r="I80" s="83">
        <v>1.03</v>
      </c>
      <c r="J80" s="83">
        <v>1.06</v>
      </c>
      <c r="K80" s="36"/>
      <c r="L80" s="36"/>
      <c r="M80" s="36"/>
      <c r="N80" s="36"/>
      <c r="O80" s="36"/>
      <c r="P80" s="36"/>
      <c r="Q80" s="36"/>
      <c r="R80" s="36"/>
      <c r="S80" s="36"/>
      <c r="T80" s="36"/>
      <c r="U80" s="36"/>
      <c r="V80" s="36"/>
      <c r="W80" s="36"/>
      <c r="X80" s="36"/>
      <c r="Y80" s="36"/>
      <c r="Z80" s="36"/>
      <c r="AA80" s="36"/>
    </row>
    <row r="81" spans="1:27" s="333" customFormat="1" ht="42" thickBot="1">
      <c r="A81" s="338"/>
      <c r="B81" s="83" t="s">
        <v>843</v>
      </c>
      <c r="C81" s="83">
        <v>0.95</v>
      </c>
      <c r="D81" s="83">
        <v>0.98</v>
      </c>
      <c r="E81" s="83">
        <v>1.02</v>
      </c>
      <c r="F81" s="83">
        <v>1.06</v>
      </c>
      <c r="G81" s="83">
        <v>1.1000000000000001</v>
      </c>
      <c r="H81" s="83">
        <v>1.1399999999999999</v>
      </c>
      <c r="I81" s="83">
        <v>1.17</v>
      </c>
      <c r="J81" s="83">
        <v>1.21</v>
      </c>
      <c r="K81" s="36"/>
      <c r="L81" s="36"/>
      <c r="M81" s="36"/>
      <c r="N81" s="36"/>
      <c r="O81" s="36"/>
      <c r="P81" s="36"/>
      <c r="Q81" s="36"/>
      <c r="R81" s="36"/>
      <c r="S81" s="36"/>
      <c r="T81" s="36"/>
      <c r="U81" s="36"/>
      <c r="V81" s="36"/>
      <c r="W81" s="36"/>
      <c r="X81" s="36"/>
      <c r="Y81" s="36"/>
      <c r="Z81" s="36"/>
      <c r="AA81" s="36"/>
    </row>
    <row r="82" spans="1:27">
      <c r="A82" s="225"/>
      <c r="B82" s="213"/>
      <c r="C82" s="213"/>
      <c r="D82" s="213"/>
      <c r="E82" s="213"/>
      <c r="F82" s="213"/>
      <c r="G82" s="213"/>
      <c r="H82" s="213"/>
      <c r="I82" s="213"/>
      <c r="J82" s="213"/>
      <c r="K82" s="213"/>
      <c r="L82" s="213"/>
      <c r="M82" s="213"/>
      <c r="N82" s="213"/>
      <c r="O82" s="213"/>
      <c r="P82" s="213"/>
      <c r="Q82" s="213"/>
      <c r="R82" s="213"/>
      <c r="S82" s="278"/>
      <c r="T82" s="213"/>
      <c r="U82" s="213"/>
      <c r="V82" s="213"/>
      <c r="W82" s="213"/>
      <c r="X82" s="213"/>
      <c r="Y82" s="213"/>
      <c r="Z82" s="213"/>
      <c r="AA82" s="213"/>
    </row>
    <row r="83" spans="1:27">
      <c r="A83" s="225"/>
      <c r="B83" s="213"/>
      <c r="C83" s="213"/>
      <c r="D83" s="213"/>
      <c r="E83" s="213"/>
      <c r="F83" s="213"/>
      <c r="G83" s="213"/>
      <c r="H83" s="213"/>
      <c r="I83" s="213"/>
      <c r="J83" s="213"/>
      <c r="K83" s="213"/>
      <c r="L83" s="213"/>
      <c r="M83" s="213"/>
      <c r="N83" s="213"/>
      <c r="O83" s="213"/>
      <c r="P83" s="213"/>
      <c r="Q83" s="213"/>
      <c r="R83" s="213"/>
      <c r="S83" s="278"/>
      <c r="T83" s="213"/>
      <c r="U83" s="213"/>
      <c r="V83" s="213"/>
      <c r="W83" s="213"/>
      <c r="X83" s="213"/>
      <c r="Y83" s="213"/>
      <c r="Z83" s="213"/>
      <c r="AA83" s="213"/>
    </row>
  </sheetData>
  <sheetProtection algorithmName="SHA-512" hashValue="nuv+szoxO2glrlQ+P3/wzFsgZOnKV8uADgx4GLz+ZWJhbWQbWpbkPfuSXBqRuFthSW9re4EofAry6xwAH6VcCw==" saltValue="hh/97sOYRVIWzvfk4TyFpA==" spinCount="100000" sheet="1" objects="1" scenarios="1"/>
  <protectedRanges>
    <protectedRange sqref="C8:D9 O8:Q10 R28:S28 J8 K8:M9 I9:J9 E8:H12 R8:S13" name="Range1_1_1"/>
    <protectedRange sqref="R22:S22" name="Range3_1_1"/>
    <protectedRange sqref="R24:S27 R31:S31" name="Range5_1_1"/>
    <protectedRange sqref="E42:F42" name="Range15_1"/>
    <protectedRange sqref="E40:F41" name="Range15_1_2"/>
    <protectedRange sqref="F28:I28 G33:I33" name="Range5_1_3"/>
    <protectedRange sqref="E37:G37" name="Range10_1_2"/>
  </protectedRanges>
  <mergeCells count="145">
    <mergeCell ref="G73:H73"/>
    <mergeCell ref="G74:H74"/>
    <mergeCell ref="B78:B79"/>
    <mergeCell ref="C78:J78"/>
    <mergeCell ref="T41:X41"/>
    <mergeCell ref="C56:C57"/>
    <mergeCell ref="B39:I39"/>
    <mergeCell ref="J39:Q39"/>
    <mergeCell ref="B40:I40"/>
    <mergeCell ref="J40:Q40"/>
    <mergeCell ref="B41:I41"/>
    <mergeCell ref="J41:Q41"/>
    <mergeCell ref="B37:I37"/>
    <mergeCell ref="J37:K37"/>
    <mergeCell ref="L37:M37"/>
    <mergeCell ref="N37:O37"/>
    <mergeCell ref="P37:Q37"/>
    <mergeCell ref="B38:I38"/>
    <mergeCell ref="J38:K38"/>
    <mergeCell ref="L38:M38"/>
    <mergeCell ref="N38:O38"/>
    <mergeCell ref="P38:Q38"/>
    <mergeCell ref="B35:I35"/>
    <mergeCell ref="J35:K35"/>
    <mergeCell ref="L35:M35"/>
    <mergeCell ref="N35:O35"/>
    <mergeCell ref="P35:Q35"/>
    <mergeCell ref="B36:I36"/>
    <mergeCell ref="J36:Q36"/>
    <mergeCell ref="B33:I33"/>
    <mergeCell ref="J33:K33"/>
    <mergeCell ref="L33:M33"/>
    <mergeCell ref="N33:O33"/>
    <mergeCell ref="P33:Q33"/>
    <mergeCell ref="B34:I34"/>
    <mergeCell ref="J34:K34"/>
    <mergeCell ref="L34:M34"/>
    <mergeCell ref="N34:O34"/>
    <mergeCell ref="P34:Q34"/>
    <mergeCell ref="T31:X31"/>
    <mergeCell ref="B32:I32"/>
    <mergeCell ref="J32:K32"/>
    <mergeCell ref="L32:M32"/>
    <mergeCell ref="N32:O32"/>
    <mergeCell ref="P32:Q32"/>
    <mergeCell ref="T29:T30"/>
    <mergeCell ref="U29:U30"/>
    <mergeCell ref="V29:V30"/>
    <mergeCell ref="W29:W30"/>
    <mergeCell ref="B31:I31"/>
    <mergeCell ref="J31:K31"/>
    <mergeCell ref="L31:M31"/>
    <mergeCell ref="N31:O31"/>
    <mergeCell ref="P31:Q31"/>
    <mergeCell ref="B30:I30"/>
    <mergeCell ref="J30:Q30"/>
    <mergeCell ref="B28:I28"/>
    <mergeCell ref="J28:K28"/>
    <mergeCell ref="L28:M28"/>
    <mergeCell ref="N28:O28"/>
    <mergeCell ref="P28:Q28"/>
    <mergeCell ref="B29:I29"/>
    <mergeCell ref="J29:Q29"/>
    <mergeCell ref="P25:Q25"/>
    <mergeCell ref="B26:I26"/>
    <mergeCell ref="J26:Q26"/>
    <mergeCell ref="B27:I27"/>
    <mergeCell ref="J27:K27"/>
    <mergeCell ref="L27:M27"/>
    <mergeCell ref="N27:O27"/>
    <mergeCell ref="P27:Q27"/>
    <mergeCell ref="B24:I24"/>
    <mergeCell ref="J24:K24"/>
    <mergeCell ref="L24:M24"/>
    <mergeCell ref="N24:O24"/>
    <mergeCell ref="P24:Q24"/>
    <mergeCell ref="T24:W26"/>
    <mergeCell ref="B25:I25"/>
    <mergeCell ref="J25:K25"/>
    <mergeCell ref="L25:M25"/>
    <mergeCell ref="N25:O25"/>
    <mergeCell ref="B22:I22"/>
    <mergeCell ref="J22:K22"/>
    <mergeCell ref="L22:M22"/>
    <mergeCell ref="N22:O22"/>
    <mergeCell ref="P22:Q22"/>
    <mergeCell ref="B23:I23"/>
    <mergeCell ref="J23:K23"/>
    <mergeCell ref="L23:M23"/>
    <mergeCell ref="N23:O23"/>
    <mergeCell ref="P23:Q23"/>
    <mergeCell ref="B20:I20"/>
    <mergeCell ref="J20:Q20"/>
    <mergeCell ref="T20:T21"/>
    <mergeCell ref="V20:V21"/>
    <mergeCell ref="W20:W21"/>
    <mergeCell ref="B21:I21"/>
    <mergeCell ref="J21:K21"/>
    <mergeCell ref="L21:M21"/>
    <mergeCell ref="N21:O21"/>
    <mergeCell ref="P21:Q21"/>
    <mergeCell ref="V18:V19"/>
    <mergeCell ref="W18:W19"/>
    <mergeCell ref="B19:I19"/>
    <mergeCell ref="J19:K19"/>
    <mergeCell ref="L19:M19"/>
    <mergeCell ref="N19:O19"/>
    <mergeCell ref="P19:Q19"/>
    <mergeCell ref="B18:I18"/>
    <mergeCell ref="J18:K18"/>
    <mergeCell ref="L18:M18"/>
    <mergeCell ref="N18:O18"/>
    <mergeCell ref="P18:Q18"/>
    <mergeCell ref="T18:T19"/>
    <mergeCell ref="V16:V17"/>
    <mergeCell ref="W16:W17"/>
    <mergeCell ref="B17:I17"/>
    <mergeCell ref="J17:K17"/>
    <mergeCell ref="L17:M17"/>
    <mergeCell ref="N17:O17"/>
    <mergeCell ref="P17:Q17"/>
    <mergeCell ref="B15:I15"/>
    <mergeCell ref="J15:Q15"/>
    <mergeCell ref="T15:U15"/>
    <mergeCell ref="B16:I16"/>
    <mergeCell ref="J16:K16"/>
    <mergeCell ref="L16:M16"/>
    <mergeCell ref="N16:O16"/>
    <mergeCell ref="P16:Q16"/>
    <mergeCell ref="T16:T17"/>
    <mergeCell ref="E11:H11"/>
    <mergeCell ref="T11:X13"/>
    <mergeCell ref="B13:I14"/>
    <mergeCell ref="J13:Q13"/>
    <mergeCell ref="J14:K14"/>
    <mergeCell ref="L14:M14"/>
    <mergeCell ref="N14:O14"/>
    <mergeCell ref="P14:Q14"/>
    <mergeCell ref="B4:Q5"/>
    <mergeCell ref="E8:H8"/>
    <mergeCell ref="N8:Q8"/>
    <mergeCell ref="E9:H9"/>
    <mergeCell ref="N9:Q9"/>
    <mergeCell ref="E10:H10"/>
    <mergeCell ref="N10:Q10"/>
  </mergeCells>
  <dataValidations count="4">
    <dataValidation type="list" allowBlank="1" showInputMessage="1" showErrorMessage="1" sqref="WVV983050:WVY983050 JJ9:JM9 TF9:TI9 ADB9:ADE9 AMX9:ANA9 AWT9:AWW9 BGP9:BGS9 BQL9:BQO9 CAH9:CAK9 CKD9:CKG9 CTZ9:CUC9 DDV9:DDY9 DNR9:DNU9 DXN9:DXQ9 EHJ9:EHM9 ERF9:ERI9 FBB9:FBE9 FKX9:FLA9 FUT9:FUW9 GEP9:GES9 GOL9:GOO9 GYH9:GYK9 HID9:HIG9 HRZ9:HSC9 IBV9:IBY9 ILR9:ILU9 IVN9:IVQ9 JFJ9:JFM9 JPF9:JPI9 JZB9:JZE9 KIX9:KJA9 KST9:KSW9 LCP9:LCS9 LML9:LMO9 LWH9:LWK9 MGD9:MGG9 MPZ9:MQC9 MZV9:MZY9 NJR9:NJU9 NTN9:NTQ9 ODJ9:ODM9 ONF9:ONI9 OXB9:OXE9 PGX9:PHA9 PQT9:PQW9 QAP9:QAS9 QKL9:QKO9 QUH9:QUK9 RED9:REG9 RNZ9:ROC9 RXV9:RXY9 SHR9:SHU9 SRN9:SRQ9 TBJ9:TBM9 TLF9:TLI9 TVB9:TVE9 UEX9:UFA9 UOT9:UOW9 UYP9:UYS9 VIL9:VIO9 VSH9:VSK9 WCD9:WCG9 WLZ9:WMC9 WVV9:WVY9 N65546:Q65546 JJ65546:JM65546 TF65546:TI65546 ADB65546:ADE65546 AMX65546:ANA65546 AWT65546:AWW65546 BGP65546:BGS65546 BQL65546:BQO65546 CAH65546:CAK65546 CKD65546:CKG65546 CTZ65546:CUC65546 DDV65546:DDY65546 DNR65546:DNU65546 DXN65546:DXQ65546 EHJ65546:EHM65546 ERF65546:ERI65546 FBB65546:FBE65546 FKX65546:FLA65546 FUT65546:FUW65546 GEP65546:GES65546 GOL65546:GOO65546 GYH65546:GYK65546 HID65546:HIG65546 HRZ65546:HSC65546 IBV65546:IBY65546 ILR65546:ILU65546 IVN65546:IVQ65546 JFJ65546:JFM65546 JPF65546:JPI65546 JZB65546:JZE65546 KIX65546:KJA65546 KST65546:KSW65546 LCP65546:LCS65546 LML65546:LMO65546 LWH65546:LWK65546 MGD65546:MGG65546 MPZ65546:MQC65546 MZV65546:MZY65546 NJR65546:NJU65546 NTN65546:NTQ65546 ODJ65546:ODM65546 ONF65546:ONI65546 OXB65546:OXE65546 PGX65546:PHA65546 PQT65546:PQW65546 QAP65546:QAS65546 QKL65546:QKO65546 QUH65546:QUK65546 RED65546:REG65546 RNZ65546:ROC65546 RXV65546:RXY65546 SHR65546:SHU65546 SRN65546:SRQ65546 TBJ65546:TBM65546 TLF65546:TLI65546 TVB65546:TVE65546 UEX65546:UFA65546 UOT65546:UOW65546 UYP65546:UYS65546 VIL65546:VIO65546 VSH65546:VSK65546 WCD65546:WCG65546 WLZ65546:WMC65546 WVV65546:WVY65546 N131082:Q131082 JJ131082:JM131082 TF131082:TI131082 ADB131082:ADE131082 AMX131082:ANA131082 AWT131082:AWW131082 BGP131082:BGS131082 BQL131082:BQO131082 CAH131082:CAK131082 CKD131082:CKG131082 CTZ131082:CUC131082 DDV131082:DDY131082 DNR131082:DNU131082 DXN131082:DXQ131082 EHJ131082:EHM131082 ERF131082:ERI131082 FBB131082:FBE131082 FKX131082:FLA131082 FUT131082:FUW131082 GEP131082:GES131082 GOL131082:GOO131082 GYH131082:GYK131082 HID131082:HIG131082 HRZ131082:HSC131082 IBV131082:IBY131082 ILR131082:ILU131082 IVN131082:IVQ131082 JFJ131082:JFM131082 JPF131082:JPI131082 JZB131082:JZE131082 KIX131082:KJA131082 KST131082:KSW131082 LCP131082:LCS131082 LML131082:LMO131082 LWH131082:LWK131082 MGD131082:MGG131082 MPZ131082:MQC131082 MZV131082:MZY131082 NJR131082:NJU131082 NTN131082:NTQ131082 ODJ131082:ODM131082 ONF131082:ONI131082 OXB131082:OXE131082 PGX131082:PHA131082 PQT131082:PQW131082 QAP131082:QAS131082 QKL131082:QKO131082 QUH131082:QUK131082 RED131082:REG131082 RNZ131082:ROC131082 RXV131082:RXY131082 SHR131082:SHU131082 SRN131082:SRQ131082 TBJ131082:TBM131082 TLF131082:TLI131082 TVB131082:TVE131082 UEX131082:UFA131082 UOT131082:UOW131082 UYP131082:UYS131082 VIL131082:VIO131082 VSH131082:VSK131082 WCD131082:WCG131082 WLZ131082:WMC131082 WVV131082:WVY131082 N196618:Q196618 JJ196618:JM196618 TF196618:TI196618 ADB196618:ADE196618 AMX196618:ANA196618 AWT196618:AWW196618 BGP196618:BGS196618 BQL196618:BQO196618 CAH196618:CAK196618 CKD196618:CKG196618 CTZ196618:CUC196618 DDV196618:DDY196618 DNR196618:DNU196618 DXN196618:DXQ196618 EHJ196618:EHM196618 ERF196618:ERI196618 FBB196618:FBE196618 FKX196618:FLA196618 FUT196618:FUW196618 GEP196618:GES196618 GOL196618:GOO196618 GYH196618:GYK196618 HID196618:HIG196618 HRZ196618:HSC196618 IBV196618:IBY196618 ILR196618:ILU196618 IVN196618:IVQ196618 JFJ196618:JFM196618 JPF196618:JPI196618 JZB196618:JZE196618 KIX196618:KJA196618 KST196618:KSW196618 LCP196618:LCS196618 LML196618:LMO196618 LWH196618:LWK196618 MGD196618:MGG196618 MPZ196618:MQC196618 MZV196618:MZY196618 NJR196618:NJU196618 NTN196618:NTQ196618 ODJ196618:ODM196618 ONF196618:ONI196618 OXB196618:OXE196618 PGX196618:PHA196618 PQT196618:PQW196618 QAP196618:QAS196618 QKL196618:QKO196618 QUH196618:QUK196618 RED196618:REG196618 RNZ196618:ROC196618 RXV196618:RXY196618 SHR196618:SHU196618 SRN196618:SRQ196618 TBJ196618:TBM196618 TLF196618:TLI196618 TVB196618:TVE196618 UEX196618:UFA196618 UOT196618:UOW196618 UYP196618:UYS196618 VIL196618:VIO196618 VSH196618:VSK196618 WCD196618:WCG196618 WLZ196618:WMC196618 WVV196618:WVY196618 N262154:Q262154 JJ262154:JM262154 TF262154:TI262154 ADB262154:ADE262154 AMX262154:ANA262154 AWT262154:AWW262154 BGP262154:BGS262154 BQL262154:BQO262154 CAH262154:CAK262154 CKD262154:CKG262154 CTZ262154:CUC262154 DDV262154:DDY262154 DNR262154:DNU262154 DXN262154:DXQ262154 EHJ262154:EHM262154 ERF262154:ERI262154 FBB262154:FBE262154 FKX262154:FLA262154 FUT262154:FUW262154 GEP262154:GES262154 GOL262154:GOO262154 GYH262154:GYK262154 HID262154:HIG262154 HRZ262154:HSC262154 IBV262154:IBY262154 ILR262154:ILU262154 IVN262154:IVQ262154 JFJ262154:JFM262154 JPF262154:JPI262154 JZB262154:JZE262154 KIX262154:KJA262154 KST262154:KSW262154 LCP262154:LCS262154 LML262154:LMO262154 LWH262154:LWK262154 MGD262154:MGG262154 MPZ262154:MQC262154 MZV262154:MZY262154 NJR262154:NJU262154 NTN262154:NTQ262154 ODJ262154:ODM262154 ONF262154:ONI262154 OXB262154:OXE262154 PGX262154:PHA262154 PQT262154:PQW262154 QAP262154:QAS262154 QKL262154:QKO262154 QUH262154:QUK262154 RED262154:REG262154 RNZ262154:ROC262154 RXV262154:RXY262154 SHR262154:SHU262154 SRN262154:SRQ262154 TBJ262154:TBM262154 TLF262154:TLI262154 TVB262154:TVE262154 UEX262154:UFA262154 UOT262154:UOW262154 UYP262154:UYS262154 VIL262154:VIO262154 VSH262154:VSK262154 WCD262154:WCG262154 WLZ262154:WMC262154 WVV262154:WVY262154 N327690:Q327690 JJ327690:JM327690 TF327690:TI327690 ADB327690:ADE327690 AMX327690:ANA327690 AWT327690:AWW327690 BGP327690:BGS327690 BQL327690:BQO327690 CAH327690:CAK327690 CKD327690:CKG327690 CTZ327690:CUC327690 DDV327690:DDY327690 DNR327690:DNU327690 DXN327690:DXQ327690 EHJ327690:EHM327690 ERF327690:ERI327690 FBB327690:FBE327690 FKX327690:FLA327690 FUT327690:FUW327690 GEP327690:GES327690 GOL327690:GOO327690 GYH327690:GYK327690 HID327690:HIG327690 HRZ327690:HSC327690 IBV327690:IBY327690 ILR327690:ILU327690 IVN327690:IVQ327690 JFJ327690:JFM327690 JPF327690:JPI327690 JZB327690:JZE327690 KIX327690:KJA327690 KST327690:KSW327690 LCP327690:LCS327690 LML327690:LMO327690 LWH327690:LWK327690 MGD327690:MGG327690 MPZ327690:MQC327690 MZV327690:MZY327690 NJR327690:NJU327690 NTN327690:NTQ327690 ODJ327690:ODM327690 ONF327690:ONI327690 OXB327690:OXE327690 PGX327690:PHA327690 PQT327690:PQW327690 QAP327690:QAS327690 QKL327690:QKO327690 QUH327690:QUK327690 RED327690:REG327690 RNZ327690:ROC327690 RXV327690:RXY327690 SHR327690:SHU327690 SRN327690:SRQ327690 TBJ327690:TBM327690 TLF327690:TLI327690 TVB327690:TVE327690 UEX327690:UFA327690 UOT327690:UOW327690 UYP327690:UYS327690 VIL327690:VIO327690 VSH327690:VSK327690 WCD327690:WCG327690 WLZ327690:WMC327690 WVV327690:WVY327690 N393226:Q393226 JJ393226:JM393226 TF393226:TI393226 ADB393226:ADE393226 AMX393226:ANA393226 AWT393226:AWW393226 BGP393226:BGS393226 BQL393226:BQO393226 CAH393226:CAK393226 CKD393226:CKG393226 CTZ393226:CUC393226 DDV393226:DDY393226 DNR393226:DNU393226 DXN393226:DXQ393226 EHJ393226:EHM393226 ERF393226:ERI393226 FBB393226:FBE393226 FKX393226:FLA393226 FUT393226:FUW393226 GEP393226:GES393226 GOL393226:GOO393226 GYH393226:GYK393226 HID393226:HIG393226 HRZ393226:HSC393226 IBV393226:IBY393226 ILR393226:ILU393226 IVN393226:IVQ393226 JFJ393226:JFM393226 JPF393226:JPI393226 JZB393226:JZE393226 KIX393226:KJA393226 KST393226:KSW393226 LCP393226:LCS393226 LML393226:LMO393226 LWH393226:LWK393226 MGD393226:MGG393226 MPZ393226:MQC393226 MZV393226:MZY393226 NJR393226:NJU393226 NTN393226:NTQ393226 ODJ393226:ODM393226 ONF393226:ONI393226 OXB393226:OXE393226 PGX393226:PHA393226 PQT393226:PQW393226 QAP393226:QAS393226 QKL393226:QKO393226 QUH393226:QUK393226 RED393226:REG393226 RNZ393226:ROC393226 RXV393226:RXY393226 SHR393226:SHU393226 SRN393226:SRQ393226 TBJ393226:TBM393226 TLF393226:TLI393226 TVB393226:TVE393226 UEX393226:UFA393226 UOT393226:UOW393226 UYP393226:UYS393226 VIL393226:VIO393226 VSH393226:VSK393226 WCD393226:WCG393226 WLZ393226:WMC393226 WVV393226:WVY393226 N458762:Q458762 JJ458762:JM458762 TF458762:TI458762 ADB458762:ADE458762 AMX458762:ANA458762 AWT458762:AWW458762 BGP458762:BGS458762 BQL458762:BQO458762 CAH458762:CAK458762 CKD458762:CKG458762 CTZ458762:CUC458762 DDV458762:DDY458762 DNR458762:DNU458762 DXN458762:DXQ458762 EHJ458762:EHM458762 ERF458762:ERI458762 FBB458762:FBE458762 FKX458762:FLA458762 FUT458762:FUW458762 GEP458762:GES458762 GOL458762:GOO458762 GYH458762:GYK458762 HID458762:HIG458762 HRZ458762:HSC458762 IBV458762:IBY458762 ILR458762:ILU458762 IVN458762:IVQ458762 JFJ458762:JFM458762 JPF458762:JPI458762 JZB458762:JZE458762 KIX458762:KJA458762 KST458762:KSW458762 LCP458762:LCS458762 LML458762:LMO458762 LWH458762:LWK458762 MGD458762:MGG458762 MPZ458762:MQC458762 MZV458762:MZY458762 NJR458762:NJU458762 NTN458762:NTQ458762 ODJ458762:ODM458762 ONF458762:ONI458762 OXB458762:OXE458762 PGX458762:PHA458762 PQT458762:PQW458762 QAP458762:QAS458762 QKL458762:QKO458762 QUH458762:QUK458762 RED458762:REG458762 RNZ458762:ROC458762 RXV458762:RXY458762 SHR458762:SHU458762 SRN458762:SRQ458762 TBJ458762:TBM458762 TLF458762:TLI458762 TVB458762:TVE458762 UEX458762:UFA458762 UOT458762:UOW458762 UYP458762:UYS458762 VIL458762:VIO458762 VSH458762:VSK458762 WCD458762:WCG458762 WLZ458762:WMC458762 WVV458762:WVY458762 N524298:Q524298 JJ524298:JM524298 TF524298:TI524298 ADB524298:ADE524298 AMX524298:ANA524298 AWT524298:AWW524298 BGP524298:BGS524298 BQL524298:BQO524298 CAH524298:CAK524298 CKD524298:CKG524298 CTZ524298:CUC524298 DDV524298:DDY524298 DNR524298:DNU524298 DXN524298:DXQ524298 EHJ524298:EHM524298 ERF524298:ERI524298 FBB524298:FBE524298 FKX524298:FLA524298 FUT524298:FUW524298 GEP524298:GES524298 GOL524298:GOO524298 GYH524298:GYK524298 HID524298:HIG524298 HRZ524298:HSC524298 IBV524298:IBY524298 ILR524298:ILU524298 IVN524298:IVQ524298 JFJ524298:JFM524298 JPF524298:JPI524298 JZB524298:JZE524298 KIX524298:KJA524298 KST524298:KSW524298 LCP524298:LCS524298 LML524298:LMO524298 LWH524298:LWK524298 MGD524298:MGG524298 MPZ524298:MQC524298 MZV524298:MZY524298 NJR524298:NJU524298 NTN524298:NTQ524298 ODJ524298:ODM524298 ONF524298:ONI524298 OXB524298:OXE524298 PGX524298:PHA524298 PQT524298:PQW524298 QAP524298:QAS524298 QKL524298:QKO524298 QUH524298:QUK524298 RED524298:REG524298 RNZ524298:ROC524298 RXV524298:RXY524298 SHR524298:SHU524298 SRN524298:SRQ524298 TBJ524298:TBM524298 TLF524298:TLI524298 TVB524298:TVE524298 UEX524298:UFA524298 UOT524298:UOW524298 UYP524298:UYS524298 VIL524298:VIO524298 VSH524298:VSK524298 WCD524298:WCG524298 WLZ524298:WMC524298 WVV524298:WVY524298 N589834:Q589834 JJ589834:JM589834 TF589834:TI589834 ADB589834:ADE589834 AMX589834:ANA589834 AWT589834:AWW589834 BGP589834:BGS589834 BQL589834:BQO589834 CAH589834:CAK589834 CKD589834:CKG589834 CTZ589834:CUC589834 DDV589834:DDY589834 DNR589834:DNU589834 DXN589834:DXQ589834 EHJ589834:EHM589834 ERF589834:ERI589834 FBB589834:FBE589834 FKX589834:FLA589834 FUT589834:FUW589834 GEP589834:GES589834 GOL589834:GOO589834 GYH589834:GYK589834 HID589834:HIG589834 HRZ589834:HSC589834 IBV589834:IBY589834 ILR589834:ILU589834 IVN589834:IVQ589834 JFJ589834:JFM589834 JPF589834:JPI589834 JZB589834:JZE589834 KIX589834:KJA589834 KST589834:KSW589834 LCP589834:LCS589834 LML589834:LMO589834 LWH589834:LWK589834 MGD589834:MGG589834 MPZ589834:MQC589834 MZV589834:MZY589834 NJR589834:NJU589834 NTN589834:NTQ589834 ODJ589834:ODM589834 ONF589834:ONI589834 OXB589834:OXE589834 PGX589834:PHA589834 PQT589834:PQW589834 QAP589834:QAS589834 QKL589834:QKO589834 QUH589834:QUK589834 RED589834:REG589834 RNZ589834:ROC589834 RXV589834:RXY589834 SHR589834:SHU589834 SRN589834:SRQ589834 TBJ589834:TBM589834 TLF589834:TLI589834 TVB589834:TVE589834 UEX589834:UFA589834 UOT589834:UOW589834 UYP589834:UYS589834 VIL589834:VIO589834 VSH589834:VSK589834 WCD589834:WCG589834 WLZ589834:WMC589834 WVV589834:WVY589834 N655370:Q655370 JJ655370:JM655370 TF655370:TI655370 ADB655370:ADE655370 AMX655370:ANA655370 AWT655370:AWW655370 BGP655370:BGS655370 BQL655370:BQO655370 CAH655370:CAK655370 CKD655370:CKG655370 CTZ655370:CUC655370 DDV655370:DDY655370 DNR655370:DNU655370 DXN655370:DXQ655370 EHJ655370:EHM655370 ERF655370:ERI655370 FBB655370:FBE655370 FKX655370:FLA655370 FUT655370:FUW655370 GEP655370:GES655370 GOL655370:GOO655370 GYH655370:GYK655370 HID655370:HIG655370 HRZ655370:HSC655370 IBV655370:IBY655370 ILR655370:ILU655370 IVN655370:IVQ655370 JFJ655370:JFM655370 JPF655370:JPI655370 JZB655370:JZE655370 KIX655370:KJA655370 KST655370:KSW655370 LCP655370:LCS655370 LML655370:LMO655370 LWH655370:LWK655370 MGD655370:MGG655370 MPZ655370:MQC655370 MZV655370:MZY655370 NJR655370:NJU655370 NTN655370:NTQ655370 ODJ655370:ODM655370 ONF655370:ONI655370 OXB655370:OXE655370 PGX655370:PHA655370 PQT655370:PQW655370 QAP655370:QAS655370 QKL655370:QKO655370 QUH655370:QUK655370 RED655370:REG655370 RNZ655370:ROC655370 RXV655370:RXY655370 SHR655370:SHU655370 SRN655370:SRQ655370 TBJ655370:TBM655370 TLF655370:TLI655370 TVB655370:TVE655370 UEX655370:UFA655370 UOT655370:UOW655370 UYP655370:UYS655370 VIL655370:VIO655370 VSH655370:VSK655370 WCD655370:WCG655370 WLZ655370:WMC655370 WVV655370:WVY655370 N720906:Q720906 JJ720906:JM720906 TF720906:TI720906 ADB720906:ADE720906 AMX720906:ANA720906 AWT720906:AWW720906 BGP720906:BGS720906 BQL720906:BQO720906 CAH720906:CAK720906 CKD720906:CKG720906 CTZ720906:CUC720906 DDV720906:DDY720906 DNR720906:DNU720906 DXN720906:DXQ720906 EHJ720906:EHM720906 ERF720906:ERI720906 FBB720906:FBE720906 FKX720906:FLA720906 FUT720906:FUW720906 GEP720906:GES720906 GOL720906:GOO720906 GYH720906:GYK720906 HID720906:HIG720906 HRZ720906:HSC720906 IBV720906:IBY720906 ILR720906:ILU720906 IVN720906:IVQ720906 JFJ720906:JFM720906 JPF720906:JPI720906 JZB720906:JZE720906 KIX720906:KJA720906 KST720906:KSW720906 LCP720906:LCS720906 LML720906:LMO720906 LWH720906:LWK720906 MGD720906:MGG720906 MPZ720906:MQC720906 MZV720906:MZY720906 NJR720906:NJU720906 NTN720906:NTQ720906 ODJ720906:ODM720906 ONF720906:ONI720906 OXB720906:OXE720906 PGX720906:PHA720906 PQT720906:PQW720906 QAP720906:QAS720906 QKL720906:QKO720906 QUH720906:QUK720906 RED720906:REG720906 RNZ720906:ROC720906 RXV720906:RXY720906 SHR720906:SHU720906 SRN720906:SRQ720906 TBJ720906:TBM720906 TLF720906:TLI720906 TVB720906:TVE720906 UEX720906:UFA720906 UOT720906:UOW720906 UYP720906:UYS720906 VIL720906:VIO720906 VSH720906:VSK720906 WCD720906:WCG720906 WLZ720906:WMC720906 WVV720906:WVY720906 N786442:Q786442 JJ786442:JM786442 TF786442:TI786442 ADB786442:ADE786442 AMX786442:ANA786442 AWT786442:AWW786442 BGP786442:BGS786442 BQL786442:BQO786442 CAH786442:CAK786442 CKD786442:CKG786442 CTZ786442:CUC786442 DDV786442:DDY786442 DNR786442:DNU786442 DXN786442:DXQ786442 EHJ786442:EHM786442 ERF786442:ERI786442 FBB786442:FBE786442 FKX786442:FLA786442 FUT786442:FUW786442 GEP786442:GES786442 GOL786442:GOO786442 GYH786442:GYK786442 HID786442:HIG786442 HRZ786442:HSC786442 IBV786442:IBY786442 ILR786442:ILU786442 IVN786442:IVQ786442 JFJ786442:JFM786442 JPF786442:JPI786442 JZB786442:JZE786442 KIX786442:KJA786442 KST786442:KSW786442 LCP786442:LCS786442 LML786442:LMO786442 LWH786442:LWK786442 MGD786442:MGG786442 MPZ786442:MQC786442 MZV786442:MZY786442 NJR786442:NJU786442 NTN786442:NTQ786442 ODJ786442:ODM786442 ONF786442:ONI786442 OXB786442:OXE786442 PGX786442:PHA786442 PQT786442:PQW786442 QAP786442:QAS786442 QKL786442:QKO786442 QUH786442:QUK786442 RED786442:REG786442 RNZ786442:ROC786442 RXV786442:RXY786442 SHR786442:SHU786442 SRN786442:SRQ786442 TBJ786442:TBM786442 TLF786442:TLI786442 TVB786442:TVE786442 UEX786442:UFA786442 UOT786442:UOW786442 UYP786442:UYS786442 VIL786442:VIO786442 VSH786442:VSK786442 WCD786442:WCG786442 WLZ786442:WMC786442 WVV786442:WVY786442 N851978:Q851978 JJ851978:JM851978 TF851978:TI851978 ADB851978:ADE851978 AMX851978:ANA851978 AWT851978:AWW851978 BGP851978:BGS851978 BQL851978:BQO851978 CAH851978:CAK851978 CKD851978:CKG851978 CTZ851978:CUC851978 DDV851978:DDY851978 DNR851978:DNU851978 DXN851978:DXQ851978 EHJ851978:EHM851978 ERF851978:ERI851978 FBB851978:FBE851978 FKX851978:FLA851978 FUT851978:FUW851978 GEP851978:GES851978 GOL851978:GOO851978 GYH851978:GYK851978 HID851978:HIG851978 HRZ851978:HSC851978 IBV851978:IBY851978 ILR851978:ILU851978 IVN851978:IVQ851978 JFJ851978:JFM851978 JPF851978:JPI851978 JZB851978:JZE851978 KIX851978:KJA851978 KST851978:KSW851978 LCP851978:LCS851978 LML851978:LMO851978 LWH851978:LWK851978 MGD851978:MGG851978 MPZ851978:MQC851978 MZV851978:MZY851978 NJR851978:NJU851978 NTN851978:NTQ851978 ODJ851978:ODM851978 ONF851978:ONI851978 OXB851978:OXE851978 PGX851978:PHA851978 PQT851978:PQW851978 QAP851978:QAS851978 QKL851978:QKO851978 QUH851978:QUK851978 RED851978:REG851978 RNZ851978:ROC851978 RXV851978:RXY851978 SHR851978:SHU851978 SRN851978:SRQ851978 TBJ851978:TBM851978 TLF851978:TLI851978 TVB851978:TVE851978 UEX851978:UFA851978 UOT851978:UOW851978 UYP851978:UYS851978 VIL851978:VIO851978 VSH851978:VSK851978 WCD851978:WCG851978 WLZ851978:WMC851978 WVV851978:WVY851978 N917514:Q917514 JJ917514:JM917514 TF917514:TI917514 ADB917514:ADE917514 AMX917514:ANA917514 AWT917514:AWW917514 BGP917514:BGS917514 BQL917514:BQO917514 CAH917514:CAK917514 CKD917514:CKG917514 CTZ917514:CUC917514 DDV917514:DDY917514 DNR917514:DNU917514 DXN917514:DXQ917514 EHJ917514:EHM917514 ERF917514:ERI917514 FBB917514:FBE917514 FKX917514:FLA917514 FUT917514:FUW917514 GEP917514:GES917514 GOL917514:GOO917514 GYH917514:GYK917514 HID917514:HIG917514 HRZ917514:HSC917514 IBV917514:IBY917514 ILR917514:ILU917514 IVN917514:IVQ917514 JFJ917514:JFM917514 JPF917514:JPI917514 JZB917514:JZE917514 KIX917514:KJA917514 KST917514:KSW917514 LCP917514:LCS917514 LML917514:LMO917514 LWH917514:LWK917514 MGD917514:MGG917514 MPZ917514:MQC917514 MZV917514:MZY917514 NJR917514:NJU917514 NTN917514:NTQ917514 ODJ917514:ODM917514 ONF917514:ONI917514 OXB917514:OXE917514 PGX917514:PHA917514 PQT917514:PQW917514 QAP917514:QAS917514 QKL917514:QKO917514 QUH917514:QUK917514 RED917514:REG917514 RNZ917514:ROC917514 RXV917514:RXY917514 SHR917514:SHU917514 SRN917514:SRQ917514 TBJ917514:TBM917514 TLF917514:TLI917514 TVB917514:TVE917514 UEX917514:UFA917514 UOT917514:UOW917514 UYP917514:UYS917514 VIL917514:VIO917514 VSH917514:VSK917514 WCD917514:WCG917514 WLZ917514:WMC917514 WVV917514:WVY917514 N983050:Q983050 JJ983050:JM983050 TF983050:TI983050 ADB983050:ADE983050 AMX983050:ANA983050 AWT983050:AWW983050 BGP983050:BGS983050 BQL983050:BQO983050 CAH983050:CAK983050 CKD983050:CKG983050 CTZ983050:CUC983050 DDV983050:DDY983050 DNR983050:DNU983050 DXN983050:DXQ983050 EHJ983050:EHM983050 ERF983050:ERI983050 FBB983050:FBE983050 FKX983050:FLA983050 FUT983050:FUW983050 GEP983050:GES983050 GOL983050:GOO983050 GYH983050:GYK983050 HID983050:HIG983050 HRZ983050:HSC983050 IBV983050:IBY983050 ILR983050:ILU983050 IVN983050:IVQ983050 JFJ983050:JFM983050 JPF983050:JPI983050 JZB983050:JZE983050 KIX983050:KJA983050 KST983050:KSW983050 LCP983050:LCS983050 LML983050:LMO983050 LWH983050:LWK983050 MGD983050:MGG983050 MPZ983050:MQC983050 MZV983050:MZY983050 NJR983050:NJU983050 NTN983050:NTQ983050 ODJ983050:ODM983050 ONF983050:ONI983050 OXB983050:OXE983050 PGX983050:PHA983050 PQT983050:PQW983050 QAP983050:QAS983050 QKL983050:QKO983050 QUH983050:QUK983050 RED983050:REG983050 RNZ983050:ROC983050 RXV983050:RXY983050 SHR983050:SHU983050 SRN983050:SRQ983050 TBJ983050:TBM983050 TLF983050:TLI983050 TVB983050:TVE983050 UEX983050:UFA983050 UOT983050:UOW983050 UYP983050:UYS983050 VIL983050:VIO983050 VSH983050:VSK983050 WCD983050:WCG983050 WLZ983050:WMC983050" xr:uid="{302FBB7A-1F48-4350-97A2-160EA07C3504}">
      <formula1>$N$52:$N$56</formula1>
    </dataValidation>
    <dataValidation type="list" allowBlank="1" showErrorMessage="1" errorTitle="The Category is incorrect" error="Please click the arrow and select your category" prompt="Choose your movement category by clicking the arrow and selecting your category" sqref="E8:H8 JA8:JD8 SW8:SZ8 ACS8:ACV8 AMO8:AMR8 AWK8:AWN8 BGG8:BGJ8 BQC8:BQF8 BZY8:CAB8 CJU8:CJX8 CTQ8:CTT8 DDM8:DDP8 DNI8:DNL8 DXE8:DXH8 EHA8:EHD8 EQW8:EQZ8 FAS8:FAV8 FKO8:FKR8 FUK8:FUN8 GEG8:GEJ8 GOC8:GOF8 GXY8:GYB8 HHU8:HHX8 HRQ8:HRT8 IBM8:IBP8 ILI8:ILL8 IVE8:IVH8 JFA8:JFD8 JOW8:JOZ8 JYS8:JYV8 KIO8:KIR8 KSK8:KSN8 LCG8:LCJ8 LMC8:LMF8 LVY8:LWB8 MFU8:MFX8 MPQ8:MPT8 MZM8:MZP8 NJI8:NJL8 NTE8:NTH8 ODA8:ODD8 OMW8:OMZ8 OWS8:OWV8 PGO8:PGR8 PQK8:PQN8 QAG8:QAJ8 QKC8:QKF8 QTY8:QUB8 RDU8:RDX8 RNQ8:RNT8 RXM8:RXP8 SHI8:SHL8 SRE8:SRH8 TBA8:TBD8 TKW8:TKZ8 TUS8:TUV8 UEO8:UER8 UOK8:UON8 UYG8:UYJ8 VIC8:VIF8 VRY8:VSB8 WBU8:WBX8 WLQ8:WLT8 WVM8:WVP8 E65545:H65545 JA65545:JD65545 SW65545:SZ65545 ACS65545:ACV65545 AMO65545:AMR65545 AWK65545:AWN65545 BGG65545:BGJ65545 BQC65545:BQF65545 BZY65545:CAB65545 CJU65545:CJX65545 CTQ65545:CTT65545 DDM65545:DDP65545 DNI65545:DNL65545 DXE65545:DXH65545 EHA65545:EHD65545 EQW65545:EQZ65545 FAS65545:FAV65545 FKO65545:FKR65545 FUK65545:FUN65545 GEG65545:GEJ65545 GOC65545:GOF65545 GXY65545:GYB65545 HHU65545:HHX65545 HRQ65545:HRT65545 IBM65545:IBP65545 ILI65545:ILL65545 IVE65545:IVH65545 JFA65545:JFD65545 JOW65545:JOZ65545 JYS65545:JYV65545 KIO65545:KIR65545 KSK65545:KSN65545 LCG65545:LCJ65545 LMC65545:LMF65545 LVY65545:LWB65545 MFU65545:MFX65545 MPQ65545:MPT65545 MZM65545:MZP65545 NJI65545:NJL65545 NTE65545:NTH65545 ODA65545:ODD65545 OMW65545:OMZ65545 OWS65545:OWV65545 PGO65545:PGR65545 PQK65545:PQN65545 QAG65545:QAJ65545 QKC65545:QKF65545 QTY65545:QUB65545 RDU65545:RDX65545 RNQ65545:RNT65545 RXM65545:RXP65545 SHI65545:SHL65545 SRE65545:SRH65545 TBA65545:TBD65545 TKW65545:TKZ65545 TUS65545:TUV65545 UEO65545:UER65545 UOK65545:UON65545 UYG65545:UYJ65545 VIC65545:VIF65545 VRY65545:VSB65545 WBU65545:WBX65545 WLQ65545:WLT65545 WVM65545:WVP65545 E131081:H131081 JA131081:JD131081 SW131081:SZ131081 ACS131081:ACV131081 AMO131081:AMR131081 AWK131081:AWN131081 BGG131081:BGJ131081 BQC131081:BQF131081 BZY131081:CAB131081 CJU131081:CJX131081 CTQ131081:CTT131081 DDM131081:DDP131081 DNI131081:DNL131081 DXE131081:DXH131081 EHA131081:EHD131081 EQW131081:EQZ131081 FAS131081:FAV131081 FKO131081:FKR131081 FUK131081:FUN131081 GEG131081:GEJ131081 GOC131081:GOF131081 GXY131081:GYB131081 HHU131081:HHX131081 HRQ131081:HRT131081 IBM131081:IBP131081 ILI131081:ILL131081 IVE131081:IVH131081 JFA131081:JFD131081 JOW131081:JOZ131081 JYS131081:JYV131081 KIO131081:KIR131081 KSK131081:KSN131081 LCG131081:LCJ131081 LMC131081:LMF131081 LVY131081:LWB131081 MFU131081:MFX131081 MPQ131081:MPT131081 MZM131081:MZP131081 NJI131081:NJL131081 NTE131081:NTH131081 ODA131081:ODD131081 OMW131081:OMZ131081 OWS131081:OWV131081 PGO131081:PGR131081 PQK131081:PQN131081 QAG131081:QAJ131081 QKC131081:QKF131081 QTY131081:QUB131081 RDU131081:RDX131081 RNQ131081:RNT131081 RXM131081:RXP131081 SHI131081:SHL131081 SRE131081:SRH131081 TBA131081:TBD131081 TKW131081:TKZ131081 TUS131081:TUV131081 UEO131081:UER131081 UOK131081:UON131081 UYG131081:UYJ131081 VIC131081:VIF131081 VRY131081:VSB131081 WBU131081:WBX131081 WLQ131081:WLT131081 WVM131081:WVP131081 E196617:H196617 JA196617:JD196617 SW196617:SZ196617 ACS196617:ACV196617 AMO196617:AMR196617 AWK196617:AWN196617 BGG196617:BGJ196617 BQC196617:BQF196617 BZY196617:CAB196617 CJU196617:CJX196617 CTQ196617:CTT196617 DDM196617:DDP196617 DNI196617:DNL196617 DXE196617:DXH196617 EHA196617:EHD196617 EQW196617:EQZ196617 FAS196617:FAV196617 FKO196617:FKR196617 FUK196617:FUN196617 GEG196617:GEJ196617 GOC196617:GOF196617 GXY196617:GYB196617 HHU196617:HHX196617 HRQ196617:HRT196617 IBM196617:IBP196617 ILI196617:ILL196617 IVE196617:IVH196617 JFA196617:JFD196617 JOW196617:JOZ196617 JYS196617:JYV196617 KIO196617:KIR196617 KSK196617:KSN196617 LCG196617:LCJ196617 LMC196617:LMF196617 LVY196617:LWB196617 MFU196617:MFX196617 MPQ196617:MPT196617 MZM196617:MZP196617 NJI196617:NJL196617 NTE196617:NTH196617 ODA196617:ODD196617 OMW196617:OMZ196617 OWS196617:OWV196617 PGO196617:PGR196617 PQK196617:PQN196617 QAG196617:QAJ196617 QKC196617:QKF196617 QTY196617:QUB196617 RDU196617:RDX196617 RNQ196617:RNT196617 RXM196617:RXP196617 SHI196617:SHL196617 SRE196617:SRH196617 TBA196617:TBD196617 TKW196617:TKZ196617 TUS196617:TUV196617 UEO196617:UER196617 UOK196617:UON196617 UYG196617:UYJ196617 VIC196617:VIF196617 VRY196617:VSB196617 WBU196617:WBX196617 WLQ196617:WLT196617 WVM196617:WVP196617 E262153:H262153 JA262153:JD262153 SW262153:SZ262153 ACS262153:ACV262153 AMO262153:AMR262153 AWK262153:AWN262153 BGG262153:BGJ262153 BQC262153:BQF262153 BZY262153:CAB262153 CJU262153:CJX262153 CTQ262153:CTT262153 DDM262153:DDP262153 DNI262153:DNL262153 DXE262153:DXH262153 EHA262153:EHD262153 EQW262153:EQZ262153 FAS262153:FAV262153 FKO262153:FKR262153 FUK262153:FUN262153 GEG262153:GEJ262153 GOC262153:GOF262153 GXY262153:GYB262153 HHU262153:HHX262153 HRQ262153:HRT262153 IBM262153:IBP262153 ILI262153:ILL262153 IVE262153:IVH262153 JFA262153:JFD262153 JOW262153:JOZ262153 JYS262153:JYV262153 KIO262153:KIR262153 KSK262153:KSN262153 LCG262153:LCJ262153 LMC262153:LMF262153 LVY262153:LWB262153 MFU262153:MFX262153 MPQ262153:MPT262153 MZM262153:MZP262153 NJI262153:NJL262153 NTE262153:NTH262153 ODA262153:ODD262153 OMW262153:OMZ262153 OWS262153:OWV262153 PGO262153:PGR262153 PQK262153:PQN262153 QAG262153:QAJ262153 QKC262153:QKF262153 QTY262153:QUB262153 RDU262153:RDX262153 RNQ262153:RNT262153 RXM262153:RXP262153 SHI262153:SHL262153 SRE262153:SRH262153 TBA262153:TBD262153 TKW262153:TKZ262153 TUS262153:TUV262153 UEO262153:UER262153 UOK262153:UON262153 UYG262153:UYJ262153 VIC262153:VIF262153 VRY262153:VSB262153 WBU262153:WBX262153 WLQ262153:WLT262153 WVM262153:WVP262153 E327689:H327689 JA327689:JD327689 SW327689:SZ327689 ACS327689:ACV327689 AMO327689:AMR327689 AWK327689:AWN327689 BGG327689:BGJ327689 BQC327689:BQF327689 BZY327689:CAB327689 CJU327689:CJX327689 CTQ327689:CTT327689 DDM327689:DDP327689 DNI327689:DNL327689 DXE327689:DXH327689 EHA327689:EHD327689 EQW327689:EQZ327689 FAS327689:FAV327689 FKO327689:FKR327689 FUK327689:FUN327689 GEG327689:GEJ327689 GOC327689:GOF327689 GXY327689:GYB327689 HHU327689:HHX327689 HRQ327689:HRT327689 IBM327689:IBP327689 ILI327689:ILL327689 IVE327689:IVH327689 JFA327689:JFD327689 JOW327689:JOZ327689 JYS327689:JYV327689 KIO327689:KIR327689 KSK327689:KSN327689 LCG327689:LCJ327689 LMC327689:LMF327689 LVY327689:LWB327689 MFU327689:MFX327689 MPQ327689:MPT327689 MZM327689:MZP327689 NJI327689:NJL327689 NTE327689:NTH327689 ODA327689:ODD327689 OMW327689:OMZ327689 OWS327689:OWV327689 PGO327689:PGR327689 PQK327689:PQN327689 QAG327689:QAJ327689 QKC327689:QKF327689 QTY327689:QUB327689 RDU327689:RDX327689 RNQ327689:RNT327689 RXM327689:RXP327689 SHI327689:SHL327689 SRE327689:SRH327689 TBA327689:TBD327689 TKW327689:TKZ327689 TUS327689:TUV327689 UEO327689:UER327689 UOK327689:UON327689 UYG327689:UYJ327689 VIC327689:VIF327689 VRY327689:VSB327689 WBU327689:WBX327689 WLQ327689:WLT327689 WVM327689:WVP327689 E393225:H393225 JA393225:JD393225 SW393225:SZ393225 ACS393225:ACV393225 AMO393225:AMR393225 AWK393225:AWN393225 BGG393225:BGJ393225 BQC393225:BQF393225 BZY393225:CAB393225 CJU393225:CJX393225 CTQ393225:CTT393225 DDM393225:DDP393225 DNI393225:DNL393225 DXE393225:DXH393225 EHA393225:EHD393225 EQW393225:EQZ393225 FAS393225:FAV393225 FKO393225:FKR393225 FUK393225:FUN393225 GEG393225:GEJ393225 GOC393225:GOF393225 GXY393225:GYB393225 HHU393225:HHX393225 HRQ393225:HRT393225 IBM393225:IBP393225 ILI393225:ILL393225 IVE393225:IVH393225 JFA393225:JFD393225 JOW393225:JOZ393225 JYS393225:JYV393225 KIO393225:KIR393225 KSK393225:KSN393225 LCG393225:LCJ393225 LMC393225:LMF393225 LVY393225:LWB393225 MFU393225:MFX393225 MPQ393225:MPT393225 MZM393225:MZP393225 NJI393225:NJL393225 NTE393225:NTH393225 ODA393225:ODD393225 OMW393225:OMZ393225 OWS393225:OWV393225 PGO393225:PGR393225 PQK393225:PQN393225 QAG393225:QAJ393225 QKC393225:QKF393225 QTY393225:QUB393225 RDU393225:RDX393225 RNQ393225:RNT393225 RXM393225:RXP393225 SHI393225:SHL393225 SRE393225:SRH393225 TBA393225:TBD393225 TKW393225:TKZ393225 TUS393225:TUV393225 UEO393225:UER393225 UOK393225:UON393225 UYG393225:UYJ393225 VIC393225:VIF393225 VRY393225:VSB393225 WBU393225:WBX393225 WLQ393225:WLT393225 WVM393225:WVP393225 E458761:H458761 JA458761:JD458761 SW458761:SZ458761 ACS458761:ACV458761 AMO458761:AMR458761 AWK458761:AWN458761 BGG458761:BGJ458761 BQC458761:BQF458761 BZY458761:CAB458761 CJU458761:CJX458761 CTQ458761:CTT458761 DDM458761:DDP458761 DNI458761:DNL458761 DXE458761:DXH458761 EHA458761:EHD458761 EQW458761:EQZ458761 FAS458761:FAV458761 FKO458761:FKR458761 FUK458761:FUN458761 GEG458761:GEJ458761 GOC458761:GOF458761 GXY458761:GYB458761 HHU458761:HHX458761 HRQ458761:HRT458761 IBM458761:IBP458761 ILI458761:ILL458761 IVE458761:IVH458761 JFA458761:JFD458761 JOW458761:JOZ458761 JYS458761:JYV458761 KIO458761:KIR458761 KSK458761:KSN458761 LCG458761:LCJ458761 LMC458761:LMF458761 LVY458761:LWB458761 MFU458761:MFX458761 MPQ458761:MPT458761 MZM458761:MZP458761 NJI458761:NJL458761 NTE458761:NTH458761 ODA458761:ODD458761 OMW458761:OMZ458761 OWS458761:OWV458761 PGO458761:PGR458761 PQK458761:PQN458761 QAG458761:QAJ458761 QKC458761:QKF458761 QTY458761:QUB458761 RDU458761:RDX458761 RNQ458761:RNT458761 RXM458761:RXP458761 SHI458761:SHL458761 SRE458761:SRH458761 TBA458761:TBD458761 TKW458761:TKZ458761 TUS458761:TUV458761 UEO458761:UER458761 UOK458761:UON458761 UYG458761:UYJ458761 VIC458761:VIF458761 VRY458761:VSB458761 WBU458761:WBX458761 WLQ458761:WLT458761 WVM458761:WVP458761 E524297:H524297 JA524297:JD524297 SW524297:SZ524297 ACS524297:ACV524297 AMO524297:AMR524297 AWK524297:AWN524297 BGG524297:BGJ524297 BQC524297:BQF524297 BZY524297:CAB524297 CJU524297:CJX524297 CTQ524297:CTT524297 DDM524297:DDP524297 DNI524297:DNL524297 DXE524297:DXH524297 EHA524297:EHD524297 EQW524297:EQZ524297 FAS524297:FAV524297 FKO524297:FKR524297 FUK524297:FUN524297 GEG524297:GEJ524297 GOC524297:GOF524297 GXY524297:GYB524297 HHU524297:HHX524297 HRQ524297:HRT524297 IBM524297:IBP524297 ILI524297:ILL524297 IVE524297:IVH524297 JFA524297:JFD524297 JOW524297:JOZ524297 JYS524297:JYV524297 KIO524297:KIR524297 KSK524297:KSN524297 LCG524297:LCJ524297 LMC524297:LMF524297 LVY524297:LWB524297 MFU524297:MFX524297 MPQ524297:MPT524297 MZM524297:MZP524297 NJI524297:NJL524297 NTE524297:NTH524297 ODA524297:ODD524297 OMW524297:OMZ524297 OWS524297:OWV524297 PGO524297:PGR524297 PQK524297:PQN524297 QAG524297:QAJ524297 QKC524297:QKF524297 QTY524297:QUB524297 RDU524297:RDX524297 RNQ524297:RNT524297 RXM524297:RXP524297 SHI524297:SHL524297 SRE524297:SRH524297 TBA524297:TBD524297 TKW524297:TKZ524297 TUS524297:TUV524297 UEO524297:UER524297 UOK524297:UON524297 UYG524297:UYJ524297 VIC524297:VIF524297 VRY524297:VSB524297 WBU524297:WBX524297 WLQ524297:WLT524297 WVM524297:WVP524297 E589833:H589833 JA589833:JD589833 SW589833:SZ589833 ACS589833:ACV589833 AMO589833:AMR589833 AWK589833:AWN589833 BGG589833:BGJ589833 BQC589833:BQF589833 BZY589833:CAB589833 CJU589833:CJX589833 CTQ589833:CTT589833 DDM589833:DDP589833 DNI589833:DNL589833 DXE589833:DXH589833 EHA589833:EHD589833 EQW589833:EQZ589833 FAS589833:FAV589833 FKO589833:FKR589833 FUK589833:FUN589833 GEG589833:GEJ589833 GOC589833:GOF589833 GXY589833:GYB589833 HHU589833:HHX589833 HRQ589833:HRT589833 IBM589833:IBP589833 ILI589833:ILL589833 IVE589833:IVH589833 JFA589833:JFD589833 JOW589833:JOZ589833 JYS589833:JYV589833 KIO589833:KIR589833 KSK589833:KSN589833 LCG589833:LCJ589833 LMC589833:LMF589833 LVY589833:LWB589833 MFU589833:MFX589833 MPQ589833:MPT589833 MZM589833:MZP589833 NJI589833:NJL589833 NTE589833:NTH589833 ODA589833:ODD589833 OMW589833:OMZ589833 OWS589833:OWV589833 PGO589833:PGR589833 PQK589833:PQN589833 QAG589833:QAJ589833 QKC589833:QKF589833 QTY589833:QUB589833 RDU589833:RDX589833 RNQ589833:RNT589833 RXM589833:RXP589833 SHI589833:SHL589833 SRE589833:SRH589833 TBA589833:TBD589833 TKW589833:TKZ589833 TUS589833:TUV589833 UEO589833:UER589833 UOK589833:UON589833 UYG589833:UYJ589833 VIC589833:VIF589833 VRY589833:VSB589833 WBU589833:WBX589833 WLQ589833:WLT589833 WVM589833:WVP589833 E655369:H655369 JA655369:JD655369 SW655369:SZ655369 ACS655369:ACV655369 AMO655369:AMR655369 AWK655369:AWN655369 BGG655369:BGJ655369 BQC655369:BQF655369 BZY655369:CAB655369 CJU655369:CJX655369 CTQ655369:CTT655369 DDM655369:DDP655369 DNI655369:DNL655369 DXE655369:DXH655369 EHA655369:EHD655369 EQW655369:EQZ655369 FAS655369:FAV655369 FKO655369:FKR655369 FUK655369:FUN655369 GEG655369:GEJ655369 GOC655369:GOF655369 GXY655369:GYB655369 HHU655369:HHX655369 HRQ655369:HRT655369 IBM655369:IBP655369 ILI655369:ILL655369 IVE655369:IVH655369 JFA655369:JFD655369 JOW655369:JOZ655369 JYS655369:JYV655369 KIO655369:KIR655369 KSK655369:KSN655369 LCG655369:LCJ655369 LMC655369:LMF655369 LVY655369:LWB655369 MFU655369:MFX655369 MPQ655369:MPT655369 MZM655369:MZP655369 NJI655369:NJL655369 NTE655369:NTH655369 ODA655369:ODD655369 OMW655369:OMZ655369 OWS655369:OWV655369 PGO655369:PGR655369 PQK655369:PQN655369 QAG655369:QAJ655369 QKC655369:QKF655369 QTY655369:QUB655369 RDU655369:RDX655369 RNQ655369:RNT655369 RXM655369:RXP655369 SHI655369:SHL655369 SRE655369:SRH655369 TBA655369:TBD655369 TKW655369:TKZ655369 TUS655369:TUV655369 UEO655369:UER655369 UOK655369:UON655369 UYG655369:UYJ655369 VIC655369:VIF655369 VRY655369:VSB655369 WBU655369:WBX655369 WLQ655369:WLT655369 WVM655369:WVP655369 E720905:H720905 JA720905:JD720905 SW720905:SZ720905 ACS720905:ACV720905 AMO720905:AMR720905 AWK720905:AWN720905 BGG720905:BGJ720905 BQC720905:BQF720905 BZY720905:CAB720905 CJU720905:CJX720905 CTQ720905:CTT720905 DDM720905:DDP720905 DNI720905:DNL720905 DXE720905:DXH720905 EHA720905:EHD720905 EQW720905:EQZ720905 FAS720905:FAV720905 FKO720905:FKR720905 FUK720905:FUN720905 GEG720905:GEJ720905 GOC720905:GOF720905 GXY720905:GYB720905 HHU720905:HHX720905 HRQ720905:HRT720905 IBM720905:IBP720905 ILI720905:ILL720905 IVE720905:IVH720905 JFA720905:JFD720905 JOW720905:JOZ720905 JYS720905:JYV720905 KIO720905:KIR720905 KSK720905:KSN720905 LCG720905:LCJ720905 LMC720905:LMF720905 LVY720905:LWB720905 MFU720905:MFX720905 MPQ720905:MPT720905 MZM720905:MZP720905 NJI720905:NJL720905 NTE720905:NTH720905 ODA720905:ODD720905 OMW720905:OMZ720905 OWS720905:OWV720905 PGO720905:PGR720905 PQK720905:PQN720905 QAG720905:QAJ720905 QKC720905:QKF720905 QTY720905:QUB720905 RDU720905:RDX720905 RNQ720905:RNT720905 RXM720905:RXP720905 SHI720905:SHL720905 SRE720905:SRH720905 TBA720905:TBD720905 TKW720905:TKZ720905 TUS720905:TUV720905 UEO720905:UER720905 UOK720905:UON720905 UYG720905:UYJ720905 VIC720905:VIF720905 VRY720905:VSB720905 WBU720905:WBX720905 WLQ720905:WLT720905 WVM720905:WVP720905 E786441:H786441 JA786441:JD786441 SW786441:SZ786441 ACS786441:ACV786441 AMO786441:AMR786441 AWK786441:AWN786441 BGG786441:BGJ786441 BQC786441:BQF786441 BZY786441:CAB786441 CJU786441:CJX786441 CTQ786441:CTT786441 DDM786441:DDP786441 DNI786441:DNL786441 DXE786441:DXH786441 EHA786441:EHD786441 EQW786441:EQZ786441 FAS786441:FAV786441 FKO786441:FKR786441 FUK786441:FUN786441 GEG786441:GEJ786441 GOC786441:GOF786441 GXY786441:GYB786441 HHU786441:HHX786441 HRQ786441:HRT786441 IBM786441:IBP786441 ILI786441:ILL786441 IVE786441:IVH786441 JFA786441:JFD786441 JOW786441:JOZ786441 JYS786441:JYV786441 KIO786441:KIR786441 KSK786441:KSN786441 LCG786441:LCJ786441 LMC786441:LMF786441 LVY786441:LWB786441 MFU786441:MFX786441 MPQ786441:MPT786441 MZM786441:MZP786441 NJI786441:NJL786441 NTE786441:NTH786441 ODA786441:ODD786441 OMW786441:OMZ786441 OWS786441:OWV786441 PGO786441:PGR786441 PQK786441:PQN786441 QAG786441:QAJ786441 QKC786441:QKF786441 QTY786441:QUB786441 RDU786441:RDX786441 RNQ786441:RNT786441 RXM786441:RXP786441 SHI786441:SHL786441 SRE786441:SRH786441 TBA786441:TBD786441 TKW786441:TKZ786441 TUS786441:TUV786441 UEO786441:UER786441 UOK786441:UON786441 UYG786441:UYJ786441 VIC786441:VIF786441 VRY786441:VSB786441 WBU786441:WBX786441 WLQ786441:WLT786441 WVM786441:WVP786441 E851977:H851977 JA851977:JD851977 SW851977:SZ851977 ACS851977:ACV851977 AMO851977:AMR851977 AWK851977:AWN851977 BGG851977:BGJ851977 BQC851977:BQF851977 BZY851977:CAB851977 CJU851977:CJX851977 CTQ851977:CTT851977 DDM851977:DDP851977 DNI851977:DNL851977 DXE851977:DXH851977 EHA851977:EHD851977 EQW851977:EQZ851977 FAS851977:FAV851977 FKO851977:FKR851977 FUK851977:FUN851977 GEG851977:GEJ851977 GOC851977:GOF851977 GXY851977:GYB851977 HHU851977:HHX851977 HRQ851977:HRT851977 IBM851977:IBP851977 ILI851977:ILL851977 IVE851977:IVH851977 JFA851977:JFD851977 JOW851977:JOZ851977 JYS851977:JYV851977 KIO851977:KIR851977 KSK851977:KSN851977 LCG851977:LCJ851977 LMC851977:LMF851977 LVY851977:LWB851977 MFU851977:MFX851977 MPQ851977:MPT851977 MZM851977:MZP851977 NJI851977:NJL851977 NTE851977:NTH851977 ODA851977:ODD851977 OMW851977:OMZ851977 OWS851977:OWV851977 PGO851977:PGR851977 PQK851977:PQN851977 QAG851977:QAJ851977 QKC851977:QKF851977 QTY851977:QUB851977 RDU851977:RDX851977 RNQ851977:RNT851977 RXM851977:RXP851977 SHI851977:SHL851977 SRE851977:SRH851977 TBA851977:TBD851977 TKW851977:TKZ851977 TUS851977:TUV851977 UEO851977:UER851977 UOK851977:UON851977 UYG851977:UYJ851977 VIC851977:VIF851977 VRY851977:VSB851977 WBU851977:WBX851977 WLQ851977:WLT851977 WVM851977:WVP851977 E917513:H917513 JA917513:JD917513 SW917513:SZ917513 ACS917513:ACV917513 AMO917513:AMR917513 AWK917513:AWN917513 BGG917513:BGJ917513 BQC917513:BQF917513 BZY917513:CAB917513 CJU917513:CJX917513 CTQ917513:CTT917513 DDM917513:DDP917513 DNI917513:DNL917513 DXE917513:DXH917513 EHA917513:EHD917513 EQW917513:EQZ917513 FAS917513:FAV917513 FKO917513:FKR917513 FUK917513:FUN917513 GEG917513:GEJ917513 GOC917513:GOF917513 GXY917513:GYB917513 HHU917513:HHX917513 HRQ917513:HRT917513 IBM917513:IBP917513 ILI917513:ILL917513 IVE917513:IVH917513 JFA917513:JFD917513 JOW917513:JOZ917513 JYS917513:JYV917513 KIO917513:KIR917513 KSK917513:KSN917513 LCG917513:LCJ917513 LMC917513:LMF917513 LVY917513:LWB917513 MFU917513:MFX917513 MPQ917513:MPT917513 MZM917513:MZP917513 NJI917513:NJL917513 NTE917513:NTH917513 ODA917513:ODD917513 OMW917513:OMZ917513 OWS917513:OWV917513 PGO917513:PGR917513 PQK917513:PQN917513 QAG917513:QAJ917513 QKC917513:QKF917513 QTY917513:QUB917513 RDU917513:RDX917513 RNQ917513:RNT917513 RXM917513:RXP917513 SHI917513:SHL917513 SRE917513:SRH917513 TBA917513:TBD917513 TKW917513:TKZ917513 TUS917513:TUV917513 UEO917513:UER917513 UOK917513:UON917513 UYG917513:UYJ917513 VIC917513:VIF917513 VRY917513:VSB917513 WBU917513:WBX917513 WLQ917513:WLT917513 WVM917513:WVP917513 E983049:H983049 JA983049:JD983049 SW983049:SZ983049 ACS983049:ACV983049 AMO983049:AMR983049 AWK983049:AWN983049 BGG983049:BGJ983049 BQC983049:BQF983049 BZY983049:CAB983049 CJU983049:CJX983049 CTQ983049:CTT983049 DDM983049:DDP983049 DNI983049:DNL983049 DXE983049:DXH983049 EHA983049:EHD983049 EQW983049:EQZ983049 FAS983049:FAV983049 FKO983049:FKR983049 FUK983049:FUN983049 GEG983049:GEJ983049 GOC983049:GOF983049 GXY983049:GYB983049 HHU983049:HHX983049 HRQ983049:HRT983049 IBM983049:IBP983049 ILI983049:ILL983049 IVE983049:IVH983049 JFA983049:JFD983049 JOW983049:JOZ983049 JYS983049:JYV983049 KIO983049:KIR983049 KSK983049:KSN983049 LCG983049:LCJ983049 LMC983049:LMF983049 LVY983049:LWB983049 MFU983049:MFX983049 MPQ983049:MPT983049 MZM983049:MZP983049 NJI983049:NJL983049 NTE983049:NTH983049 ODA983049:ODD983049 OMW983049:OMZ983049 OWS983049:OWV983049 PGO983049:PGR983049 PQK983049:PQN983049 QAG983049:QAJ983049 QKC983049:QKF983049 QTY983049:QUB983049 RDU983049:RDX983049 RNQ983049:RNT983049 RXM983049:RXP983049 SHI983049:SHL983049 SRE983049:SRH983049 TBA983049:TBD983049 TKW983049:TKZ983049 TUS983049:TUV983049 UEO983049:UER983049 UOK983049:UON983049 UYG983049:UYJ983049 VIC983049:VIF983049 VRY983049:VSB983049 WBU983049:WBX983049 WLQ983049:WLT983049 WVM983049:WVP983049" xr:uid="{7A8C99F5-2699-450D-9D0A-497F1AAA1B51}">
      <formula1>$A$50:$A$62</formula1>
    </dataValidation>
    <dataValidation type="list" allowBlank="1" showErrorMessage="1" errorTitle="Your input was incorrect" error="Choose your vehicle by clicking the arrow and selecting the correct vehicle" prompt="Choose your vehicle by clicking the arrow and selecting your vehicle" sqref="N8:Q8 JJ8:JM8 TF8:TI8 ADB8:ADE8 AMX8:ANA8 AWT8:AWW8 BGP8:BGS8 BQL8:BQO8 CAH8:CAK8 CKD8:CKG8 CTZ8:CUC8 DDV8:DDY8 DNR8:DNU8 DXN8:DXQ8 EHJ8:EHM8 ERF8:ERI8 FBB8:FBE8 FKX8:FLA8 FUT8:FUW8 GEP8:GES8 GOL8:GOO8 GYH8:GYK8 HID8:HIG8 HRZ8:HSC8 IBV8:IBY8 ILR8:ILU8 IVN8:IVQ8 JFJ8:JFM8 JPF8:JPI8 JZB8:JZE8 KIX8:KJA8 KST8:KSW8 LCP8:LCS8 LML8:LMO8 LWH8:LWK8 MGD8:MGG8 MPZ8:MQC8 MZV8:MZY8 NJR8:NJU8 NTN8:NTQ8 ODJ8:ODM8 ONF8:ONI8 OXB8:OXE8 PGX8:PHA8 PQT8:PQW8 QAP8:QAS8 QKL8:QKO8 QUH8:QUK8 RED8:REG8 RNZ8:ROC8 RXV8:RXY8 SHR8:SHU8 SRN8:SRQ8 TBJ8:TBM8 TLF8:TLI8 TVB8:TVE8 UEX8:UFA8 UOT8:UOW8 UYP8:UYS8 VIL8:VIO8 VSH8:VSK8 WCD8:WCG8 WLZ8:WMC8 WVV8:WVY8 N65545:Q65545 JJ65545:JM65545 TF65545:TI65545 ADB65545:ADE65545 AMX65545:ANA65545 AWT65545:AWW65545 BGP65545:BGS65545 BQL65545:BQO65545 CAH65545:CAK65545 CKD65545:CKG65545 CTZ65545:CUC65545 DDV65545:DDY65545 DNR65545:DNU65545 DXN65545:DXQ65545 EHJ65545:EHM65545 ERF65545:ERI65545 FBB65545:FBE65545 FKX65545:FLA65545 FUT65545:FUW65545 GEP65545:GES65545 GOL65545:GOO65545 GYH65545:GYK65545 HID65545:HIG65545 HRZ65545:HSC65545 IBV65545:IBY65545 ILR65545:ILU65545 IVN65545:IVQ65545 JFJ65545:JFM65545 JPF65545:JPI65545 JZB65545:JZE65545 KIX65545:KJA65545 KST65545:KSW65545 LCP65545:LCS65545 LML65545:LMO65545 LWH65545:LWK65545 MGD65545:MGG65545 MPZ65545:MQC65545 MZV65545:MZY65545 NJR65545:NJU65545 NTN65545:NTQ65545 ODJ65545:ODM65545 ONF65545:ONI65545 OXB65545:OXE65545 PGX65545:PHA65545 PQT65545:PQW65545 QAP65545:QAS65545 QKL65545:QKO65545 QUH65545:QUK65545 RED65545:REG65545 RNZ65545:ROC65545 RXV65545:RXY65545 SHR65545:SHU65545 SRN65545:SRQ65545 TBJ65545:TBM65545 TLF65545:TLI65545 TVB65545:TVE65545 UEX65545:UFA65545 UOT65545:UOW65545 UYP65545:UYS65545 VIL65545:VIO65545 VSH65545:VSK65545 WCD65545:WCG65545 WLZ65545:WMC65545 WVV65545:WVY65545 N131081:Q131081 JJ131081:JM131081 TF131081:TI131081 ADB131081:ADE131081 AMX131081:ANA131081 AWT131081:AWW131081 BGP131081:BGS131081 BQL131081:BQO131081 CAH131081:CAK131081 CKD131081:CKG131081 CTZ131081:CUC131081 DDV131081:DDY131081 DNR131081:DNU131081 DXN131081:DXQ131081 EHJ131081:EHM131081 ERF131081:ERI131081 FBB131081:FBE131081 FKX131081:FLA131081 FUT131081:FUW131081 GEP131081:GES131081 GOL131081:GOO131081 GYH131081:GYK131081 HID131081:HIG131081 HRZ131081:HSC131081 IBV131081:IBY131081 ILR131081:ILU131081 IVN131081:IVQ131081 JFJ131081:JFM131081 JPF131081:JPI131081 JZB131081:JZE131081 KIX131081:KJA131081 KST131081:KSW131081 LCP131081:LCS131081 LML131081:LMO131081 LWH131081:LWK131081 MGD131081:MGG131081 MPZ131081:MQC131081 MZV131081:MZY131081 NJR131081:NJU131081 NTN131081:NTQ131081 ODJ131081:ODM131081 ONF131081:ONI131081 OXB131081:OXE131081 PGX131081:PHA131081 PQT131081:PQW131081 QAP131081:QAS131081 QKL131081:QKO131081 QUH131081:QUK131081 RED131081:REG131081 RNZ131081:ROC131081 RXV131081:RXY131081 SHR131081:SHU131081 SRN131081:SRQ131081 TBJ131081:TBM131081 TLF131081:TLI131081 TVB131081:TVE131081 UEX131081:UFA131081 UOT131081:UOW131081 UYP131081:UYS131081 VIL131081:VIO131081 VSH131081:VSK131081 WCD131081:WCG131081 WLZ131081:WMC131081 WVV131081:WVY131081 N196617:Q196617 JJ196617:JM196617 TF196617:TI196617 ADB196617:ADE196617 AMX196617:ANA196617 AWT196617:AWW196617 BGP196617:BGS196617 BQL196617:BQO196617 CAH196617:CAK196617 CKD196617:CKG196617 CTZ196617:CUC196617 DDV196617:DDY196617 DNR196617:DNU196617 DXN196617:DXQ196617 EHJ196617:EHM196617 ERF196617:ERI196617 FBB196617:FBE196617 FKX196617:FLA196617 FUT196617:FUW196617 GEP196617:GES196617 GOL196617:GOO196617 GYH196617:GYK196617 HID196617:HIG196617 HRZ196617:HSC196617 IBV196617:IBY196617 ILR196617:ILU196617 IVN196617:IVQ196617 JFJ196617:JFM196617 JPF196617:JPI196617 JZB196617:JZE196617 KIX196617:KJA196617 KST196617:KSW196617 LCP196617:LCS196617 LML196617:LMO196617 LWH196617:LWK196617 MGD196617:MGG196617 MPZ196617:MQC196617 MZV196617:MZY196617 NJR196617:NJU196617 NTN196617:NTQ196617 ODJ196617:ODM196617 ONF196617:ONI196617 OXB196617:OXE196617 PGX196617:PHA196617 PQT196617:PQW196617 QAP196617:QAS196617 QKL196617:QKO196617 QUH196617:QUK196617 RED196617:REG196617 RNZ196617:ROC196617 RXV196617:RXY196617 SHR196617:SHU196617 SRN196617:SRQ196617 TBJ196617:TBM196617 TLF196617:TLI196617 TVB196617:TVE196617 UEX196617:UFA196617 UOT196617:UOW196617 UYP196617:UYS196617 VIL196617:VIO196617 VSH196617:VSK196617 WCD196617:WCG196617 WLZ196617:WMC196617 WVV196617:WVY196617 N262153:Q262153 JJ262153:JM262153 TF262153:TI262153 ADB262153:ADE262153 AMX262153:ANA262153 AWT262153:AWW262153 BGP262153:BGS262153 BQL262153:BQO262153 CAH262153:CAK262153 CKD262153:CKG262153 CTZ262153:CUC262153 DDV262153:DDY262153 DNR262153:DNU262153 DXN262153:DXQ262153 EHJ262153:EHM262153 ERF262153:ERI262153 FBB262153:FBE262153 FKX262153:FLA262153 FUT262153:FUW262153 GEP262153:GES262153 GOL262153:GOO262153 GYH262153:GYK262153 HID262153:HIG262153 HRZ262153:HSC262153 IBV262153:IBY262153 ILR262153:ILU262153 IVN262153:IVQ262153 JFJ262153:JFM262153 JPF262153:JPI262153 JZB262153:JZE262153 KIX262153:KJA262153 KST262153:KSW262153 LCP262153:LCS262153 LML262153:LMO262153 LWH262153:LWK262153 MGD262153:MGG262153 MPZ262153:MQC262153 MZV262153:MZY262153 NJR262153:NJU262153 NTN262153:NTQ262153 ODJ262153:ODM262153 ONF262153:ONI262153 OXB262153:OXE262153 PGX262153:PHA262153 PQT262153:PQW262153 QAP262153:QAS262153 QKL262153:QKO262153 QUH262153:QUK262153 RED262153:REG262153 RNZ262153:ROC262153 RXV262153:RXY262153 SHR262153:SHU262153 SRN262153:SRQ262153 TBJ262153:TBM262153 TLF262153:TLI262153 TVB262153:TVE262153 UEX262153:UFA262153 UOT262153:UOW262153 UYP262153:UYS262153 VIL262153:VIO262153 VSH262153:VSK262153 WCD262153:WCG262153 WLZ262153:WMC262153 WVV262153:WVY262153 N327689:Q327689 JJ327689:JM327689 TF327689:TI327689 ADB327689:ADE327689 AMX327689:ANA327689 AWT327689:AWW327689 BGP327689:BGS327689 BQL327689:BQO327689 CAH327689:CAK327689 CKD327689:CKG327689 CTZ327689:CUC327689 DDV327689:DDY327689 DNR327689:DNU327689 DXN327689:DXQ327689 EHJ327689:EHM327689 ERF327689:ERI327689 FBB327689:FBE327689 FKX327689:FLA327689 FUT327689:FUW327689 GEP327689:GES327689 GOL327689:GOO327689 GYH327689:GYK327689 HID327689:HIG327689 HRZ327689:HSC327689 IBV327689:IBY327689 ILR327689:ILU327689 IVN327689:IVQ327689 JFJ327689:JFM327689 JPF327689:JPI327689 JZB327689:JZE327689 KIX327689:KJA327689 KST327689:KSW327689 LCP327689:LCS327689 LML327689:LMO327689 LWH327689:LWK327689 MGD327689:MGG327689 MPZ327689:MQC327689 MZV327689:MZY327689 NJR327689:NJU327689 NTN327689:NTQ327689 ODJ327689:ODM327689 ONF327689:ONI327689 OXB327689:OXE327689 PGX327689:PHA327689 PQT327689:PQW327689 QAP327689:QAS327689 QKL327689:QKO327689 QUH327689:QUK327689 RED327689:REG327689 RNZ327689:ROC327689 RXV327689:RXY327689 SHR327689:SHU327689 SRN327689:SRQ327689 TBJ327689:TBM327689 TLF327689:TLI327689 TVB327689:TVE327689 UEX327689:UFA327689 UOT327689:UOW327689 UYP327689:UYS327689 VIL327689:VIO327689 VSH327689:VSK327689 WCD327689:WCG327689 WLZ327689:WMC327689 WVV327689:WVY327689 N393225:Q393225 JJ393225:JM393225 TF393225:TI393225 ADB393225:ADE393225 AMX393225:ANA393225 AWT393225:AWW393225 BGP393225:BGS393225 BQL393225:BQO393225 CAH393225:CAK393225 CKD393225:CKG393225 CTZ393225:CUC393225 DDV393225:DDY393225 DNR393225:DNU393225 DXN393225:DXQ393225 EHJ393225:EHM393225 ERF393225:ERI393225 FBB393225:FBE393225 FKX393225:FLA393225 FUT393225:FUW393225 GEP393225:GES393225 GOL393225:GOO393225 GYH393225:GYK393225 HID393225:HIG393225 HRZ393225:HSC393225 IBV393225:IBY393225 ILR393225:ILU393225 IVN393225:IVQ393225 JFJ393225:JFM393225 JPF393225:JPI393225 JZB393225:JZE393225 KIX393225:KJA393225 KST393225:KSW393225 LCP393225:LCS393225 LML393225:LMO393225 LWH393225:LWK393225 MGD393225:MGG393225 MPZ393225:MQC393225 MZV393225:MZY393225 NJR393225:NJU393225 NTN393225:NTQ393225 ODJ393225:ODM393225 ONF393225:ONI393225 OXB393225:OXE393225 PGX393225:PHA393225 PQT393225:PQW393225 QAP393225:QAS393225 QKL393225:QKO393225 QUH393225:QUK393225 RED393225:REG393225 RNZ393225:ROC393225 RXV393225:RXY393225 SHR393225:SHU393225 SRN393225:SRQ393225 TBJ393225:TBM393225 TLF393225:TLI393225 TVB393225:TVE393225 UEX393225:UFA393225 UOT393225:UOW393225 UYP393225:UYS393225 VIL393225:VIO393225 VSH393225:VSK393225 WCD393225:WCG393225 WLZ393225:WMC393225 WVV393225:WVY393225 N458761:Q458761 JJ458761:JM458761 TF458761:TI458761 ADB458761:ADE458761 AMX458761:ANA458761 AWT458761:AWW458761 BGP458761:BGS458761 BQL458761:BQO458761 CAH458761:CAK458761 CKD458761:CKG458761 CTZ458761:CUC458761 DDV458761:DDY458761 DNR458761:DNU458761 DXN458761:DXQ458761 EHJ458761:EHM458761 ERF458761:ERI458761 FBB458761:FBE458761 FKX458761:FLA458761 FUT458761:FUW458761 GEP458761:GES458761 GOL458761:GOO458761 GYH458761:GYK458761 HID458761:HIG458761 HRZ458761:HSC458761 IBV458761:IBY458761 ILR458761:ILU458761 IVN458761:IVQ458761 JFJ458761:JFM458761 JPF458761:JPI458761 JZB458761:JZE458761 KIX458761:KJA458761 KST458761:KSW458761 LCP458761:LCS458761 LML458761:LMO458761 LWH458761:LWK458761 MGD458761:MGG458761 MPZ458761:MQC458761 MZV458761:MZY458761 NJR458761:NJU458761 NTN458761:NTQ458761 ODJ458761:ODM458761 ONF458761:ONI458761 OXB458761:OXE458761 PGX458761:PHA458761 PQT458761:PQW458761 QAP458761:QAS458761 QKL458761:QKO458761 QUH458761:QUK458761 RED458761:REG458761 RNZ458761:ROC458761 RXV458761:RXY458761 SHR458761:SHU458761 SRN458761:SRQ458761 TBJ458761:TBM458761 TLF458761:TLI458761 TVB458761:TVE458761 UEX458761:UFA458761 UOT458761:UOW458761 UYP458761:UYS458761 VIL458761:VIO458761 VSH458761:VSK458761 WCD458761:WCG458761 WLZ458761:WMC458761 WVV458761:WVY458761 N524297:Q524297 JJ524297:JM524297 TF524297:TI524297 ADB524297:ADE524297 AMX524297:ANA524297 AWT524297:AWW524297 BGP524297:BGS524297 BQL524297:BQO524297 CAH524297:CAK524297 CKD524297:CKG524297 CTZ524297:CUC524297 DDV524297:DDY524297 DNR524297:DNU524297 DXN524297:DXQ524297 EHJ524297:EHM524297 ERF524297:ERI524297 FBB524297:FBE524297 FKX524297:FLA524297 FUT524297:FUW524297 GEP524297:GES524297 GOL524297:GOO524297 GYH524297:GYK524297 HID524297:HIG524297 HRZ524297:HSC524297 IBV524297:IBY524297 ILR524297:ILU524297 IVN524297:IVQ524297 JFJ524297:JFM524297 JPF524297:JPI524297 JZB524297:JZE524297 KIX524297:KJA524297 KST524297:KSW524297 LCP524297:LCS524297 LML524297:LMO524297 LWH524297:LWK524297 MGD524297:MGG524297 MPZ524297:MQC524297 MZV524297:MZY524297 NJR524297:NJU524297 NTN524297:NTQ524297 ODJ524297:ODM524297 ONF524297:ONI524297 OXB524297:OXE524297 PGX524297:PHA524297 PQT524297:PQW524297 QAP524297:QAS524297 QKL524297:QKO524297 QUH524297:QUK524297 RED524297:REG524297 RNZ524297:ROC524297 RXV524297:RXY524297 SHR524297:SHU524297 SRN524297:SRQ524297 TBJ524297:TBM524297 TLF524297:TLI524297 TVB524297:TVE524297 UEX524297:UFA524297 UOT524297:UOW524297 UYP524297:UYS524297 VIL524297:VIO524297 VSH524297:VSK524297 WCD524297:WCG524297 WLZ524297:WMC524297 WVV524297:WVY524297 N589833:Q589833 JJ589833:JM589833 TF589833:TI589833 ADB589833:ADE589833 AMX589833:ANA589833 AWT589833:AWW589833 BGP589833:BGS589833 BQL589833:BQO589833 CAH589833:CAK589833 CKD589833:CKG589833 CTZ589833:CUC589833 DDV589833:DDY589833 DNR589833:DNU589833 DXN589833:DXQ589833 EHJ589833:EHM589833 ERF589833:ERI589833 FBB589833:FBE589833 FKX589833:FLA589833 FUT589833:FUW589833 GEP589833:GES589833 GOL589833:GOO589833 GYH589833:GYK589833 HID589833:HIG589833 HRZ589833:HSC589833 IBV589833:IBY589833 ILR589833:ILU589833 IVN589833:IVQ589833 JFJ589833:JFM589833 JPF589833:JPI589833 JZB589833:JZE589833 KIX589833:KJA589833 KST589833:KSW589833 LCP589833:LCS589833 LML589833:LMO589833 LWH589833:LWK589833 MGD589833:MGG589833 MPZ589833:MQC589833 MZV589833:MZY589833 NJR589833:NJU589833 NTN589833:NTQ589833 ODJ589833:ODM589833 ONF589833:ONI589833 OXB589833:OXE589833 PGX589833:PHA589833 PQT589833:PQW589833 QAP589833:QAS589833 QKL589833:QKO589833 QUH589833:QUK589833 RED589833:REG589833 RNZ589833:ROC589833 RXV589833:RXY589833 SHR589833:SHU589833 SRN589833:SRQ589833 TBJ589833:TBM589833 TLF589833:TLI589833 TVB589833:TVE589833 UEX589833:UFA589833 UOT589833:UOW589833 UYP589833:UYS589833 VIL589833:VIO589833 VSH589833:VSK589833 WCD589833:WCG589833 WLZ589833:WMC589833 WVV589833:WVY589833 N655369:Q655369 JJ655369:JM655369 TF655369:TI655369 ADB655369:ADE655369 AMX655369:ANA655369 AWT655369:AWW655369 BGP655369:BGS655369 BQL655369:BQO655369 CAH655369:CAK655369 CKD655369:CKG655369 CTZ655369:CUC655369 DDV655369:DDY655369 DNR655369:DNU655369 DXN655369:DXQ655369 EHJ655369:EHM655369 ERF655369:ERI655369 FBB655369:FBE655369 FKX655369:FLA655369 FUT655369:FUW655369 GEP655369:GES655369 GOL655369:GOO655369 GYH655369:GYK655369 HID655369:HIG655369 HRZ655369:HSC655369 IBV655369:IBY655369 ILR655369:ILU655369 IVN655369:IVQ655369 JFJ655369:JFM655369 JPF655369:JPI655369 JZB655369:JZE655369 KIX655369:KJA655369 KST655369:KSW655369 LCP655369:LCS655369 LML655369:LMO655369 LWH655369:LWK655369 MGD655369:MGG655369 MPZ655369:MQC655369 MZV655369:MZY655369 NJR655369:NJU655369 NTN655369:NTQ655369 ODJ655369:ODM655369 ONF655369:ONI655369 OXB655369:OXE655369 PGX655369:PHA655369 PQT655369:PQW655369 QAP655369:QAS655369 QKL655369:QKO655369 QUH655369:QUK655369 RED655369:REG655369 RNZ655369:ROC655369 RXV655369:RXY655369 SHR655369:SHU655369 SRN655369:SRQ655369 TBJ655369:TBM655369 TLF655369:TLI655369 TVB655369:TVE655369 UEX655369:UFA655369 UOT655369:UOW655369 UYP655369:UYS655369 VIL655369:VIO655369 VSH655369:VSK655369 WCD655369:WCG655369 WLZ655369:WMC655369 WVV655369:WVY655369 N720905:Q720905 JJ720905:JM720905 TF720905:TI720905 ADB720905:ADE720905 AMX720905:ANA720905 AWT720905:AWW720905 BGP720905:BGS720905 BQL720905:BQO720905 CAH720905:CAK720905 CKD720905:CKG720905 CTZ720905:CUC720905 DDV720905:DDY720905 DNR720905:DNU720905 DXN720905:DXQ720905 EHJ720905:EHM720905 ERF720905:ERI720905 FBB720905:FBE720905 FKX720905:FLA720905 FUT720905:FUW720905 GEP720905:GES720905 GOL720905:GOO720905 GYH720905:GYK720905 HID720905:HIG720905 HRZ720905:HSC720905 IBV720905:IBY720905 ILR720905:ILU720905 IVN720905:IVQ720905 JFJ720905:JFM720905 JPF720905:JPI720905 JZB720905:JZE720905 KIX720905:KJA720905 KST720905:KSW720905 LCP720905:LCS720905 LML720905:LMO720905 LWH720905:LWK720905 MGD720905:MGG720905 MPZ720905:MQC720905 MZV720905:MZY720905 NJR720905:NJU720905 NTN720905:NTQ720905 ODJ720905:ODM720905 ONF720905:ONI720905 OXB720905:OXE720905 PGX720905:PHA720905 PQT720905:PQW720905 QAP720905:QAS720905 QKL720905:QKO720905 QUH720905:QUK720905 RED720905:REG720905 RNZ720905:ROC720905 RXV720905:RXY720905 SHR720905:SHU720905 SRN720905:SRQ720905 TBJ720905:TBM720905 TLF720905:TLI720905 TVB720905:TVE720905 UEX720905:UFA720905 UOT720905:UOW720905 UYP720905:UYS720905 VIL720905:VIO720905 VSH720905:VSK720905 WCD720905:WCG720905 WLZ720905:WMC720905 WVV720905:WVY720905 N786441:Q786441 JJ786441:JM786441 TF786441:TI786441 ADB786441:ADE786441 AMX786441:ANA786441 AWT786441:AWW786441 BGP786441:BGS786441 BQL786441:BQO786441 CAH786441:CAK786441 CKD786441:CKG786441 CTZ786441:CUC786441 DDV786441:DDY786441 DNR786441:DNU786441 DXN786441:DXQ786441 EHJ786441:EHM786441 ERF786441:ERI786441 FBB786441:FBE786441 FKX786441:FLA786441 FUT786441:FUW786441 GEP786441:GES786441 GOL786441:GOO786441 GYH786441:GYK786441 HID786441:HIG786441 HRZ786441:HSC786441 IBV786441:IBY786441 ILR786441:ILU786441 IVN786441:IVQ786441 JFJ786441:JFM786441 JPF786441:JPI786441 JZB786441:JZE786441 KIX786441:KJA786441 KST786441:KSW786441 LCP786441:LCS786441 LML786441:LMO786441 LWH786441:LWK786441 MGD786441:MGG786441 MPZ786441:MQC786441 MZV786441:MZY786441 NJR786441:NJU786441 NTN786441:NTQ786441 ODJ786441:ODM786441 ONF786441:ONI786441 OXB786441:OXE786441 PGX786441:PHA786441 PQT786441:PQW786441 QAP786441:QAS786441 QKL786441:QKO786441 QUH786441:QUK786441 RED786441:REG786441 RNZ786441:ROC786441 RXV786441:RXY786441 SHR786441:SHU786441 SRN786441:SRQ786441 TBJ786441:TBM786441 TLF786441:TLI786441 TVB786441:TVE786441 UEX786441:UFA786441 UOT786441:UOW786441 UYP786441:UYS786441 VIL786441:VIO786441 VSH786441:VSK786441 WCD786441:WCG786441 WLZ786441:WMC786441 WVV786441:WVY786441 N851977:Q851977 JJ851977:JM851977 TF851977:TI851977 ADB851977:ADE851977 AMX851977:ANA851977 AWT851977:AWW851977 BGP851977:BGS851977 BQL851977:BQO851977 CAH851977:CAK851977 CKD851977:CKG851977 CTZ851977:CUC851977 DDV851977:DDY851977 DNR851977:DNU851977 DXN851977:DXQ851977 EHJ851977:EHM851977 ERF851977:ERI851977 FBB851977:FBE851977 FKX851977:FLA851977 FUT851977:FUW851977 GEP851977:GES851977 GOL851977:GOO851977 GYH851977:GYK851977 HID851977:HIG851977 HRZ851977:HSC851977 IBV851977:IBY851977 ILR851977:ILU851977 IVN851977:IVQ851977 JFJ851977:JFM851977 JPF851977:JPI851977 JZB851977:JZE851977 KIX851977:KJA851977 KST851977:KSW851977 LCP851977:LCS851977 LML851977:LMO851977 LWH851977:LWK851977 MGD851977:MGG851977 MPZ851977:MQC851977 MZV851977:MZY851977 NJR851977:NJU851977 NTN851977:NTQ851977 ODJ851977:ODM851977 ONF851977:ONI851977 OXB851977:OXE851977 PGX851977:PHA851977 PQT851977:PQW851977 QAP851977:QAS851977 QKL851977:QKO851977 QUH851977:QUK851977 RED851977:REG851977 RNZ851977:ROC851977 RXV851977:RXY851977 SHR851977:SHU851977 SRN851977:SRQ851977 TBJ851977:TBM851977 TLF851977:TLI851977 TVB851977:TVE851977 UEX851977:UFA851977 UOT851977:UOW851977 UYP851977:UYS851977 VIL851977:VIO851977 VSH851977:VSK851977 WCD851977:WCG851977 WLZ851977:WMC851977 WVV851977:WVY851977 N917513:Q917513 JJ917513:JM917513 TF917513:TI917513 ADB917513:ADE917513 AMX917513:ANA917513 AWT917513:AWW917513 BGP917513:BGS917513 BQL917513:BQO917513 CAH917513:CAK917513 CKD917513:CKG917513 CTZ917513:CUC917513 DDV917513:DDY917513 DNR917513:DNU917513 DXN917513:DXQ917513 EHJ917513:EHM917513 ERF917513:ERI917513 FBB917513:FBE917513 FKX917513:FLA917513 FUT917513:FUW917513 GEP917513:GES917513 GOL917513:GOO917513 GYH917513:GYK917513 HID917513:HIG917513 HRZ917513:HSC917513 IBV917513:IBY917513 ILR917513:ILU917513 IVN917513:IVQ917513 JFJ917513:JFM917513 JPF917513:JPI917513 JZB917513:JZE917513 KIX917513:KJA917513 KST917513:KSW917513 LCP917513:LCS917513 LML917513:LMO917513 LWH917513:LWK917513 MGD917513:MGG917513 MPZ917513:MQC917513 MZV917513:MZY917513 NJR917513:NJU917513 NTN917513:NTQ917513 ODJ917513:ODM917513 ONF917513:ONI917513 OXB917513:OXE917513 PGX917513:PHA917513 PQT917513:PQW917513 QAP917513:QAS917513 QKL917513:QKO917513 QUH917513:QUK917513 RED917513:REG917513 RNZ917513:ROC917513 RXV917513:RXY917513 SHR917513:SHU917513 SRN917513:SRQ917513 TBJ917513:TBM917513 TLF917513:TLI917513 TVB917513:TVE917513 UEX917513:UFA917513 UOT917513:UOW917513 UYP917513:UYS917513 VIL917513:VIO917513 VSH917513:VSK917513 WCD917513:WCG917513 WLZ917513:WMC917513 WVV917513:WVY917513 N983049:Q983049 JJ983049:JM983049 TF983049:TI983049 ADB983049:ADE983049 AMX983049:ANA983049 AWT983049:AWW983049 BGP983049:BGS983049 BQL983049:BQO983049 CAH983049:CAK983049 CKD983049:CKG983049 CTZ983049:CUC983049 DDV983049:DDY983049 DNR983049:DNU983049 DXN983049:DXQ983049 EHJ983049:EHM983049 ERF983049:ERI983049 FBB983049:FBE983049 FKX983049:FLA983049 FUT983049:FUW983049 GEP983049:GES983049 GOL983049:GOO983049 GYH983049:GYK983049 HID983049:HIG983049 HRZ983049:HSC983049 IBV983049:IBY983049 ILR983049:ILU983049 IVN983049:IVQ983049 JFJ983049:JFM983049 JPF983049:JPI983049 JZB983049:JZE983049 KIX983049:KJA983049 KST983049:KSW983049 LCP983049:LCS983049 LML983049:LMO983049 LWH983049:LWK983049 MGD983049:MGG983049 MPZ983049:MQC983049 MZV983049:MZY983049 NJR983049:NJU983049 NTN983049:NTQ983049 ODJ983049:ODM983049 ONF983049:ONI983049 OXB983049:OXE983049 PGX983049:PHA983049 PQT983049:PQW983049 QAP983049:QAS983049 QKL983049:QKO983049 QUH983049:QUK983049 RED983049:REG983049 RNZ983049:ROC983049 RXV983049:RXY983049 SHR983049:SHU983049 SRN983049:SRQ983049 TBJ983049:TBM983049 TLF983049:TLI983049 TVB983049:TVE983049 UEX983049:UFA983049 UOT983049:UOW983049 UYP983049:UYS983049 VIL983049:VIO983049 VSH983049:VSK983049 WCD983049:WCG983049 WLZ983049:WMC983049 WVV983049:WVY983049" xr:uid="{E45B96C8-0640-4AD0-A2B5-33617C777B81}">
      <formula1>$C$49:$C$54</formula1>
    </dataValidation>
    <dataValidation type="list" allowBlank="1" showInputMessage="1" showErrorMessage="1" sqref="N9:Q9" xr:uid="{DE0AA83F-D7FF-41AC-9023-96DD12A1FE4E}">
      <formula1>$H$49:$H$53</formula1>
    </dataValidation>
  </dataValidations>
  <hyperlinks>
    <hyperlink ref="T31:X31" r:id="rId1" display="Crash Estimation Compendium (Crash Estimation Compendium)" xr:uid="{24CE9053-1E77-489A-8767-8900195183BF}"/>
  </hyperlinks>
  <printOptions horizontalCentered="1"/>
  <pageMargins left="0.74803149606299213" right="0.70866141732283472" top="0.74803149606299213" bottom="0.9055118110236221" header="0.39370078740157483" footer="0.39370078740157483"/>
  <pageSetup paperSize="9" scale="88" orientation="portrait" r:id="rId2"/>
  <headerFooter scaleWithDoc="0" alignWithMargins="0">
    <oddHeader>&amp;L&amp;"-,Regular"&amp;8&amp;F&amp;R&amp;"-,Regular"&amp;8&amp;A
________________________________________________________________________________________________</oddHeader>
    <oddFooter>&amp;L&amp;"-,Regular"&amp;8____________________________________________________________________________________________
NZ Transport Agency’s Economic evaluation manual 
Effective from Jul 2013</oddFooter>
  </headerFooter>
  <legacyDrawing r:id="rId3"/>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060315-6986-452E-89C5-E463380C6DA9}">
  <sheetPr codeName="Sheet13">
    <pageSetUpPr fitToPage="1"/>
  </sheetPr>
  <dimension ref="A1:O79"/>
  <sheetViews>
    <sheetView zoomScaleNormal="100" workbookViewId="0">
      <selection activeCell="E10" sqref="E10"/>
    </sheetView>
  </sheetViews>
  <sheetFormatPr defaultRowHeight="12.6"/>
  <cols>
    <col min="1" max="9" width="9.19921875" style="217" customWidth="1"/>
    <col min="10" max="10" width="13.59765625" style="217" customWidth="1"/>
    <col min="11" max="11" width="26.69921875" style="217" customWidth="1"/>
    <col min="12" max="15" width="13.59765625" style="217" customWidth="1"/>
    <col min="16" max="256" width="9" style="217"/>
    <col min="257" max="265" width="9.19921875" style="217" customWidth="1"/>
    <col min="266" max="266" width="13.59765625" style="217" customWidth="1"/>
    <col min="267" max="267" width="26.69921875" style="217" customWidth="1"/>
    <col min="268" max="271" width="13.59765625" style="217" customWidth="1"/>
    <col min="272" max="512" width="9" style="217"/>
    <col min="513" max="521" width="9.19921875" style="217" customWidth="1"/>
    <col min="522" max="522" width="13.59765625" style="217" customWidth="1"/>
    <col min="523" max="523" width="26.69921875" style="217" customWidth="1"/>
    <col min="524" max="527" width="13.59765625" style="217" customWidth="1"/>
    <col min="528" max="768" width="9" style="217"/>
    <col min="769" max="777" width="9.19921875" style="217" customWidth="1"/>
    <col min="778" max="778" width="13.59765625" style="217" customWidth="1"/>
    <col min="779" max="779" width="26.69921875" style="217" customWidth="1"/>
    <col min="780" max="783" width="13.59765625" style="217" customWidth="1"/>
    <col min="784" max="1024" width="9" style="217"/>
    <col min="1025" max="1033" width="9.19921875" style="217" customWidth="1"/>
    <col min="1034" max="1034" width="13.59765625" style="217" customWidth="1"/>
    <col min="1035" max="1035" width="26.69921875" style="217" customWidth="1"/>
    <col min="1036" max="1039" width="13.59765625" style="217" customWidth="1"/>
    <col min="1040" max="1280" width="9" style="217"/>
    <col min="1281" max="1289" width="9.19921875" style="217" customWidth="1"/>
    <col min="1290" max="1290" width="13.59765625" style="217" customWidth="1"/>
    <col min="1291" max="1291" width="26.69921875" style="217" customWidth="1"/>
    <col min="1292" max="1295" width="13.59765625" style="217" customWidth="1"/>
    <col min="1296" max="1536" width="9" style="217"/>
    <col min="1537" max="1545" width="9.19921875" style="217" customWidth="1"/>
    <col min="1546" max="1546" width="13.59765625" style="217" customWidth="1"/>
    <col min="1547" max="1547" width="26.69921875" style="217" customWidth="1"/>
    <col min="1548" max="1551" width="13.59765625" style="217" customWidth="1"/>
    <col min="1552" max="1792" width="9" style="217"/>
    <col min="1793" max="1801" width="9.19921875" style="217" customWidth="1"/>
    <col min="1802" max="1802" width="13.59765625" style="217" customWidth="1"/>
    <col min="1803" max="1803" width="26.69921875" style="217" customWidth="1"/>
    <col min="1804" max="1807" width="13.59765625" style="217" customWidth="1"/>
    <col min="1808" max="2048" width="9" style="217"/>
    <col min="2049" max="2057" width="9.19921875" style="217" customWidth="1"/>
    <col min="2058" max="2058" width="13.59765625" style="217" customWidth="1"/>
    <col min="2059" max="2059" width="26.69921875" style="217" customWidth="1"/>
    <col min="2060" max="2063" width="13.59765625" style="217" customWidth="1"/>
    <col min="2064" max="2304" width="9" style="217"/>
    <col min="2305" max="2313" width="9.19921875" style="217" customWidth="1"/>
    <col min="2314" max="2314" width="13.59765625" style="217" customWidth="1"/>
    <col min="2315" max="2315" width="26.69921875" style="217" customWidth="1"/>
    <col min="2316" max="2319" width="13.59765625" style="217" customWidth="1"/>
    <col min="2320" max="2560" width="9" style="217"/>
    <col min="2561" max="2569" width="9.19921875" style="217" customWidth="1"/>
    <col min="2570" max="2570" width="13.59765625" style="217" customWidth="1"/>
    <col min="2571" max="2571" width="26.69921875" style="217" customWidth="1"/>
    <col min="2572" max="2575" width="13.59765625" style="217" customWidth="1"/>
    <col min="2576" max="2816" width="9" style="217"/>
    <col min="2817" max="2825" width="9.19921875" style="217" customWidth="1"/>
    <col min="2826" max="2826" width="13.59765625" style="217" customWidth="1"/>
    <col min="2827" max="2827" width="26.69921875" style="217" customWidth="1"/>
    <col min="2828" max="2831" width="13.59765625" style="217" customWidth="1"/>
    <col min="2832" max="3072" width="9" style="217"/>
    <col min="3073" max="3081" width="9.19921875" style="217" customWidth="1"/>
    <col min="3082" max="3082" width="13.59765625" style="217" customWidth="1"/>
    <col min="3083" max="3083" width="26.69921875" style="217" customWidth="1"/>
    <col min="3084" max="3087" width="13.59765625" style="217" customWidth="1"/>
    <col min="3088" max="3328" width="9" style="217"/>
    <col min="3329" max="3337" width="9.19921875" style="217" customWidth="1"/>
    <col min="3338" max="3338" width="13.59765625" style="217" customWidth="1"/>
    <col min="3339" max="3339" width="26.69921875" style="217" customWidth="1"/>
    <col min="3340" max="3343" width="13.59765625" style="217" customWidth="1"/>
    <col min="3344" max="3584" width="9" style="217"/>
    <col min="3585" max="3593" width="9.19921875" style="217" customWidth="1"/>
    <col min="3594" max="3594" width="13.59765625" style="217" customWidth="1"/>
    <col min="3595" max="3595" width="26.69921875" style="217" customWidth="1"/>
    <col min="3596" max="3599" width="13.59765625" style="217" customWidth="1"/>
    <col min="3600" max="3840" width="9" style="217"/>
    <col min="3841" max="3849" width="9.19921875" style="217" customWidth="1"/>
    <col min="3850" max="3850" width="13.59765625" style="217" customWidth="1"/>
    <col min="3851" max="3851" width="26.69921875" style="217" customWidth="1"/>
    <col min="3852" max="3855" width="13.59765625" style="217" customWidth="1"/>
    <col min="3856" max="4096" width="9" style="217"/>
    <col min="4097" max="4105" width="9.19921875" style="217" customWidth="1"/>
    <col min="4106" max="4106" width="13.59765625" style="217" customWidth="1"/>
    <col min="4107" max="4107" width="26.69921875" style="217" customWidth="1"/>
    <col min="4108" max="4111" width="13.59765625" style="217" customWidth="1"/>
    <col min="4112" max="4352" width="9" style="217"/>
    <col min="4353" max="4361" width="9.19921875" style="217" customWidth="1"/>
    <col min="4362" max="4362" width="13.59765625" style="217" customWidth="1"/>
    <col min="4363" max="4363" width="26.69921875" style="217" customWidth="1"/>
    <col min="4364" max="4367" width="13.59765625" style="217" customWidth="1"/>
    <col min="4368" max="4608" width="9" style="217"/>
    <col min="4609" max="4617" width="9.19921875" style="217" customWidth="1"/>
    <col min="4618" max="4618" width="13.59765625" style="217" customWidth="1"/>
    <col min="4619" max="4619" width="26.69921875" style="217" customWidth="1"/>
    <col min="4620" max="4623" width="13.59765625" style="217" customWidth="1"/>
    <col min="4624" max="4864" width="9" style="217"/>
    <col min="4865" max="4873" width="9.19921875" style="217" customWidth="1"/>
    <col min="4874" max="4874" width="13.59765625" style="217" customWidth="1"/>
    <col min="4875" max="4875" width="26.69921875" style="217" customWidth="1"/>
    <col min="4876" max="4879" width="13.59765625" style="217" customWidth="1"/>
    <col min="4880" max="5120" width="9" style="217"/>
    <col min="5121" max="5129" width="9.19921875" style="217" customWidth="1"/>
    <col min="5130" max="5130" width="13.59765625" style="217" customWidth="1"/>
    <col min="5131" max="5131" width="26.69921875" style="217" customWidth="1"/>
    <col min="5132" max="5135" width="13.59765625" style="217" customWidth="1"/>
    <col min="5136" max="5376" width="9" style="217"/>
    <col min="5377" max="5385" width="9.19921875" style="217" customWidth="1"/>
    <col min="5386" max="5386" width="13.59765625" style="217" customWidth="1"/>
    <col min="5387" max="5387" width="26.69921875" style="217" customWidth="1"/>
    <col min="5388" max="5391" width="13.59765625" style="217" customWidth="1"/>
    <col min="5392" max="5632" width="9" style="217"/>
    <col min="5633" max="5641" width="9.19921875" style="217" customWidth="1"/>
    <col min="5642" max="5642" width="13.59765625" style="217" customWidth="1"/>
    <col min="5643" max="5643" width="26.69921875" style="217" customWidth="1"/>
    <col min="5644" max="5647" width="13.59765625" style="217" customWidth="1"/>
    <col min="5648" max="5888" width="9" style="217"/>
    <col min="5889" max="5897" width="9.19921875" style="217" customWidth="1"/>
    <col min="5898" max="5898" width="13.59765625" style="217" customWidth="1"/>
    <col min="5899" max="5899" width="26.69921875" style="217" customWidth="1"/>
    <col min="5900" max="5903" width="13.59765625" style="217" customWidth="1"/>
    <col min="5904" max="6144" width="9" style="217"/>
    <col min="6145" max="6153" width="9.19921875" style="217" customWidth="1"/>
    <col min="6154" max="6154" width="13.59765625" style="217" customWidth="1"/>
    <col min="6155" max="6155" width="26.69921875" style="217" customWidth="1"/>
    <col min="6156" max="6159" width="13.59765625" style="217" customWidth="1"/>
    <col min="6160" max="6400" width="9" style="217"/>
    <col min="6401" max="6409" width="9.19921875" style="217" customWidth="1"/>
    <col min="6410" max="6410" width="13.59765625" style="217" customWidth="1"/>
    <col min="6411" max="6411" width="26.69921875" style="217" customWidth="1"/>
    <col min="6412" max="6415" width="13.59765625" style="217" customWidth="1"/>
    <col min="6416" max="6656" width="9" style="217"/>
    <col min="6657" max="6665" width="9.19921875" style="217" customWidth="1"/>
    <col min="6666" max="6666" width="13.59765625" style="217" customWidth="1"/>
    <col min="6667" max="6667" width="26.69921875" style="217" customWidth="1"/>
    <col min="6668" max="6671" width="13.59765625" style="217" customWidth="1"/>
    <col min="6672" max="6912" width="9" style="217"/>
    <col min="6913" max="6921" width="9.19921875" style="217" customWidth="1"/>
    <col min="6922" max="6922" width="13.59765625" style="217" customWidth="1"/>
    <col min="6923" max="6923" width="26.69921875" style="217" customWidth="1"/>
    <col min="6924" max="6927" width="13.59765625" style="217" customWidth="1"/>
    <col min="6928" max="7168" width="9" style="217"/>
    <col min="7169" max="7177" width="9.19921875" style="217" customWidth="1"/>
    <col min="7178" max="7178" width="13.59765625" style="217" customWidth="1"/>
    <col min="7179" max="7179" width="26.69921875" style="217" customWidth="1"/>
    <col min="7180" max="7183" width="13.59765625" style="217" customWidth="1"/>
    <col min="7184" max="7424" width="9" style="217"/>
    <col min="7425" max="7433" width="9.19921875" style="217" customWidth="1"/>
    <col min="7434" max="7434" width="13.59765625" style="217" customWidth="1"/>
    <col min="7435" max="7435" width="26.69921875" style="217" customWidth="1"/>
    <col min="7436" max="7439" width="13.59765625" style="217" customWidth="1"/>
    <col min="7440" max="7680" width="9" style="217"/>
    <col min="7681" max="7689" width="9.19921875" style="217" customWidth="1"/>
    <col min="7690" max="7690" width="13.59765625" style="217" customWidth="1"/>
    <col min="7691" max="7691" width="26.69921875" style="217" customWidth="1"/>
    <col min="7692" max="7695" width="13.59765625" style="217" customWidth="1"/>
    <col min="7696" max="7936" width="9" style="217"/>
    <col min="7937" max="7945" width="9.19921875" style="217" customWidth="1"/>
    <col min="7946" max="7946" width="13.59765625" style="217" customWidth="1"/>
    <col min="7947" max="7947" width="26.69921875" style="217" customWidth="1"/>
    <col min="7948" max="7951" width="13.59765625" style="217" customWidth="1"/>
    <col min="7952" max="8192" width="9" style="217"/>
    <col min="8193" max="8201" width="9.19921875" style="217" customWidth="1"/>
    <col min="8202" max="8202" width="13.59765625" style="217" customWidth="1"/>
    <col min="8203" max="8203" width="26.69921875" style="217" customWidth="1"/>
    <col min="8204" max="8207" width="13.59765625" style="217" customWidth="1"/>
    <col min="8208" max="8448" width="9" style="217"/>
    <col min="8449" max="8457" width="9.19921875" style="217" customWidth="1"/>
    <col min="8458" max="8458" width="13.59765625" style="217" customWidth="1"/>
    <col min="8459" max="8459" width="26.69921875" style="217" customWidth="1"/>
    <col min="8460" max="8463" width="13.59765625" style="217" customWidth="1"/>
    <col min="8464" max="8704" width="9" style="217"/>
    <col min="8705" max="8713" width="9.19921875" style="217" customWidth="1"/>
    <col min="8714" max="8714" width="13.59765625" style="217" customWidth="1"/>
    <col min="8715" max="8715" width="26.69921875" style="217" customWidth="1"/>
    <col min="8716" max="8719" width="13.59765625" style="217" customWidth="1"/>
    <col min="8720" max="8960" width="9" style="217"/>
    <col min="8961" max="8969" width="9.19921875" style="217" customWidth="1"/>
    <col min="8970" max="8970" width="13.59765625" style="217" customWidth="1"/>
    <col min="8971" max="8971" width="26.69921875" style="217" customWidth="1"/>
    <col min="8972" max="8975" width="13.59765625" style="217" customWidth="1"/>
    <col min="8976" max="9216" width="9" style="217"/>
    <col min="9217" max="9225" width="9.19921875" style="217" customWidth="1"/>
    <col min="9226" max="9226" width="13.59765625" style="217" customWidth="1"/>
    <col min="9227" max="9227" width="26.69921875" style="217" customWidth="1"/>
    <col min="9228" max="9231" width="13.59765625" style="217" customWidth="1"/>
    <col min="9232" max="9472" width="9" style="217"/>
    <col min="9473" max="9481" width="9.19921875" style="217" customWidth="1"/>
    <col min="9482" max="9482" width="13.59765625" style="217" customWidth="1"/>
    <col min="9483" max="9483" width="26.69921875" style="217" customWidth="1"/>
    <col min="9484" max="9487" width="13.59765625" style="217" customWidth="1"/>
    <col min="9488" max="9728" width="9" style="217"/>
    <col min="9729" max="9737" width="9.19921875" style="217" customWidth="1"/>
    <col min="9738" max="9738" width="13.59765625" style="217" customWidth="1"/>
    <col min="9739" max="9739" width="26.69921875" style="217" customWidth="1"/>
    <col min="9740" max="9743" width="13.59765625" style="217" customWidth="1"/>
    <col min="9744" max="9984" width="9" style="217"/>
    <col min="9985" max="9993" width="9.19921875" style="217" customWidth="1"/>
    <col min="9994" max="9994" width="13.59765625" style="217" customWidth="1"/>
    <col min="9995" max="9995" width="26.69921875" style="217" customWidth="1"/>
    <col min="9996" max="9999" width="13.59765625" style="217" customWidth="1"/>
    <col min="10000" max="10240" width="9" style="217"/>
    <col min="10241" max="10249" width="9.19921875" style="217" customWidth="1"/>
    <col min="10250" max="10250" width="13.59765625" style="217" customWidth="1"/>
    <col min="10251" max="10251" width="26.69921875" style="217" customWidth="1"/>
    <col min="10252" max="10255" width="13.59765625" style="217" customWidth="1"/>
    <col min="10256" max="10496" width="9" style="217"/>
    <col min="10497" max="10505" width="9.19921875" style="217" customWidth="1"/>
    <col min="10506" max="10506" width="13.59765625" style="217" customWidth="1"/>
    <col min="10507" max="10507" width="26.69921875" style="217" customWidth="1"/>
    <col min="10508" max="10511" width="13.59765625" style="217" customWidth="1"/>
    <col min="10512" max="10752" width="9" style="217"/>
    <col min="10753" max="10761" width="9.19921875" style="217" customWidth="1"/>
    <col min="10762" max="10762" width="13.59765625" style="217" customWidth="1"/>
    <col min="10763" max="10763" width="26.69921875" style="217" customWidth="1"/>
    <col min="10764" max="10767" width="13.59765625" style="217" customWidth="1"/>
    <col min="10768" max="11008" width="9" style="217"/>
    <col min="11009" max="11017" width="9.19921875" style="217" customWidth="1"/>
    <col min="11018" max="11018" width="13.59765625" style="217" customWidth="1"/>
    <col min="11019" max="11019" width="26.69921875" style="217" customWidth="1"/>
    <col min="11020" max="11023" width="13.59765625" style="217" customWidth="1"/>
    <col min="11024" max="11264" width="9" style="217"/>
    <col min="11265" max="11273" width="9.19921875" style="217" customWidth="1"/>
    <col min="11274" max="11274" width="13.59765625" style="217" customWidth="1"/>
    <col min="11275" max="11275" width="26.69921875" style="217" customWidth="1"/>
    <col min="11276" max="11279" width="13.59765625" style="217" customWidth="1"/>
    <col min="11280" max="11520" width="9" style="217"/>
    <col min="11521" max="11529" width="9.19921875" style="217" customWidth="1"/>
    <col min="11530" max="11530" width="13.59765625" style="217" customWidth="1"/>
    <col min="11531" max="11531" width="26.69921875" style="217" customWidth="1"/>
    <col min="11532" max="11535" width="13.59765625" style="217" customWidth="1"/>
    <col min="11536" max="11776" width="9" style="217"/>
    <col min="11777" max="11785" width="9.19921875" style="217" customWidth="1"/>
    <col min="11786" max="11786" width="13.59765625" style="217" customWidth="1"/>
    <col min="11787" max="11787" width="26.69921875" style="217" customWidth="1"/>
    <col min="11788" max="11791" width="13.59765625" style="217" customWidth="1"/>
    <col min="11792" max="12032" width="9" style="217"/>
    <col min="12033" max="12041" width="9.19921875" style="217" customWidth="1"/>
    <col min="12042" max="12042" width="13.59765625" style="217" customWidth="1"/>
    <col min="12043" max="12043" width="26.69921875" style="217" customWidth="1"/>
    <col min="12044" max="12047" width="13.59765625" style="217" customWidth="1"/>
    <col min="12048" max="12288" width="9" style="217"/>
    <col min="12289" max="12297" width="9.19921875" style="217" customWidth="1"/>
    <col min="12298" max="12298" width="13.59765625" style="217" customWidth="1"/>
    <col min="12299" max="12299" width="26.69921875" style="217" customWidth="1"/>
    <col min="12300" max="12303" width="13.59765625" style="217" customWidth="1"/>
    <col min="12304" max="12544" width="9" style="217"/>
    <col min="12545" max="12553" width="9.19921875" style="217" customWidth="1"/>
    <col min="12554" max="12554" width="13.59765625" style="217" customWidth="1"/>
    <col min="12555" max="12555" width="26.69921875" style="217" customWidth="1"/>
    <col min="12556" max="12559" width="13.59765625" style="217" customWidth="1"/>
    <col min="12560" max="12800" width="9" style="217"/>
    <col min="12801" max="12809" width="9.19921875" style="217" customWidth="1"/>
    <col min="12810" max="12810" width="13.59765625" style="217" customWidth="1"/>
    <col min="12811" max="12811" width="26.69921875" style="217" customWidth="1"/>
    <col min="12812" max="12815" width="13.59765625" style="217" customWidth="1"/>
    <col min="12816" max="13056" width="9" style="217"/>
    <col min="13057" max="13065" width="9.19921875" style="217" customWidth="1"/>
    <col min="13066" max="13066" width="13.59765625" style="217" customWidth="1"/>
    <col min="13067" max="13067" width="26.69921875" style="217" customWidth="1"/>
    <col min="13068" max="13071" width="13.59765625" style="217" customWidth="1"/>
    <col min="13072" max="13312" width="9" style="217"/>
    <col min="13313" max="13321" width="9.19921875" style="217" customWidth="1"/>
    <col min="13322" max="13322" width="13.59765625" style="217" customWidth="1"/>
    <col min="13323" max="13323" width="26.69921875" style="217" customWidth="1"/>
    <col min="13324" max="13327" width="13.59765625" style="217" customWidth="1"/>
    <col min="13328" max="13568" width="9" style="217"/>
    <col min="13569" max="13577" width="9.19921875" style="217" customWidth="1"/>
    <col min="13578" max="13578" width="13.59765625" style="217" customWidth="1"/>
    <col min="13579" max="13579" width="26.69921875" style="217" customWidth="1"/>
    <col min="13580" max="13583" width="13.59765625" style="217" customWidth="1"/>
    <col min="13584" max="13824" width="9" style="217"/>
    <col min="13825" max="13833" width="9.19921875" style="217" customWidth="1"/>
    <col min="13834" max="13834" width="13.59765625" style="217" customWidth="1"/>
    <col min="13835" max="13835" width="26.69921875" style="217" customWidth="1"/>
    <col min="13836" max="13839" width="13.59765625" style="217" customWidth="1"/>
    <col min="13840" max="14080" width="9" style="217"/>
    <col min="14081" max="14089" width="9.19921875" style="217" customWidth="1"/>
    <col min="14090" max="14090" width="13.59765625" style="217" customWidth="1"/>
    <col min="14091" max="14091" width="26.69921875" style="217" customWidth="1"/>
    <col min="14092" max="14095" width="13.59765625" style="217" customWidth="1"/>
    <col min="14096" max="14336" width="9" style="217"/>
    <col min="14337" max="14345" width="9.19921875" style="217" customWidth="1"/>
    <col min="14346" max="14346" width="13.59765625" style="217" customWidth="1"/>
    <col min="14347" max="14347" width="26.69921875" style="217" customWidth="1"/>
    <col min="14348" max="14351" width="13.59765625" style="217" customWidth="1"/>
    <col min="14352" max="14592" width="9" style="217"/>
    <col min="14593" max="14601" width="9.19921875" style="217" customWidth="1"/>
    <col min="14602" max="14602" width="13.59765625" style="217" customWidth="1"/>
    <col min="14603" max="14603" width="26.69921875" style="217" customWidth="1"/>
    <col min="14604" max="14607" width="13.59765625" style="217" customWidth="1"/>
    <col min="14608" max="14848" width="9" style="217"/>
    <col min="14849" max="14857" width="9.19921875" style="217" customWidth="1"/>
    <col min="14858" max="14858" width="13.59765625" style="217" customWidth="1"/>
    <col min="14859" max="14859" width="26.69921875" style="217" customWidth="1"/>
    <col min="14860" max="14863" width="13.59765625" style="217" customWidth="1"/>
    <col min="14864" max="15104" width="9" style="217"/>
    <col min="15105" max="15113" width="9.19921875" style="217" customWidth="1"/>
    <col min="15114" max="15114" width="13.59765625" style="217" customWidth="1"/>
    <col min="15115" max="15115" width="26.69921875" style="217" customWidth="1"/>
    <col min="15116" max="15119" width="13.59765625" style="217" customWidth="1"/>
    <col min="15120" max="15360" width="9" style="217"/>
    <col min="15361" max="15369" width="9.19921875" style="217" customWidth="1"/>
    <col min="15370" max="15370" width="13.59765625" style="217" customWidth="1"/>
    <col min="15371" max="15371" width="26.69921875" style="217" customWidth="1"/>
    <col min="15372" max="15375" width="13.59765625" style="217" customWidth="1"/>
    <col min="15376" max="15616" width="9" style="217"/>
    <col min="15617" max="15625" width="9.19921875" style="217" customWidth="1"/>
    <col min="15626" max="15626" width="13.59765625" style="217" customWidth="1"/>
    <col min="15627" max="15627" width="26.69921875" style="217" customWidth="1"/>
    <col min="15628" max="15631" width="13.59765625" style="217" customWidth="1"/>
    <col min="15632" max="15872" width="9" style="217"/>
    <col min="15873" max="15881" width="9.19921875" style="217" customWidth="1"/>
    <col min="15882" max="15882" width="13.59765625" style="217" customWidth="1"/>
    <col min="15883" max="15883" width="26.69921875" style="217" customWidth="1"/>
    <col min="15884" max="15887" width="13.59765625" style="217" customWidth="1"/>
    <col min="15888" max="16128" width="9" style="217"/>
    <col min="16129" max="16137" width="9.19921875" style="217" customWidth="1"/>
    <col min="16138" max="16138" width="13.59765625" style="217" customWidth="1"/>
    <col min="16139" max="16139" width="26.69921875" style="217" customWidth="1"/>
    <col min="16140" max="16143" width="13.59765625" style="217" customWidth="1"/>
    <col min="16144" max="16384" width="9" style="217"/>
  </cols>
  <sheetData>
    <row r="1" spans="1:15" s="212" customFormat="1" ht="15" customHeight="1">
      <c r="K1" s="213" t="s">
        <v>368</v>
      </c>
    </row>
    <row r="2" spans="1:15" ht="15" customHeight="1">
      <c r="A2" s="214" t="s">
        <v>728</v>
      </c>
      <c r="B2" s="213"/>
      <c r="C2" s="213"/>
      <c r="D2" s="213"/>
      <c r="H2" s="215" t="str">
        <f>'SP5-1'!L2</f>
        <v>Spreadsheet May 2025</v>
      </c>
      <c r="K2" s="216" t="s">
        <v>369</v>
      </c>
    </row>
    <row r="3" spans="1:15" s="212" customFormat="1" ht="15" customHeight="1">
      <c r="A3" s="218" t="s">
        <v>661</v>
      </c>
      <c r="B3" s="213"/>
      <c r="C3" s="213"/>
      <c r="D3" s="213"/>
    </row>
    <row r="4" spans="1:15" s="212" customFormat="1" ht="15" customHeight="1" thickBot="1">
      <c r="A4" s="213"/>
      <c r="B4" s="213"/>
      <c r="C4" s="213"/>
      <c r="D4" s="213"/>
    </row>
    <row r="5" spans="1:15" s="212" customFormat="1" ht="19.5" customHeight="1" thickBot="1">
      <c r="A5" s="222" t="s">
        <v>414</v>
      </c>
      <c r="B5" s="222"/>
      <c r="C5" s="298" t="s">
        <v>384</v>
      </c>
      <c r="D5" s="299">
        <f>'SP5-1'!I21</f>
        <v>0</v>
      </c>
      <c r="E5" s="222"/>
      <c r="F5" s="222"/>
      <c r="G5" s="222"/>
      <c r="H5" s="222"/>
      <c r="I5" s="222"/>
    </row>
    <row r="6" spans="1:15" s="212" customFormat="1" ht="19.5" customHeight="1" thickBot="1">
      <c r="A6" s="222" t="s">
        <v>482</v>
      </c>
      <c r="B6" s="222"/>
      <c r="C6" s="300" t="s">
        <v>384</v>
      </c>
      <c r="D6" s="301">
        <f>'SP5-1'!I27</f>
        <v>0</v>
      </c>
      <c r="E6" s="222"/>
      <c r="F6" s="222"/>
      <c r="G6" s="222"/>
      <c r="H6" s="222"/>
      <c r="I6" s="222"/>
    </row>
    <row r="7" spans="1:15" s="212" customFormat="1" ht="19.5" customHeight="1" thickBot="1">
      <c r="A7" s="222"/>
      <c r="B7" s="222"/>
      <c r="C7" s="222"/>
      <c r="D7" s="222"/>
      <c r="E7" s="222"/>
      <c r="F7" s="222"/>
      <c r="G7" s="222"/>
      <c r="H7" s="222"/>
      <c r="I7" s="222"/>
    </row>
    <row r="8" spans="1:15" s="212" customFormat="1" ht="30" customHeight="1" thickBot="1">
      <c r="A8" s="613" t="s">
        <v>807</v>
      </c>
      <c r="B8" s="613"/>
      <c r="C8" s="613"/>
      <c r="D8" s="613"/>
      <c r="E8" s="302" t="s">
        <v>433</v>
      </c>
      <c r="F8" s="303" t="s">
        <v>483</v>
      </c>
      <c r="G8" s="303" t="s">
        <v>484</v>
      </c>
      <c r="H8" s="303" t="s">
        <v>485</v>
      </c>
      <c r="I8" s="303" t="s">
        <v>808</v>
      </c>
    </row>
    <row r="9" spans="1:15" s="212" customFormat="1" ht="19.5" customHeight="1" thickBot="1">
      <c r="A9" s="304" t="s">
        <v>809</v>
      </c>
      <c r="B9" s="304"/>
      <c r="C9" s="304"/>
      <c r="D9" s="304"/>
      <c r="E9" s="304"/>
      <c r="F9" s="304"/>
      <c r="G9" s="304"/>
      <c r="H9" s="304"/>
      <c r="I9" s="304"/>
    </row>
    <row r="10" spans="1:15" s="212" customFormat="1" ht="19.5" customHeight="1" thickTop="1" thickBot="1">
      <c r="A10" s="305" t="s">
        <v>810</v>
      </c>
      <c r="B10" s="306"/>
      <c r="C10" s="306"/>
      <c r="D10" s="307"/>
      <c r="E10" s="308"/>
      <c r="F10" s="309"/>
      <c r="G10" s="309"/>
      <c r="H10" s="309"/>
      <c r="I10" s="309"/>
      <c r="K10" s="614" t="s">
        <v>811</v>
      </c>
      <c r="L10" s="615"/>
      <c r="M10" s="615"/>
      <c r="N10" s="615"/>
      <c r="O10" s="615"/>
    </row>
    <row r="11" spans="1:15" s="212" customFormat="1" ht="19.5" customHeight="1" thickTop="1" thickBot="1">
      <c r="A11" s="305" t="s">
        <v>812</v>
      </c>
      <c r="B11" s="310"/>
      <c r="C11" s="310"/>
      <c r="D11" s="310"/>
      <c r="E11" s="308"/>
      <c r="F11" s="309"/>
      <c r="G11" s="309"/>
      <c r="H11" s="309"/>
      <c r="I11" s="309"/>
      <c r="K11" s="615"/>
      <c r="L11" s="615"/>
      <c r="M11" s="615"/>
      <c r="N11" s="615"/>
      <c r="O11" s="615"/>
    </row>
    <row r="12" spans="1:15" s="212" customFormat="1" ht="19.5" customHeight="1" thickTop="1" thickBot="1">
      <c r="A12" s="305" t="s">
        <v>813</v>
      </c>
      <c r="B12" s="311"/>
      <c r="C12" s="311"/>
      <c r="D12" s="311"/>
      <c r="E12" s="308"/>
      <c r="F12" s="309"/>
      <c r="G12" s="309"/>
      <c r="H12" s="309"/>
      <c r="I12" s="309"/>
      <c r="K12" s="615"/>
      <c r="L12" s="615"/>
      <c r="M12" s="615"/>
      <c r="N12" s="615"/>
      <c r="O12" s="615"/>
    </row>
    <row r="13" spans="1:15" s="212" customFormat="1" ht="19.5" customHeight="1" thickBot="1">
      <c r="A13" s="616" t="s">
        <v>814</v>
      </c>
      <c r="B13" s="616"/>
      <c r="C13" s="616"/>
      <c r="D13" s="616"/>
      <c r="E13" s="312">
        <f>SUM(E10:E12)</f>
        <v>0</v>
      </c>
      <c r="F13" s="312">
        <f>SUM(F10:F12)</f>
        <v>0</v>
      </c>
      <c r="G13" s="312">
        <f>SUM(G10:G12)</f>
        <v>0</v>
      </c>
      <c r="H13" s="312">
        <f>SUM(H10:H12)</f>
        <v>0</v>
      </c>
      <c r="I13" s="312">
        <f>SUM(I10:I12)</f>
        <v>0</v>
      </c>
      <c r="K13" s="213"/>
      <c r="L13" s="213"/>
      <c r="M13" s="213"/>
      <c r="N13" s="213"/>
      <c r="O13" s="213"/>
    </row>
    <row r="14" spans="1:15" s="212" customFormat="1" ht="19.5" customHeight="1" thickBot="1">
      <c r="A14" s="304" t="s">
        <v>259</v>
      </c>
      <c r="B14" s="304"/>
      <c r="C14" s="304"/>
      <c r="D14" s="304"/>
      <c r="E14" s="304"/>
      <c r="F14" s="304"/>
      <c r="G14" s="304"/>
      <c r="H14" s="304"/>
      <c r="I14" s="304"/>
      <c r="K14" s="213"/>
      <c r="L14" s="213"/>
      <c r="M14" s="213"/>
      <c r="N14" s="213"/>
      <c r="O14" s="213"/>
    </row>
    <row r="15" spans="1:15" s="212" customFormat="1" ht="19.5" customHeight="1" thickBot="1">
      <c r="A15" s="616" t="s">
        <v>815</v>
      </c>
      <c r="B15" s="616"/>
      <c r="C15" s="616"/>
      <c r="D15" s="616"/>
      <c r="E15" s="308"/>
      <c r="F15" s="309"/>
      <c r="G15" s="309"/>
      <c r="H15" s="309"/>
      <c r="I15" s="309"/>
      <c r="K15" s="213"/>
      <c r="L15" s="213"/>
      <c r="M15" s="213"/>
      <c r="N15" s="213"/>
      <c r="O15" s="213"/>
    </row>
    <row r="16" spans="1:15" s="212" customFormat="1" ht="19.5" customHeight="1" thickBot="1">
      <c r="A16" s="313" t="s">
        <v>816</v>
      </c>
      <c r="B16" s="311"/>
      <c r="C16" s="311"/>
      <c r="D16" s="311"/>
      <c r="E16" s="308"/>
      <c r="F16" s="309"/>
      <c r="G16" s="309"/>
      <c r="H16" s="309"/>
      <c r="I16" s="309"/>
      <c r="K16" s="213"/>
      <c r="L16" s="213"/>
      <c r="M16" s="213"/>
      <c r="N16" s="213"/>
      <c r="O16" s="213"/>
    </row>
    <row r="17" spans="1:15" s="212" customFormat="1" ht="19.5" customHeight="1" thickBot="1">
      <c r="A17" s="313" t="s">
        <v>817</v>
      </c>
      <c r="B17" s="311"/>
      <c r="C17" s="311"/>
      <c r="D17" s="311"/>
      <c r="E17" s="312">
        <f>SUM(E15:E16)</f>
        <v>0</v>
      </c>
      <c r="F17" s="312">
        <f>SUM(F15:F16)</f>
        <v>0</v>
      </c>
      <c r="G17" s="312">
        <f>SUM(G15:G16)</f>
        <v>0</v>
      </c>
      <c r="H17" s="312">
        <f>SUM(H15:H16)</f>
        <v>0</v>
      </c>
      <c r="I17" s="312">
        <f>SUM(I15:I16)</f>
        <v>0</v>
      </c>
      <c r="K17" s="213"/>
      <c r="L17" s="213"/>
      <c r="M17" s="213"/>
      <c r="N17" s="213"/>
      <c r="O17" s="213"/>
    </row>
    <row r="18" spans="1:15" s="212" customFormat="1" ht="19.5" customHeight="1" thickBot="1">
      <c r="A18" s="313"/>
      <c r="B18" s="311"/>
      <c r="C18" s="311"/>
      <c r="D18" s="311"/>
      <c r="E18" s="311"/>
      <c r="F18" s="311"/>
      <c r="G18" s="311"/>
      <c r="H18" s="311"/>
      <c r="I18" s="311"/>
      <c r="K18" s="213"/>
      <c r="L18" s="213"/>
      <c r="M18" s="213"/>
      <c r="N18" s="213"/>
      <c r="O18" s="213"/>
    </row>
    <row r="19" spans="1:15" s="212" customFormat="1" ht="19.5" customHeight="1" thickBot="1">
      <c r="A19" s="314" t="s">
        <v>818</v>
      </c>
      <c r="B19" s="315"/>
      <c r="C19" s="315"/>
      <c r="D19" s="316"/>
      <c r="E19" s="304"/>
      <c r="F19" s="317">
        <f>IF(F17=0,0,(F13-#REF!)/(F17-#REF!))</f>
        <v>0</v>
      </c>
      <c r="G19" s="317">
        <f>IF(G17=0,0,(G13-#REF!)/(G17-#REF!))</f>
        <v>0</v>
      </c>
      <c r="H19" s="317">
        <f>IF(H17=0,0,(H13-#REF!)/(H17-#REF!))</f>
        <v>0</v>
      </c>
      <c r="I19" s="317">
        <f>IF(I17=0,0,(I13-#REF!)/(I17-#REF!))</f>
        <v>0</v>
      </c>
      <c r="K19" s="213"/>
      <c r="L19" s="213"/>
      <c r="M19" s="213"/>
      <c r="N19" s="213"/>
      <c r="O19" s="213"/>
    </row>
    <row r="20" spans="1:15" s="212" customFormat="1" ht="19.5" customHeight="1" thickBot="1">
      <c r="A20" s="313" t="s">
        <v>486</v>
      </c>
      <c r="B20" s="318"/>
      <c r="C20" s="313"/>
      <c r="D20" s="313"/>
      <c r="E20" s="319"/>
      <c r="F20" s="304"/>
      <c r="G20" s="304"/>
      <c r="H20" s="304"/>
      <c r="I20" s="304"/>
      <c r="K20" s="508" t="s">
        <v>487</v>
      </c>
      <c r="L20" s="508"/>
      <c r="M20" s="508"/>
      <c r="N20" s="508"/>
      <c r="O20" s="508"/>
    </row>
    <row r="21" spans="1:15" s="212" customFormat="1" ht="19.5" customHeight="1" thickBot="1">
      <c r="A21" s="320"/>
      <c r="B21" s="320"/>
      <c r="C21" s="320"/>
      <c r="D21" s="320"/>
      <c r="E21" s="320"/>
      <c r="F21" s="320"/>
      <c r="G21" s="320"/>
      <c r="H21" s="320"/>
      <c r="I21" s="320"/>
      <c r="K21" s="213"/>
      <c r="L21" s="213"/>
      <c r="M21" s="213"/>
      <c r="N21" s="213"/>
      <c r="O21" s="213"/>
    </row>
    <row r="22" spans="1:15" s="212" customFormat="1" ht="19.5" customHeight="1" thickBot="1">
      <c r="A22" s="313"/>
      <c r="B22" s="313"/>
      <c r="C22" s="313"/>
      <c r="D22" s="313"/>
      <c r="E22" s="321"/>
      <c r="F22" s="321"/>
      <c r="G22" s="321"/>
      <c r="H22" s="321"/>
      <c r="I22" s="321"/>
      <c r="K22" s="213"/>
      <c r="L22" s="213"/>
      <c r="M22" s="213"/>
      <c r="N22" s="213"/>
      <c r="O22" s="213"/>
    </row>
    <row r="23" spans="1:15" s="212" customFormat="1" ht="19.5" customHeight="1" thickBot="1">
      <c r="A23" s="612" t="s">
        <v>488</v>
      </c>
      <c r="B23" s="612"/>
      <c r="C23" s="612"/>
      <c r="D23" s="612" t="s">
        <v>489</v>
      </c>
      <c r="E23" s="612"/>
      <c r="F23" s="612"/>
      <c r="G23" s="612" t="s">
        <v>490</v>
      </c>
      <c r="H23" s="612"/>
      <c r="I23" s="612"/>
      <c r="K23" s="482" t="s">
        <v>491</v>
      </c>
      <c r="L23" s="482"/>
      <c r="M23" s="482"/>
      <c r="N23" s="482"/>
      <c r="O23" s="482"/>
    </row>
    <row r="24" spans="1:15" s="212" customFormat="1" ht="56.25" customHeight="1" thickBot="1">
      <c r="A24" s="322" t="s">
        <v>434</v>
      </c>
      <c r="B24" s="322" t="s">
        <v>492</v>
      </c>
      <c r="C24" s="322" t="s">
        <v>493</v>
      </c>
      <c r="D24" s="322" t="s">
        <v>434</v>
      </c>
      <c r="E24" s="322" t="s">
        <v>494</v>
      </c>
      <c r="F24" s="322" t="s">
        <v>495</v>
      </c>
      <c r="G24" s="322" t="s">
        <v>496</v>
      </c>
      <c r="H24" s="322" t="s">
        <v>497</v>
      </c>
      <c r="I24" s="323" t="s">
        <v>819</v>
      </c>
      <c r="K24" s="538"/>
      <c r="L24" s="538"/>
      <c r="M24" s="538"/>
      <c r="N24" s="538"/>
      <c r="O24" s="538"/>
    </row>
    <row r="25" spans="1:15" s="212" customFormat="1" ht="19.5" customHeight="1" thickBot="1">
      <c r="A25" s="324"/>
      <c r="B25" s="309"/>
      <c r="C25" s="309"/>
      <c r="D25" s="324"/>
      <c r="E25" s="309"/>
      <c r="F25" s="309"/>
      <c r="G25" s="325">
        <f>E25-B25</f>
        <v>0</v>
      </c>
      <c r="H25" s="325">
        <f>F25-C25</f>
        <v>0</v>
      </c>
      <c r="I25" s="326">
        <f>IF(G25=0,0,H25/G25)</f>
        <v>0</v>
      </c>
      <c r="K25" s="538"/>
      <c r="L25" s="538"/>
      <c r="M25" s="538"/>
      <c r="N25" s="538"/>
      <c r="O25" s="538"/>
    </row>
    <row r="26" spans="1:15" s="212" customFormat="1" ht="19.5" customHeight="1" thickBot="1">
      <c r="A26" s="324"/>
      <c r="B26" s="309"/>
      <c r="C26" s="309"/>
      <c r="D26" s="324"/>
      <c r="E26" s="309"/>
      <c r="F26" s="309"/>
      <c r="G26" s="325">
        <f t="shared" ref="G26:H28" si="0">E26-B26</f>
        <v>0</v>
      </c>
      <c r="H26" s="325">
        <f t="shared" si="0"/>
        <v>0</v>
      </c>
      <c r="I26" s="326">
        <f>IF(G26=0,0,H26/G26)</f>
        <v>0</v>
      </c>
      <c r="K26" s="538"/>
      <c r="L26" s="538"/>
      <c r="M26" s="538"/>
      <c r="N26" s="538"/>
      <c r="O26" s="538"/>
    </row>
    <row r="27" spans="1:15" s="212" customFormat="1" ht="19.5" customHeight="1" thickBot="1">
      <c r="A27" s="324"/>
      <c r="B27" s="309"/>
      <c r="C27" s="309"/>
      <c r="D27" s="324"/>
      <c r="E27" s="309"/>
      <c r="F27" s="309"/>
      <c r="G27" s="325">
        <f t="shared" si="0"/>
        <v>0</v>
      </c>
      <c r="H27" s="325">
        <f t="shared" si="0"/>
        <v>0</v>
      </c>
      <c r="I27" s="326">
        <f>IF(G27=0,0,H27/G27)</f>
        <v>0</v>
      </c>
      <c r="K27" s="538"/>
      <c r="L27" s="538"/>
      <c r="M27" s="538"/>
      <c r="N27" s="538"/>
      <c r="O27" s="538"/>
    </row>
    <row r="28" spans="1:15" ht="19.5" customHeight="1" thickBot="1">
      <c r="A28" s="324"/>
      <c r="B28" s="309"/>
      <c r="C28" s="309"/>
      <c r="D28" s="324"/>
      <c r="E28" s="309"/>
      <c r="F28" s="309"/>
      <c r="G28" s="325">
        <f t="shared" si="0"/>
        <v>0</v>
      </c>
      <c r="H28" s="325">
        <f t="shared" si="0"/>
        <v>0</v>
      </c>
      <c r="I28" s="326">
        <f>IF(G28=0,0,H28/G28)</f>
        <v>0</v>
      </c>
      <c r="K28" s="538"/>
      <c r="L28" s="538"/>
      <c r="M28" s="538"/>
      <c r="N28" s="538"/>
      <c r="O28" s="538"/>
    </row>
    <row r="29" spans="1:15" ht="13.2" thickBot="1">
      <c r="A29" s="232"/>
      <c r="B29" s="232"/>
      <c r="C29" s="232"/>
      <c r="D29" s="232"/>
      <c r="E29" s="232"/>
      <c r="F29" s="232"/>
      <c r="G29" s="232"/>
      <c r="H29" s="232"/>
      <c r="I29" s="222"/>
      <c r="K29" s="538"/>
      <c r="L29" s="538"/>
      <c r="M29" s="538"/>
      <c r="N29" s="538"/>
      <c r="O29" s="538"/>
    </row>
    <row r="30" spans="1:15">
      <c r="A30" s="213"/>
      <c r="B30" s="213"/>
      <c r="C30" s="213"/>
      <c r="D30" s="213"/>
    </row>
    <row r="31" spans="1:15">
      <c r="A31" s="213"/>
      <c r="B31" s="213"/>
      <c r="C31" s="213"/>
      <c r="D31" s="213"/>
    </row>
    <row r="32" spans="1:15">
      <c r="A32" s="213"/>
      <c r="B32" s="213"/>
      <c r="C32" s="213"/>
      <c r="D32" s="213"/>
    </row>
    <row r="33" spans="1:4">
      <c r="A33" s="213"/>
      <c r="B33" s="213"/>
      <c r="C33" s="213"/>
      <c r="D33" s="213"/>
    </row>
    <row r="34" spans="1:4">
      <c r="A34" s="213"/>
      <c r="B34" s="213"/>
      <c r="C34" s="213"/>
      <c r="D34" s="213"/>
    </row>
    <row r="35" spans="1:4">
      <c r="A35" s="213"/>
      <c r="B35" s="213"/>
      <c r="C35" s="213"/>
      <c r="D35" s="213"/>
    </row>
    <row r="36" spans="1:4">
      <c r="A36" s="213"/>
      <c r="B36" s="213"/>
      <c r="C36" s="213"/>
      <c r="D36" s="213"/>
    </row>
    <row r="37" spans="1:4">
      <c r="A37" s="213"/>
      <c r="B37" s="213"/>
      <c r="C37" s="213"/>
      <c r="D37" s="213"/>
    </row>
    <row r="38" spans="1:4">
      <c r="A38" s="213"/>
      <c r="B38" s="213"/>
      <c r="C38" s="213"/>
      <c r="D38" s="213"/>
    </row>
    <row r="39" spans="1:4">
      <c r="A39" s="213"/>
      <c r="B39" s="213"/>
      <c r="C39" s="213"/>
      <c r="D39" s="213"/>
    </row>
    <row r="40" spans="1:4">
      <c r="A40" s="213"/>
      <c r="B40" s="213"/>
      <c r="C40" s="213"/>
      <c r="D40" s="213"/>
    </row>
    <row r="41" spans="1:4">
      <c r="A41" s="213"/>
      <c r="B41" s="213"/>
      <c r="C41" s="213"/>
      <c r="D41" s="213"/>
    </row>
    <row r="42" spans="1:4">
      <c r="A42" s="213"/>
      <c r="B42" s="213"/>
      <c r="C42" s="213"/>
      <c r="D42" s="213"/>
    </row>
    <row r="43" spans="1:4">
      <c r="A43" s="213"/>
      <c r="B43" s="213"/>
      <c r="C43" s="213"/>
      <c r="D43" s="213"/>
    </row>
    <row r="44" spans="1:4">
      <c r="A44" s="213"/>
      <c r="B44" s="213"/>
      <c r="C44" s="213"/>
      <c r="D44" s="213"/>
    </row>
    <row r="45" spans="1:4">
      <c r="A45" s="213"/>
      <c r="B45" s="213"/>
      <c r="C45" s="213"/>
      <c r="D45" s="213"/>
    </row>
    <row r="46" spans="1:4">
      <c r="A46" s="213"/>
      <c r="B46" s="213"/>
      <c r="C46" s="213"/>
      <c r="D46" s="213"/>
    </row>
    <row r="47" spans="1:4">
      <c r="A47" s="213"/>
      <c r="B47" s="213"/>
      <c r="C47" s="213"/>
      <c r="D47" s="213"/>
    </row>
    <row r="48" spans="1:4">
      <c r="A48" s="213"/>
      <c r="B48" s="213"/>
      <c r="C48" s="213"/>
      <c r="D48" s="213"/>
    </row>
    <row r="49" spans="1:4">
      <c r="A49" s="213"/>
      <c r="B49" s="213"/>
      <c r="C49" s="213"/>
      <c r="D49" s="213"/>
    </row>
    <row r="50" spans="1:4">
      <c r="A50" s="213"/>
      <c r="B50" s="213"/>
      <c r="C50" s="213"/>
      <c r="D50" s="213"/>
    </row>
    <row r="51" spans="1:4">
      <c r="A51" s="213"/>
      <c r="B51" s="213"/>
      <c r="C51" s="213"/>
      <c r="D51" s="213"/>
    </row>
    <row r="52" spans="1:4">
      <c r="A52" s="213"/>
      <c r="B52" s="213"/>
      <c r="C52" s="213"/>
      <c r="D52" s="213"/>
    </row>
    <row r="53" spans="1:4">
      <c r="A53" s="213"/>
      <c r="B53" s="213"/>
      <c r="C53" s="213"/>
      <c r="D53" s="213"/>
    </row>
    <row r="54" spans="1:4">
      <c r="A54" s="213"/>
      <c r="B54" s="213"/>
      <c r="C54" s="213"/>
      <c r="D54" s="213"/>
    </row>
    <row r="55" spans="1:4">
      <c r="A55" s="213"/>
      <c r="B55" s="213"/>
      <c r="C55" s="213"/>
      <c r="D55" s="213"/>
    </row>
    <row r="56" spans="1:4">
      <c r="A56" s="213"/>
      <c r="B56" s="213"/>
      <c r="C56" s="213"/>
      <c r="D56" s="213"/>
    </row>
    <row r="57" spans="1:4">
      <c r="A57" s="213"/>
      <c r="B57" s="213"/>
      <c r="C57" s="213"/>
      <c r="D57" s="213"/>
    </row>
    <row r="58" spans="1:4">
      <c r="A58" s="213"/>
      <c r="B58" s="213"/>
      <c r="C58" s="213"/>
      <c r="D58" s="213"/>
    </row>
    <row r="59" spans="1:4">
      <c r="A59" s="213"/>
      <c r="B59" s="213"/>
      <c r="C59" s="213"/>
      <c r="D59" s="213"/>
    </row>
    <row r="60" spans="1:4">
      <c r="A60" s="213"/>
      <c r="B60" s="213"/>
      <c r="C60" s="213"/>
      <c r="D60" s="213"/>
    </row>
    <row r="61" spans="1:4">
      <c r="A61" s="213"/>
      <c r="B61" s="213"/>
      <c r="C61" s="213"/>
      <c r="D61" s="213"/>
    </row>
    <row r="62" spans="1:4">
      <c r="A62" s="213"/>
      <c r="B62" s="213"/>
      <c r="C62" s="213"/>
      <c r="D62" s="213"/>
    </row>
    <row r="63" spans="1:4">
      <c r="A63" s="213"/>
      <c r="B63" s="213"/>
      <c r="C63" s="213"/>
      <c r="D63" s="213"/>
    </row>
    <row r="64" spans="1:4">
      <c r="A64" s="213"/>
      <c r="B64" s="213"/>
      <c r="C64" s="213"/>
      <c r="D64" s="213"/>
    </row>
    <row r="65" spans="1:4">
      <c r="A65" s="213"/>
      <c r="B65" s="213"/>
      <c r="C65" s="213"/>
      <c r="D65" s="213"/>
    </row>
    <row r="66" spans="1:4">
      <c r="A66" s="213"/>
      <c r="B66" s="213"/>
      <c r="C66" s="213"/>
      <c r="D66" s="213"/>
    </row>
    <row r="67" spans="1:4">
      <c r="A67" s="213"/>
      <c r="B67" s="213"/>
      <c r="C67" s="213"/>
      <c r="D67" s="213"/>
    </row>
    <row r="68" spans="1:4">
      <c r="A68" s="213"/>
      <c r="B68" s="213"/>
      <c r="C68" s="213"/>
      <c r="D68" s="213"/>
    </row>
    <row r="69" spans="1:4">
      <c r="A69" s="213"/>
      <c r="B69" s="213"/>
      <c r="C69" s="213"/>
      <c r="D69" s="213"/>
    </row>
    <row r="70" spans="1:4">
      <c r="A70" s="213"/>
      <c r="B70" s="213"/>
      <c r="C70" s="213"/>
      <c r="D70" s="213"/>
    </row>
    <row r="71" spans="1:4">
      <c r="A71" s="213"/>
      <c r="B71" s="213"/>
      <c r="C71" s="213"/>
      <c r="D71" s="213"/>
    </row>
    <row r="72" spans="1:4">
      <c r="A72" s="213"/>
      <c r="B72" s="213"/>
      <c r="C72" s="213"/>
      <c r="D72" s="213"/>
    </row>
    <row r="73" spans="1:4">
      <c r="A73" s="213"/>
      <c r="B73" s="213"/>
      <c r="C73" s="213"/>
      <c r="D73" s="213"/>
    </row>
    <row r="74" spans="1:4">
      <c r="A74" s="213"/>
      <c r="B74" s="213"/>
      <c r="C74" s="213"/>
      <c r="D74" s="213"/>
    </row>
    <row r="75" spans="1:4">
      <c r="A75" s="213"/>
      <c r="B75" s="213"/>
      <c r="C75" s="213"/>
      <c r="D75" s="213"/>
    </row>
    <row r="76" spans="1:4">
      <c r="A76" s="213"/>
      <c r="B76" s="213"/>
      <c r="C76" s="213"/>
      <c r="D76" s="213"/>
    </row>
    <row r="77" spans="1:4">
      <c r="A77" s="213"/>
      <c r="B77" s="213"/>
      <c r="C77" s="213"/>
      <c r="D77" s="213"/>
    </row>
    <row r="78" spans="1:4">
      <c r="A78" s="213"/>
      <c r="B78" s="213"/>
      <c r="C78" s="213"/>
      <c r="D78" s="213"/>
    </row>
    <row r="79" spans="1:4">
      <c r="A79" s="213"/>
      <c r="B79" s="213"/>
      <c r="C79" s="213"/>
      <c r="D79" s="213"/>
    </row>
  </sheetData>
  <sheetProtection algorithmName="SHA-512" hashValue="P/Dqkzn+97TDDiLnsio/3WmbqCo0LuqyiBwfgzRnXr1D3btJzNcddlWpNDDIR/ysiNVLe/P0umhgwDtoQjzlAA==" saltValue="QQTrWNHSaOpCgW5d5HPL5g==" spinCount="100000" sheet="1" selectLockedCells="1"/>
  <protectedRanges>
    <protectedRange sqref="D5:D6 E5:I5" name="Range1_1_1_1"/>
    <protectedRange sqref="C5:C6" name="Range1_1_1_1_1"/>
    <protectedRange sqref="E25:I28" name="Range5_1_1_1"/>
    <protectedRange sqref="G29:I29" name="Range10_1_1_1"/>
  </protectedRanges>
  <mergeCells count="9">
    <mergeCell ref="A23:C23"/>
    <mergeCell ref="D23:F23"/>
    <mergeCell ref="G23:I23"/>
    <mergeCell ref="K23:O29"/>
    <mergeCell ref="A8:D8"/>
    <mergeCell ref="K10:O12"/>
    <mergeCell ref="A13:D13"/>
    <mergeCell ref="A15:D15"/>
    <mergeCell ref="K20:O20"/>
  </mergeCells>
  <hyperlinks>
    <hyperlink ref="K20" r:id="rId1" display="https://www.nzta.govt.nz/assets/resources/economic-evaluation-manual/economic-evaluation-manual/docs/eem-manual-2016.pdf" xr:uid="{AD6A6551-C32B-4206-9101-D8ECF2F823DE}"/>
    <hyperlink ref="K20:O20" r:id="rId2" display="MBCM Manual - Section A12.4" xr:uid="{ACA31BA9-2360-47FE-8BAD-26A7970F77D7}"/>
  </hyperlinks>
  <printOptions horizontalCentered="1"/>
  <pageMargins left="0.74803149606299213" right="0.70866141732283472" top="0.74803149606299213" bottom="0.9055118110236221" header="0.39370078740157483" footer="0.39370078740157483"/>
  <pageSetup paperSize="9" scale="91" orientation="portrait" r:id="rId3"/>
  <headerFooter scaleWithDoc="0" alignWithMargins="0">
    <oddHeader>&amp;L&amp;"-,Regular"&amp;8&amp;F&amp;R&amp;"-,Regular"&amp;8&amp;A
_____________________________________________________________________________________________________</oddHeader>
    <oddFooter>&amp;L&amp;"-,Regular"&amp;8______________________________________________________________________________________________
NZ Transport Agency’s Economic evaluation manual 
Effective from Jul 2013</oddFooter>
  </headerFooter>
  <legacyDrawing r:id="rId4"/>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89F708-D282-480F-B275-FF4E5D596BC0}">
  <sheetPr codeName="Sheet14"/>
  <dimension ref="A1:AB382"/>
  <sheetViews>
    <sheetView showGridLines="0" zoomScale="85" zoomScaleNormal="85" workbookViewId="0">
      <selection activeCell="D11" sqref="D11"/>
    </sheetView>
  </sheetViews>
  <sheetFormatPr defaultRowHeight="13.2"/>
  <cols>
    <col min="1" max="2" width="9" style="25"/>
    <col min="3" max="3" width="12.5" style="25" customWidth="1"/>
    <col min="4" max="8" width="10.8984375" style="25" customWidth="1"/>
    <col min="9" max="13" width="9" style="25"/>
    <col min="14" max="14" width="13.5" style="25" customWidth="1"/>
    <col min="15" max="15" width="19.8984375" style="25" customWidth="1"/>
    <col min="16" max="258" width="9" style="25"/>
    <col min="259" max="264" width="9.09765625" style="25" customWidth="1"/>
    <col min="265" max="514" width="9" style="25"/>
    <col min="515" max="520" width="9.09765625" style="25" customWidth="1"/>
    <col min="521" max="770" width="9" style="25"/>
    <col min="771" max="776" width="9.09765625" style="25" customWidth="1"/>
    <col min="777" max="1026" width="9" style="25"/>
    <col min="1027" max="1032" width="9.09765625" style="25" customWidth="1"/>
    <col min="1033" max="1282" width="9" style="25"/>
    <col min="1283" max="1288" width="9.09765625" style="25" customWidth="1"/>
    <col min="1289" max="1538" width="9" style="25"/>
    <col min="1539" max="1544" width="9.09765625" style="25" customWidth="1"/>
    <col min="1545" max="1794" width="9" style="25"/>
    <col min="1795" max="1800" width="9.09765625" style="25" customWidth="1"/>
    <col min="1801" max="2050" width="9" style="25"/>
    <col min="2051" max="2056" width="9.09765625" style="25" customWidth="1"/>
    <col min="2057" max="2306" width="9" style="25"/>
    <col min="2307" max="2312" width="9.09765625" style="25" customWidth="1"/>
    <col min="2313" max="2562" width="9" style="25"/>
    <col min="2563" max="2568" width="9.09765625" style="25" customWidth="1"/>
    <col min="2569" max="2818" width="9" style="25"/>
    <col min="2819" max="2824" width="9.09765625" style="25" customWidth="1"/>
    <col min="2825" max="3074" width="9" style="25"/>
    <col min="3075" max="3080" width="9.09765625" style="25" customWidth="1"/>
    <col min="3081" max="3330" width="9" style="25"/>
    <col min="3331" max="3336" width="9.09765625" style="25" customWidth="1"/>
    <col min="3337" max="3586" width="9" style="25"/>
    <col min="3587" max="3592" width="9.09765625" style="25" customWidth="1"/>
    <col min="3593" max="3842" width="9" style="25"/>
    <col min="3843" max="3848" width="9.09765625" style="25" customWidth="1"/>
    <col min="3849" max="4098" width="9" style="25"/>
    <col min="4099" max="4104" width="9.09765625" style="25" customWidth="1"/>
    <col min="4105" max="4354" width="9" style="25"/>
    <col min="4355" max="4360" width="9.09765625" style="25" customWidth="1"/>
    <col min="4361" max="4610" width="9" style="25"/>
    <col min="4611" max="4616" width="9.09765625" style="25" customWidth="1"/>
    <col min="4617" max="4866" width="9" style="25"/>
    <col min="4867" max="4872" width="9.09765625" style="25" customWidth="1"/>
    <col min="4873" max="5122" width="9" style="25"/>
    <col min="5123" max="5128" width="9.09765625" style="25" customWidth="1"/>
    <col min="5129" max="5378" width="9" style="25"/>
    <col min="5379" max="5384" width="9.09765625" style="25" customWidth="1"/>
    <col min="5385" max="5634" width="9" style="25"/>
    <col min="5635" max="5640" width="9.09765625" style="25" customWidth="1"/>
    <col min="5641" max="5890" width="9" style="25"/>
    <col min="5891" max="5896" width="9.09765625" style="25" customWidth="1"/>
    <col min="5897" max="6146" width="9" style="25"/>
    <col min="6147" max="6152" width="9.09765625" style="25" customWidth="1"/>
    <col min="6153" max="6402" width="9" style="25"/>
    <col min="6403" max="6408" width="9.09765625" style="25" customWidth="1"/>
    <col min="6409" max="6658" width="9" style="25"/>
    <col min="6659" max="6664" width="9.09765625" style="25" customWidth="1"/>
    <col min="6665" max="6914" width="9" style="25"/>
    <col min="6915" max="6920" width="9.09765625" style="25" customWidth="1"/>
    <col min="6921" max="7170" width="9" style="25"/>
    <col min="7171" max="7176" width="9.09765625" style="25" customWidth="1"/>
    <col min="7177" max="7426" width="9" style="25"/>
    <col min="7427" max="7432" width="9.09765625" style="25" customWidth="1"/>
    <col min="7433" max="7682" width="9" style="25"/>
    <col min="7683" max="7688" width="9.09765625" style="25" customWidth="1"/>
    <col min="7689" max="7938" width="9" style="25"/>
    <col min="7939" max="7944" width="9.09765625" style="25" customWidth="1"/>
    <col min="7945" max="8194" width="9" style="25"/>
    <col min="8195" max="8200" width="9.09765625" style="25" customWidth="1"/>
    <col min="8201" max="8450" width="9" style="25"/>
    <col min="8451" max="8456" width="9.09765625" style="25" customWidth="1"/>
    <col min="8457" max="8706" width="9" style="25"/>
    <col min="8707" max="8712" width="9.09765625" style="25" customWidth="1"/>
    <col min="8713" max="8962" width="9" style="25"/>
    <col min="8963" max="8968" width="9.09765625" style="25" customWidth="1"/>
    <col min="8969" max="9218" width="9" style="25"/>
    <col min="9219" max="9224" width="9.09765625" style="25" customWidth="1"/>
    <col min="9225" max="9474" width="9" style="25"/>
    <col min="9475" max="9480" width="9.09765625" style="25" customWidth="1"/>
    <col min="9481" max="9730" width="9" style="25"/>
    <col min="9731" max="9736" width="9.09765625" style="25" customWidth="1"/>
    <col min="9737" max="9986" width="9" style="25"/>
    <col min="9987" max="9992" width="9.09765625" style="25" customWidth="1"/>
    <col min="9993" max="10242" width="9" style="25"/>
    <col min="10243" max="10248" width="9.09765625" style="25" customWidth="1"/>
    <col min="10249" max="10498" width="9" style="25"/>
    <col min="10499" max="10504" width="9.09765625" style="25" customWidth="1"/>
    <col min="10505" max="10754" width="9" style="25"/>
    <col min="10755" max="10760" width="9.09765625" style="25" customWidth="1"/>
    <col min="10761" max="11010" width="9" style="25"/>
    <col min="11011" max="11016" width="9.09765625" style="25" customWidth="1"/>
    <col min="11017" max="11266" width="9" style="25"/>
    <col min="11267" max="11272" width="9.09765625" style="25" customWidth="1"/>
    <col min="11273" max="11522" width="9" style="25"/>
    <col min="11523" max="11528" width="9.09765625" style="25" customWidth="1"/>
    <col min="11529" max="11778" width="9" style="25"/>
    <col min="11779" max="11784" width="9.09765625" style="25" customWidth="1"/>
    <col min="11785" max="12034" width="9" style="25"/>
    <col min="12035" max="12040" width="9.09765625" style="25" customWidth="1"/>
    <col min="12041" max="12290" width="9" style="25"/>
    <col min="12291" max="12296" width="9.09765625" style="25" customWidth="1"/>
    <col min="12297" max="12546" width="9" style="25"/>
    <col min="12547" max="12552" width="9.09765625" style="25" customWidth="1"/>
    <col min="12553" max="12802" width="9" style="25"/>
    <col min="12803" max="12808" width="9.09765625" style="25" customWidth="1"/>
    <col min="12809" max="13058" width="9" style="25"/>
    <col min="13059" max="13064" width="9.09765625" style="25" customWidth="1"/>
    <col min="13065" max="13314" width="9" style="25"/>
    <col min="13315" max="13320" width="9.09765625" style="25" customWidth="1"/>
    <col min="13321" max="13570" width="9" style="25"/>
    <col min="13571" max="13576" width="9.09765625" style="25" customWidth="1"/>
    <col min="13577" max="13826" width="9" style="25"/>
    <col min="13827" max="13832" width="9.09765625" style="25" customWidth="1"/>
    <col min="13833" max="14082" width="9" style="25"/>
    <col min="14083" max="14088" width="9.09765625" style="25" customWidth="1"/>
    <col min="14089" max="14338" width="9" style="25"/>
    <col min="14339" max="14344" width="9.09765625" style="25" customWidth="1"/>
    <col min="14345" max="14594" width="9" style="25"/>
    <col min="14595" max="14600" width="9.09765625" style="25" customWidth="1"/>
    <col min="14601" max="14850" width="9" style="25"/>
    <col min="14851" max="14856" width="9.09765625" style="25" customWidth="1"/>
    <col min="14857" max="15106" width="9" style="25"/>
    <col min="15107" max="15112" width="9.09765625" style="25" customWidth="1"/>
    <col min="15113" max="15362" width="9" style="25"/>
    <col min="15363" max="15368" width="9.09765625" style="25" customWidth="1"/>
    <col min="15369" max="15618" width="9" style="25"/>
    <col min="15619" max="15624" width="9.09765625" style="25" customWidth="1"/>
    <col min="15625" max="15874" width="9" style="25"/>
    <col min="15875" max="15880" width="9.09765625" style="25" customWidth="1"/>
    <col min="15881" max="16130" width="9" style="25"/>
    <col min="16131" max="16136" width="9.09765625" style="25" customWidth="1"/>
    <col min="16137" max="16384" width="9" style="25"/>
  </cols>
  <sheetData>
    <row r="1" spans="1:26">
      <c r="A1" s="25" t="s">
        <v>707</v>
      </c>
      <c r="B1" s="25" t="s">
        <v>708</v>
      </c>
      <c r="C1" s="25" t="s">
        <v>709</v>
      </c>
      <c r="D1" s="361" t="s">
        <v>844</v>
      </c>
      <c r="E1" s="361">
        <v>282</v>
      </c>
    </row>
    <row r="2" spans="1:26" ht="13.8" thickBot="1"/>
    <row r="3" spans="1:26" ht="22.2" thickBot="1">
      <c r="A3" s="91" t="s">
        <v>662</v>
      </c>
      <c r="B3" s="630" t="s">
        <v>663</v>
      </c>
      <c r="C3" s="631"/>
      <c r="D3" s="631"/>
      <c r="E3" s="631"/>
      <c r="F3" s="632"/>
      <c r="N3" t="s">
        <v>133</v>
      </c>
      <c r="O3" s="86"/>
      <c r="S3" s="25" t="s">
        <v>890</v>
      </c>
      <c r="V3" s="25" t="s">
        <v>891</v>
      </c>
      <c r="Y3" s="25" t="s">
        <v>892</v>
      </c>
    </row>
    <row r="4" spans="1:26" ht="16.2" thickBot="1">
      <c r="A4" s="92"/>
      <c r="B4" s="93" t="s">
        <v>664</v>
      </c>
      <c r="C4" s="93" t="s">
        <v>665</v>
      </c>
      <c r="D4" s="93" t="s">
        <v>666</v>
      </c>
      <c r="E4" s="93" t="s">
        <v>667</v>
      </c>
      <c r="F4" s="93" t="s">
        <v>668</v>
      </c>
      <c r="N4" t="s">
        <v>134</v>
      </c>
      <c r="O4" s="87">
        <v>1</v>
      </c>
      <c r="S4" s="25" t="s">
        <v>893</v>
      </c>
      <c r="T4" s="25" t="s">
        <v>894</v>
      </c>
      <c r="V4" s="25" t="s">
        <v>893</v>
      </c>
      <c r="W4" s="25" t="s">
        <v>894</v>
      </c>
      <c r="Y4" s="25" t="s">
        <v>893</v>
      </c>
      <c r="Z4" s="25" t="s">
        <v>894</v>
      </c>
    </row>
    <row r="5" spans="1:26" ht="16.2" thickBot="1">
      <c r="A5" s="51">
        <v>0</v>
      </c>
      <c r="B5" s="94">
        <v>35.859272261535118</v>
      </c>
      <c r="C5" s="94">
        <v>29.429200416970112</v>
      </c>
      <c r="D5" s="94">
        <v>28.72589955546993</v>
      </c>
      <c r="E5" s="94">
        <v>29.801656473844652</v>
      </c>
      <c r="F5" s="94">
        <v>32.364306139802359</v>
      </c>
      <c r="I5" s="95"/>
      <c r="J5" s="96"/>
      <c r="K5" s="96"/>
      <c r="L5" s="96"/>
      <c r="M5" s="96"/>
      <c r="N5" t="s">
        <v>135</v>
      </c>
      <c r="O5" s="130">
        <f>'SP5-1'!I29</f>
        <v>0</v>
      </c>
      <c r="S5" s="25">
        <v>0</v>
      </c>
      <c r="T5" s="406">
        <v>1</v>
      </c>
      <c r="V5" s="25">
        <v>0</v>
      </c>
      <c r="W5" s="406">
        <v>0</v>
      </c>
      <c r="Y5" s="25">
        <v>0</v>
      </c>
      <c r="Z5" s="406">
        <v>0</v>
      </c>
    </row>
    <row r="6" spans="1:26" ht="16.2" thickBot="1">
      <c r="A6" s="51" t="s">
        <v>669</v>
      </c>
      <c r="B6" s="94">
        <v>36.414653826526383</v>
      </c>
      <c r="C6" s="94">
        <v>29.944226701920201</v>
      </c>
      <c r="D6" s="94">
        <v>29.227349276225972</v>
      </c>
      <c r="E6" s="94">
        <v>30.295477132651275</v>
      </c>
      <c r="F6" s="94">
        <v>32.852545446986944</v>
      </c>
      <c r="I6" s="95"/>
      <c r="J6" s="97"/>
      <c r="K6" s="97"/>
      <c r="L6" s="97"/>
      <c r="M6" s="97"/>
      <c r="N6" t="s">
        <v>136</v>
      </c>
      <c r="O6">
        <f>'SP5-1'!I23</f>
        <v>0</v>
      </c>
      <c r="S6" s="25">
        <v>1</v>
      </c>
      <c r="T6" s="406">
        <v>0.98039215686274506</v>
      </c>
      <c r="V6" s="25">
        <v>1</v>
      </c>
      <c r="W6" s="406">
        <v>0.99016372140870601</v>
      </c>
      <c r="Y6" s="25">
        <v>1</v>
      </c>
      <c r="Z6" s="406">
        <v>0.49344788445523591</v>
      </c>
    </row>
    <row r="7" spans="1:26" ht="16.2" thickBot="1">
      <c r="A7" s="51" t="s">
        <v>670</v>
      </c>
      <c r="B7" s="94">
        <v>38.200172114154071</v>
      </c>
      <c r="C7" s="94">
        <v>31.910630812502671</v>
      </c>
      <c r="D7" s="94">
        <v>31.288973645045306</v>
      </c>
      <c r="E7" s="94">
        <v>32.428363255565692</v>
      </c>
      <c r="F7" s="94">
        <v>35.055167334434515</v>
      </c>
      <c r="I7" s="97"/>
      <c r="N7" s="18" t="s">
        <v>137</v>
      </c>
      <c r="O7" s="43">
        <f>O12-O11</f>
        <v>-0.99016372140870601</v>
      </c>
      <c r="S7" s="25">
        <v>2</v>
      </c>
      <c r="T7" s="406">
        <v>0.96116878123798533</v>
      </c>
      <c r="V7" s="25">
        <v>2</v>
      </c>
      <c r="W7" s="406">
        <v>1.9609124678878231</v>
      </c>
      <c r="Y7" s="25">
        <v>2</v>
      </c>
      <c r="Z7" s="406">
        <v>1.9479690666748866</v>
      </c>
    </row>
    <row r="8" spans="1:26" ht="16.2" thickBot="1">
      <c r="A8" s="51" t="s">
        <v>671</v>
      </c>
      <c r="B8" s="94">
        <v>40.852529091078239</v>
      </c>
      <c r="C8" s="94">
        <v>35.05426913911716</v>
      </c>
      <c r="D8" s="94">
        <v>34.676441650004001</v>
      </c>
      <c r="E8" s="94">
        <v>35.993428460787023</v>
      </c>
      <c r="F8" s="94">
        <v>38.790392608145567</v>
      </c>
      <c r="I8" s="97"/>
      <c r="N8" s="18" t="s">
        <v>138</v>
      </c>
      <c r="O8" s="131">
        <f>O12-O11+O5*(O14-O13)</f>
        <v>-0.99016372140870601</v>
      </c>
      <c r="S8" s="25">
        <v>3</v>
      </c>
      <c r="T8" s="406">
        <v>0.94232233454704462</v>
      </c>
      <c r="V8" s="25">
        <v>3</v>
      </c>
      <c r="W8" s="406">
        <v>2.9126269252202919</v>
      </c>
      <c r="Y8" s="25">
        <v>3</v>
      </c>
      <c r="Z8" s="406">
        <v>4.3256846830458926</v>
      </c>
    </row>
    <row r="9" spans="1:26" ht="16.2" thickBot="1">
      <c r="A9" s="51" t="s">
        <v>672</v>
      </c>
      <c r="B9" s="94">
        <v>43.942443162523134</v>
      </c>
      <c r="C9" s="94">
        <v>38.945860086987892</v>
      </c>
      <c r="D9" s="94">
        <v>38.960471696326302</v>
      </c>
      <c r="E9" s="94">
        <v>40.56139115353951</v>
      </c>
      <c r="F9" s="94">
        <v>43.62893967334437</v>
      </c>
      <c r="I9" s="97"/>
      <c r="N9" s="18" t="s">
        <v>139</v>
      </c>
      <c r="O9" s="43"/>
      <c r="S9" s="25">
        <v>4</v>
      </c>
      <c r="T9" s="406">
        <v>0.92384542602651432</v>
      </c>
      <c r="V9" s="25">
        <v>4</v>
      </c>
      <c r="W9" s="406">
        <v>3.8456803147619372</v>
      </c>
      <c r="Y9" s="25">
        <v>4</v>
      </c>
      <c r="Z9" s="406">
        <v>7.5898318141285017</v>
      </c>
    </row>
    <row r="10" spans="1:26" ht="15.6">
      <c r="I10" s="97"/>
      <c r="N10" s="18" t="s">
        <v>140</v>
      </c>
      <c r="O10" s="43"/>
      <c r="S10" s="25">
        <v>5</v>
      </c>
      <c r="T10" s="406">
        <v>0.90573080982991583</v>
      </c>
      <c r="V10" s="25">
        <v>5</v>
      </c>
      <c r="W10" s="406">
        <v>4.7604385398027578</v>
      </c>
      <c r="Y10" s="25">
        <v>5</v>
      </c>
      <c r="Z10" s="406">
        <v>11.704734285328414</v>
      </c>
    </row>
    <row r="11" spans="1:26" ht="14.4">
      <c r="A11" s="25">
        <v>1</v>
      </c>
      <c r="B11" s="25">
        <v>1</v>
      </c>
      <c r="C11" s="74">
        <f ca="1">OFFSET(A4,A11,B11)</f>
        <v>35.859272261535118</v>
      </c>
      <c r="D11" s="25" t="s">
        <v>673</v>
      </c>
      <c r="I11" s="97"/>
      <c r="N11" s="88" t="s">
        <v>141</v>
      </c>
      <c r="O11" s="89">
        <f>W6</f>
        <v>0.99016372140870601</v>
      </c>
      <c r="S11" s="25">
        <v>6</v>
      </c>
      <c r="T11" s="406">
        <v>0.88797138218619198</v>
      </c>
      <c r="V11" s="25">
        <v>6</v>
      </c>
      <c r="W11" s="406">
        <v>5.657260329058472</v>
      </c>
      <c r="Y11" s="25">
        <v>6</v>
      </c>
      <c r="Z11" s="406">
        <v>16.635774183604099</v>
      </c>
    </row>
    <row r="12" spans="1:26">
      <c r="A12" s="25">
        <v>1</v>
      </c>
      <c r="B12" s="25">
        <v>1</v>
      </c>
      <c r="C12" s="74">
        <f ca="1">OFFSET(A4,A12,B12)</f>
        <v>35.859272261535118</v>
      </c>
      <c r="D12" s="25" t="s">
        <v>674</v>
      </c>
      <c r="E12" s="98"/>
      <c r="G12" s="98"/>
      <c r="H12" s="98"/>
      <c r="N12" s="88" t="s">
        <v>142</v>
      </c>
      <c r="O12" s="89">
        <f>LOOKUP(O6,V5:W45)</f>
        <v>0</v>
      </c>
      <c r="S12" s="25">
        <v>7</v>
      </c>
      <c r="T12" s="406">
        <v>0.87056017861391399</v>
      </c>
      <c r="V12" s="25">
        <v>7</v>
      </c>
      <c r="W12" s="406">
        <v>6.5364973773483737</v>
      </c>
      <c r="Y12" s="25">
        <v>7</v>
      </c>
      <c r="Z12" s="406">
        <v>22.349364073339984</v>
      </c>
    </row>
    <row r="13" spans="1:26" ht="13.8" thickBot="1">
      <c r="A13" s="25" t="s">
        <v>705</v>
      </c>
      <c r="E13" s="98"/>
      <c r="G13" s="98"/>
      <c r="H13" s="98"/>
      <c r="N13" s="88" t="s">
        <v>144</v>
      </c>
      <c r="O13" s="337">
        <f>Z6</f>
        <v>0.49344788445523591</v>
      </c>
      <c r="S13" s="25">
        <v>8</v>
      </c>
      <c r="T13" s="406">
        <v>0.85349037119011162</v>
      </c>
      <c r="V13" s="25">
        <v>8</v>
      </c>
      <c r="W13" s="406">
        <v>7.3984944835149538</v>
      </c>
      <c r="Y13" s="25">
        <v>8</v>
      </c>
      <c r="Z13" s="406">
        <v>28.812919894934112</v>
      </c>
    </row>
    <row r="14" spans="1:26">
      <c r="A14" s="99" t="s">
        <v>675</v>
      </c>
      <c r="B14" s="100" t="s">
        <v>676</v>
      </c>
      <c r="C14" s="100" t="s">
        <v>677</v>
      </c>
      <c r="D14" s="101" t="s">
        <v>677</v>
      </c>
      <c r="E14" s="102"/>
      <c r="G14" s="98" t="s">
        <v>501</v>
      </c>
      <c r="H14" s="98"/>
      <c r="N14" s="88" t="s">
        <v>706</v>
      </c>
      <c r="O14" s="84">
        <f>LOOKUP(O6,Y5:Z45)</f>
        <v>0</v>
      </c>
      <c r="S14" s="25">
        <v>9</v>
      </c>
      <c r="T14" s="406">
        <v>0.83675526587265847</v>
      </c>
      <c r="V14" s="25">
        <v>9</v>
      </c>
      <c r="W14" s="406">
        <v>8.2435896856390496</v>
      </c>
      <c r="Y14" s="25">
        <v>9</v>
      </c>
      <c r="Z14" s="406">
        <v>35.994834529993568</v>
      </c>
    </row>
    <row r="15" spans="1:26">
      <c r="A15" s="103" t="s">
        <v>678</v>
      </c>
      <c r="B15" s="104" t="s">
        <v>679</v>
      </c>
      <c r="C15" s="104" t="s">
        <v>680</v>
      </c>
      <c r="D15" s="105" t="s">
        <v>681</v>
      </c>
      <c r="E15" s="102"/>
      <c r="G15" s="98" t="s">
        <v>502</v>
      </c>
      <c r="H15" s="98"/>
      <c r="N15" s="88" t="s">
        <v>145</v>
      </c>
      <c r="O15" s="88">
        <f>O5*780+O6-1</f>
        <v>-1</v>
      </c>
      <c r="S15" s="25">
        <v>10</v>
      </c>
      <c r="T15" s="406">
        <v>0.82034829987515534</v>
      </c>
      <c r="V15" s="25">
        <v>10</v>
      </c>
      <c r="W15" s="406">
        <v>9.0721143936038526</v>
      </c>
      <c r="Y15" s="25">
        <v>10</v>
      </c>
      <c r="Z15" s="406">
        <v>43.864452017428903</v>
      </c>
    </row>
    <row r="16" spans="1:26" ht="13.8" thickBot="1">
      <c r="A16" s="106"/>
      <c r="B16" s="93" t="s">
        <v>217</v>
      </c>
      <c r="C16" s="107"/>
      <c r="D16" s="108"/>
      <c r="E16" s="102"/>
      <c r="G16" s="102" t="s">
        <v>503</v>
      </c>
      <c r="H16" s="98"/>
      <c r="S16" s="25">
        <v>11</v>
      </c>
      <c r="T16" s="406">
        <v>0.80426303909328967</v>
      </c>
      <c r="V16" s="25">
        <v>11</v>
      </c>
      <c r="W16" s="406">
        <v>9.8843935190595342</v>
      </c>
      <c r="Y16" s="25">
        <v>11</v>
      </c>
      <c r="Z16" s="406">
        <v>52.392042405075244</v>
      </c>
    </row>
    <row r="17" spans="1:26" ht="13.8" thickBot="1">
      <c r="A17" s="51">
        <v>2.5</v>
      </c>
      <c r="B17" s="50">
        <v>66</v>
      </c>
      <c r="C17" s="50">
        <v>0</v>
      </c>
      <c r="D17" s="109">
        <v>0</v>
      </c>
      <c r="E17" s="102"/>
      <c r="G17" s="102" t="s">
        <v>506</v>
      </c>
      <c r="H17" s="98"/>
      <c r="S17" s="25">
        <v>12</v>
      </c>
      <c r="T17" s="406">
        <v>0.78849317558165644</v>
      </c>
      <c r="V17" s="25">
        <v>12</v>
      </c>
      <c r="W17" s="406">
        <v>10.680745602839623</v>
      </c>
      <c r="Y17" s="25">
        <v>12</v>
      </c>
      <c r="Z17" s="406">
        <v>61.548777221843011</v>
      </c>
    </row>
    <row r="18" spans="1:26" ht="13.8" thickBot="1">
      <c r="A18" s="51">
        <v>3</v>
      </c>
      <c r="B18" s="50">
        <v>79</v>
      </c>
      <c r="C18" s="50">
        <v>0.2</v>
      </c>
      <c r="D18" s="109">
        <v>0.1</v>
      </c>
      <c r="E18" s="102"/>
      <c r="G18" s="98" t="s">
        <v>507</v>
      </c>
      <c r="H18" s="98"/>
      <c r="S18" s="25">
        <v>13</v>
      </c>
      <c r="T18" s="406">
        <v>0.77303252508005538</v>
      </c>
      <c r="V18" s="25">
        <v>13</v>
      </c>
      <c r="W18" s="406">
        <v>11.461482939878922</v>
      </c>
      <c r="Y18" s="25">
        <v>13</v>
      </c>
      <c r="Z18" s="406">
        <v>71.306705555712369</v>
      </c>
    </row>
    <row r="19" spans="1:26" ht="13.8" thickBot="1">
      <c r="A19" s="51">
        <v>3.5</v>
      </c>
      <c r="B19" s="50">
        <v>92</v>
      </c>
      <c r="C19" s="50">
        <v>0.4</v>
      </c>
      <c r="D19" s="109">
        <v>0.7</v>
      </c>
      <c r="E19" s="102"/>
      <c r="F19" s="98"/>
      <c r="G19" s="98" t="s">
        <v>508</v>
      </c>
      <c r="H19" s="98"/>
      <c r="S19" s="25">
        <v>14</v>
      </c>
      <c r="T19" s="406">
        <v>0.75787502458828948</v>
      </c>
      <c r="V19" s="25">
        <v>14</v>
      </c>
      <c r="W19" s="406">
        <v>12.226911701682161</v>
      </c>
      <c r="Y19" s="25">
        <v>14</v>
      </c>
      <c r="Z19" s="406">
        <v>81.638730723270783</v>
      </c>
    </row>
    <row r="20" spans="1:26" ht="13.8" thickBot="1">
      <c r="A20" s="51">
        <v>4</v>
      </c>
      <c r="B20" s="50">
        <v>106</v>
      </c>
      <c r="C20" s="50">
        <v>1</v>
      </c>
      <c r="D20" s="109">
        <v>2.2000000000000002</v>
      </c>
      <c r="E20" s="102"/>
      <c r="F20" s="98"/>
      <c r="G20" s="98" t="s">
        <v>682</v>
      </c>
      <c r="H20" s="98"/>
      <c r="S20" s="25">
        <v>15</v>
      </c>
      <c r="T20" s="406">
        <v>0.74301472998851936</v>
      </c>
      <c r="V20" s="25">
        <v>15</v>
      </c>
      <c r="W20" s="406">
        <v>12.977332056391207</v>
      </c>
      <c r="Y20" s="25">
        <v>15</v>
      </c>
      <c r="Z20" s="406">
        <v>92.518587516761727</v>
      </c>
    </row>
    <row r="21" spans="1:26" ht="13.8" thickBot="1">
      <c r="A21" s="51">
        <v>4.5</v>
      </c>
      <c r="B21" s="50">
        <v>119</v>
      </c>
      <c r="C21" s="50">
        <v>1.8</v>
      </c>
      <c r="D21" s="109">
        <v>4.3</v>
      </c>
      <c r="E21" s="102"/>
      <c r="F21" s="98"/>
      <c r="G21" s="98"/>
      <c r="H21" s="98"/>
      <c r="S21" s="25">
        <v>16</v>
      </c>
      <c r="T21" s="406">
        <v>0.72844581371423456</v>
      </c>
      <c r="V21" s="25">
        <v>16</v>
      </c>
      <c r="W21" s="406">
        <v>13.713038286498129</v>
      </c>
      <c r="Y21" s="25">
        <v>16</v>
      </c>
      <c r="Z21" s="406">
        <v>103.92082001499784</v>
      </c>
    </row>
    <row r="22" spans="1:26" ht="13.8" thickBot="1">
      <c r="A22" s="51">
        <v>5</v>
      </c>
      <c r="B22" s="50">
        <v>132</v>
      </c>
      <c r="C22" s="50">
        <v>3</v>
      </c>
      <c r="D22" s="109">
        <v>6.7</v>
      </c>
      <c r="E22" s="102"/>
      <c r="F22" s="98"/>
      <c r="G22" s="98"/>
      <c r="H22" s="98"/>
      <c r="S22" s="25">
        <v>17</v>
      </c>
      <c r="T22" s="406">
        <v>0.7141625624649357</v>
      </c>
      <c r="V22" s="25">
        <v>17</v>
      </c>
      <c r="W22" s="406">
        <v>14.434318904250008</v>
      </c>
      <c r="Y22" s="25">
        <v>17</v>
      </c>
      <c r="Z22" s="406">
        <v>115.82075994474576</v>
      </c>
    </row>
    <row r="23" spans="1:26" ht="13.8" thickBot="1">
      <c r="A23" s="51">
        <v>5.5</v>
      </c>
      <c r="B23" s="50">
        <v>145</v>
      </c>
      <c r="C23" s="50">
        <v>4.3</v>
      </c>
      <c r="D23" s="109">
        <v>9.1</v>
      </c>
      <c r="E23" s="102"/>
      <c r="F23" s="98"/>
      <c r="G23" s="98"/>
      <c r="H23" s="98"/>
      <c r="O23" s="407" t="s">
        <v>734</v>
      </c>
      <c r="P23" s="408" t="s">
        <v>896</v>
      </c>
      <c r="Q23" s="408" t="s">
        <v>897</v>
      </c>
      <c r="R23" s="408" t="s">
        <v>897</v>
      </c>
      <c r="S23" s="25">
        <v>18</v>
      </c>
      <c r="T23" s="406">
        <v>0.70015937496562342</v>
      </c>
      <c r="V23" s="25">
        <v>18</v>
      </c>
      <c r="W23" s="406">
        <v>15.141456764791062</v>
      </c>
      <c r="Y23" s="25">
        <v>18</v>
      </c>
      <c r="Z23" s="406">
        <v>128.19450557954883</v>
      </c>
    </row>
    <row r="24" spans="1:26" ht="13.8" thickBot="1">
      <c r="A24" s="50">
        <v>6</v>
      </c>
      <c r="B24" s="50">
        <v>158</v>
      </c>
      <c r="C24" s="50">
        <v>5.9</v>
      </c>
      <c r="D24" s="50">
        <v>11.4</v>
      </c>
      <c r="O24" s="407" t="str">
        <f>IF('SP5-2'!B19="","",LOOKUP('SP5-2'!B19,Tables!$S$5:$T$45))</f>
        <v/>
      </c>
      <c r="P24" s="408" t="str">
        <f>IF('SP5-3 (1)'!B14="","",LOOKUP('SP5-3 (1)'!B14,Tables!$S$5:$T$45))</f>
        <v/>
      </c>
      <c r="Q24" s="408" t="str">
        <f>IF('SP5-3 (2)'!B14="","",LOOKUP('SP5-3 (2)'!B14,Tables!$S$5:$T$45))</f>
        <v/>
      </c>
      <c r="R24" s="408" t="str">
        <f>IF('SP5-3 (3)'!B14="","",LOOKUP('SP5-3 (3)'!B14,Tables!$S$5:$T$45))</f>
        <v/>
      </c>
      <c r="S24" s="25">
        <v>19</v>
      </c>
      <c r="T24" s="406">
        <v>0.68643075977021895</v>
      </c>
      <c r="V24" s="25">
        <v>19</v>
      </c>
      <c r="W24" s="406">
        <v>15.834729177086214</v>
      </c>
      <c r="Y24" s="25">
        <v>19</v>
      </c>
      <c r="Z24" s="406">
        <v>141.01890116322011</v>
      </c>
    </row>
    <row r="25" spans="1:26" ht="13.8" thickBot="1">
      <c r="A25" s="50">
        <v>6.5</v>
      </c>
      <c r="B25" s="50">
        <v>172</v>
      </c>
      <c r="C25" s="50">
        <v>7.5</v>
      </c>
      <c r="D25" s="50">
        <v>13.8</v>
      </c>
      <c r="O25" s="407" t="str">
        <f>IF('SP5-2'!B20="","",LOOKUP('SP5-2'!B20,Tables!$S$5:$T$45))</f>
        <v/>
      </c>
      <c r="P25" s="408" t="str">
        <f>IF('SP5-3 (1)'!B15="","",LOOKUP('SP5-3 (1)'!B15,Tables!$S$5:$T$45))</f>
        <v/>
      </c>
      <c r="Q25" s="408" t="str">
        <f>IF('SP5-3 (2)'!B15="","",LOOKUP('SP5-3 (2)'!B15,Tables!$S$5:$T$45))</f>
        <v/>
      </c>
      <c r="R25" s="408" t="str">
        <f>IF('SP5-3 (3)'!B15="","",LOOKUP('SP5-3 (3)'!B15,Tables!$S$5:$T$45))</f>
        <v/>
      </c>
      <c r="S25" s="25">
        <v>20</v>
      </c>
      <c r="T25" s="406">
        <v>0.67297133310805768</v>
      </c>
      <c r="V25" s="25">
        <v>20</v>
      </c>
      <c r="W25" s="406">
        <v>16.514408012669698</v>
      </c>
      <c r="Y25" s="25">
        <v>20</v>
      </c>
      <c r="Z25" s="406">
        <v>154.27151684553974</v>
      </c>
    </row>
    <row r="26" spans="1:26" ht="13.8" thickBot="1">
      <c r="A26" s="50">
        <v>7</v>
      </c>
      <c r="B26" s="50">
        <v>185</v>
      </c>
      <c r="C26" s="50">
        <v>9.1999999999999993</v>
      </c>
      <c r="D26" s="50">
        <v>16.100000000000001</v>
      </c>
      <c r="O26" s="407" t="str">
        <f>IF('SP5-2'!B21="","",LOOKUP('SP5-2'!B21,Tables!$S$5:$T$45))</f>
        <v/>
      </c>
      <c r="P26" s="408" t="str">
        <f>IF('SP5-3 (1)'!B16="","",LOOKUP('SP5-3 (1)'!B16,Tables!$S$5:$T$45))</f>
        <v/>
      </c>
      <c r="Q26" s="408" t="str">
        <f>IF('SP5-3 (2)'!B16="","",LOOKUP('SP5-3 (2)'!B16,Tables!$S$5:$T$45))</f>
        <v/>
      </c>
      <c r="R26" s="408" t="str">
        <f>IF('SP5-3 (3)'!B16="","",LOOKUP('SP5-3 (3)'!B16,Tables!$S$5:$T$45))</f>
        <v/>
      </c>
      <c r="S26" s="25">
        <v>21</v>
      </c>
      <c r="T26" s="406">
        <v>0.65977581677260566</v>
      </c>
      <c r="V26" s="25">
        <v>21</v>
      </c>
      <c r="W26" s="406">
        <v>17.18075981226135</v>
      </c>
      <c r="Y26" s="25">
        <v>21</v>
      </c>
      <c r="Z26" s="406">
        <v>167.93062911799439</v>
      </c>
    </row>
    <row r="27" spans="1:26" ht="13.8" thickBot="1">
      <c r="A27" s="50">
        <v>7.5</v>
      </c>
      <c r="B27" s="50">
        <v>198</v>
      </c>
      <c r="C27" s="50">
        <v>10.9</v>
      </c>
      <c r="D27" s="50">
        <v>18.5</v>
      </c>
      <c r="O27" s="407" t="str">
        <f>IF('SP5-2'!B22="","",LOOKUP('SP5-2'!B22,Tables!$S$5:$T$45))</f>
        <v/>
      </c>
      <c r="P27" s="408" t="str">
        <f>IF('SP5-3 (1)'!B17="","",LOOKUP('SP5-3 (1)'!B17,Tables!$S$5:$T$45))</f>
        <v/>
      </c>
      <c r="Q27" s="408" t="str">
        <f>IF('SP5-3 (2)'!B17="","",LOOKUP('SP5-3 (2)'!B17,Tables!$S$5:$T$45))</f>
        <v/>
      </c>
      <c r="R27" s="408" t="str">
        <f>IF('SP5-3 (3)'!B17="","",LOOKUP('SP5-3 (3)'!B17,Tables!$S$5:$T$45))</f>
        <v/>
      </c>
      <c r="S27" s="25">
        <v>22</v>
      </c>
      <c r="T27" s="406">
        <v>0.64683903605157411</v>
      </c>
      <c r="V27" s="25">
        <v>22</v>
      </c>
      <c r="W27" s="406">
        <v>17.834045890292384</v>
      </c>
      <c r="Y27" s="25">
        <v>22</v>
      </c>
      <c r="Z27" s="406">
        <v>181.97520173764747</v>
      </c>
    </row>
    <row r="28" spans="1:26" ht="13.8" thickBot="1">
      <c r="A28" s="50">
        <v>8</v>
      </c>
      <c r="B28" s="50">
        <v>211</v>
      </c>
      <c r="C28" s="50">
        <v>12.6</v>
      </c>
      <c r="D28" s="50">
        <v>19.399999999999999</v>
      </c>
      <c r="O28" s="407" t="str">
        <f>IF('SP5-2'!B23="","",LOOKUP('SP5-2'!B23,Tables!$S$5:$T$45))</f>
        <v/>
      </c>
      <c r="P28" s="408" t="str">
        <f>IF('SP5-3 (1)'!B18="","",LOOKUP('SP5-3 (1)'!B18,Tables!$S$5:$T$45))</f>
        <v/>
      </c>
      <c r="Q28" s="408" t="str">
        <f>IF('SP5-3 (2)'!B18="","",LOOKUP('SP5-3 (2)'!B18,Tables!$S$5:$T$45))</f>
        <v/>
      </c>
      <c r="R28" s="408" t="str">
        <f>IF('SP5-3 (3)'!B18="","",LOOKUP('SP5-3 (3)'!B18,Tables!$S$5:$T$45))</f>
        <v/>
      </c>
      <c r="S28" s="25">
        <v>23</v>
      </c>
      <c r="T28" s="406">
        <v>0.63415591769762181</v>
      </c>
      <c r="V28" s="25">
        <v>23</v>
      </c>
      <c r="W28" s="406">
        <v>18.474522437381623</v>
      </c>
      <c r="Y28" s="25">
        <v>23</v>
      </c>
      <c r="Z28" s="406">
        <v>196.38486712753343</v>
      </c>
    </row>
    <row r="29" spans="1:26" ht="13.8" thickBot="1">
      <c r="A29" s="50">
        <v>8.5</v>
      </c>
      <c r="B29" s="50">
        <v>224</v>
      </c>
      <c r="C29" s="50">
        <v>14.3</v>
      </c>
      <c r="D29" s="50">
        <v>20</v>
      </c>
      <c r="O29" s="407" t="str">
        <f>IF('SP5-2'!B24="","",LOOKUP('SP5-2'!B24,Tables!$S$5:$T$45))</f>
        <v/>
      </c>
      <c r="P29" s="408" t="str">
        <f>IF('SP5-3 (1)'!B19="","",LOOKUP('SP5-3 (1)'!B19,Tables!$S$5:$T$45))</f>
        <v/>
      </c>
      <c r="Q29" s="408" t="str">
        <f>IF('SP5-3 (2)'!B19="","",LOOKUP('SP5-3 (2)'!B19,Tables!$S$5:$T$45))</f>
        <v/>
      </c>
      <c r="R29" s="408" t="str">
        <f>IF('SP5-3 (3)'!B19="","",LOOKUP('SP5-3 (3)'!B19,Tables!$S$5:$T$45))</f>
        <v/>
      </c>
      <c r="S29" s="25">
        <v>24</v>
      </c>
      <c r="T29" s="406">
        <v>0.62172148793884496</v>
      </c>
      <c r="V29" s="25">
        <v>24</v>
      </c>
      <c r="W29" s="406">
        <v>19.102440620802454</v>
      </c>
      <c r="Y29" s="25">
        <v>24</v>
      </c>
      <c r="Z29" s="406">
        <v>211.13990824221537</v>
      </c>
    </row>
    <row r="30" spans="1:26" ht="13.8" thickBot="1">
      <c r="A30" s="50">
        <v>9</v>
      </c>
      <c r="B30" s="50">
        <v>238</v>
      </c>
      <c r="C30" s="50">
        <v>15.9</v>
      </c>
      <c r="D30" s="50">
        <v>20.7</v>
      </c>
      <c r="O30" s="407" t="str">
        <f>IF('SP5-2'!B25="","",LOOKUP('SP5-2'!B25,Tables!$S$5:$T$45))</f>
        <v/>
      </c>
      <c r="P30" s="408" t="str">
        <f>IF('SP5-3 (1)'!B20="","",LOOKUP('SP5-3 (1)'!B20,Tables!$S$5:$T$45))</f>
        <v/>
      </c>
      <c r="Q30" s="408" t="str">
        <f>IF('SP5-3 (2)'!B20="","",LOOKUP('SP5-3 (2)'!B20,Tables!$S$5:$T$45))</f>
        <v/>
      </c>
      <c r="R30" s="408" t="str">
        <f>IF('SP5-3 (3)'!B20="","",LOOKUP('SP5-3 (3)'!B20,Tables!$S$5:$T$45))</f>
        <v/>
      </c>
      <c r="S30" s="25">
        <v>25</v>
      </c>
      <c r="T30" s="406">
        <v>0.60953087052827937</v>
      </c>
      <c r="V30" s="25">
        <v>25</v>
      </c>
      <c r="W30" s="406">
        <v>19.718046682979733</v>
      </c>
      <c r="Y30" s="25">
        <v>25</v>
      </c>
      <c r="Z30" s="406">
        <v>226.22124088741361</v>
      </c>
    </row>
    <row r="31" spans="1:26">
      <c r="O31" s="407" t="str">
        <f>IF('SP5-2'!B26="","",LOOKUP('SP5-2'!B26,Tables!$S$5:$T$45))</f>
        <v/>
      </c>
      <c r="P31" s="408" t="str">
        <f>IF('SP5-3 (1)'!B21="","",LOOKUP('SP5-3 (1)'!B21,Tables!$S$5:$T$45))</f>
        <v/>
      </c>
      <c r="Q31" s="408" t="str">
        <f>IF('SP5-3 (2)'!B21="","",LOOKUP('SP5-3 (2)'!B21,Tables!$S$5:$T$45))</f>
        <v/>
      </c>
      <c r="R31" s="408" t="str">
        <f>IF('SP5-3 (3)'!B21="","",LOOKUP('SP5-3 (3)'!B21,Tables!$S$5:$T$45))</f>
        <v/>
      </c>
      <c r="S31" s="25">
        <v>26</v>
      </c>
      <c r="T31" s="406">
        <v>0.59757928483164635</v>
      </c>
      <c r="V31" s="25">
        <v>26</v>
      </c>
      <c r="W31" s="406">
        <v>20.321582038055507</v>
      </c>
      <c r="Y31" s="25">
        <v>26</v>
      </c>
      <c r="Z31" s="406">
        <v>241.61039648288079</v>
      </c>
    </row>
    <row r="32" spans="1:26">
      <c r="A32" s="25" t="str">
        <f>LOOKUP(H34,{0,1,4,7,10},{"1","2","3","4","5"})</f>
        <v>1</v>
      </c>
      <c r="O32" s="407" t="str">
        <f>IF('SP5-2'!B27="","",LOOKUP('SP5-2'!B27,Tables!$S$5:$T$45))</f>
        <v/>
      </c>
      <c r="P32" s="408" t="str">
        <f>IF('SP5-3 (1)'!B22="","",LOOKUP('SP5-3 (1)'!B22,Tables!$S$5:$T$45))</f>
        <v/>
      </c>
      <c r="Q32" s="408" t="str">
        <f>IF('SP5-3 (2)'!B22="","",LOOKUP('SP5-3 (2)'!B22,Tables!$S$5:$T$45))</f>
        <v/>
      </c>
      <c r="R32" s="408" t="str">
        <f>IF('SP5-3 (3)'!B22="","",LOOKUP('SP5-3 (3)'!B22,Tables!$S$5:$T$45))</f>
        <v/>
      </c>
      <c r="S32" s="25">
        <v>27</v>
      </c>
      <c r="T32" s="406">
        <v>0.58586204395259456</v>
      </c>
      <c r="V32" s="25">
        <v>27</v>
      </c>
      <c r="W32" s="406">
        <v>20.913283366561156</v>
      </c>
      <c r="Y32" s="25">
        <v>27</v>
      </c>
      <c r="Z32" s="406">
        <v>257.28950525792175</v>
      </c>
    </row>
    <row r="33" spans="1:26" ht="13.8" thickBot="1">
      <c r="S33" s="25">
        <v>28</v>
      </c>
      <c r="T33" s="406">
        <v>0.57437455289470041</v>
      </c>
      <c r="V33" s="25">
        <v>28</v>
      </c>
      <c r="W33" s="406">
        <v>21.493382708233373</v>
      </c>
      <c r="Y33" s="25">
        <v>28</v>
      </c>
      <c r="Z33" s="406">
        <v>273.24127986924327</v>
      </c>
    </row>
    <row r="34" spans="1:26" ht="21" thickBot="1">
      <c r="A34" s="110" t="s">
        <v>683</v>
      </c>
      <c r="B34" s="111">
        <v>0</v>
      </c>
      <c r="C34" s="112">
        <v>5.0000000000000001E-3</v>
      </c>
      <c r="D34" s="112">
        <v>0.01</v>
      </c>
      <c r="E34" s="112">
        <v>1.4999999999999999E-2</v>
      </c>
      <c r="F34" s="112">
        <v>0.02</v>
      </c>
      <c r="G34" s="112">
        <v>2.5000000000000001E-2</v>
      </c>
      <c r="H34" s="112">
        <v>0.03</v>
      </c>
      <c r="I34" s="112">
        <v>3.5000000000000003E-2</v>
      </c>
      <c r="J34" s="112">
        <v>0.04</v>
      </c>
      <c r="S34" s="25">
        <v>29</v>
      </c>
      <c r="T34" s="406">
        <v>0.56311230675951029</v>
      </c>
      <c r="V34" s="25">
        <v>29</v>
      </c>
      <c r="W34" s="406">
        <v>22.062107553010044</v>
      </c>
      <c r="Y34" s="25">
        <v>29</v>
      </c>
      <c r="Z34" s="406">
        <v>289.44899943100063</v>
      </c>
    </row>
    <row r="35" spans="1:26" ht="33" thickBot="1">
      <c r="A35" s="113" t="s">
        <v>684</v>
      </c>
      <c r="B35" s="114">
        <v>14.52187909384241</v>
      </c>
      <c r="C35" s="114">
        <v>15.515238003819475</v>
      </c>
      <c r="D35" s="114">
        <v>16.508596913796541</v>
      </c>
      <c r="E35" s="114">
        <v>17.501955823773606</v>
      </c>
      <c r="F35" s="114">
        <v>18.495314733750671</v>
      </c>
      <c r="G35" s="114">
        <v>19.488673643727736</v>
      </c>
      <c r="H35" s="114">
        <v>20.482032553704801</v>
      </c>
      <c r="I35" s="114">
        <v>21.475391463681866</v>
      </c>
      <c r="J35" s="114">
        <v>22.468750373658935</v>
      </c>
      <c r="S35" s="25">
        <v>30</v>
      </c>
      <c r="T35" s="406">
        <v>0.55207088897991208</v>
      </c>
      <c r="V35" s="25">
        <v>30</v>
      </c>
      <c r="W35" s="406">
        <v>22.619680930242087</v>
      </c>
      <c r="Y35" s="25">
        <v>30</v>
      </c>
      <c r="Z35" s="406">
        <v>305.89649394721118</v>
      </c>
    </row>
    <row r="36" spans="1:26">
      <c r="S36" s="25">
        <v>31</v>
      </c>
      <c r="T36" s="406">
        <v>0.54391220589153899</v>
      </c>
      <c r="V36" s="25">
        <v>31</v>
      </c>
      <c r="W36" s="406">
        <v>23.167662355092627</v>
      </c>
      <c r="Y36" s="25">
        <v>31</v>
      </c>
      <c r="Z36" s="406">
        <v>322.60924751740691</v>
      </c>
    </row>
    <row r="37" spans="1:26">
      <c r="A37" s="25">
        <v>1</v>
      </c>
      <c r="B37" s="25">
        <f ca="1">OFFSET(A34,1,A37)</f>
        <v>14.52187909384241</v>
      </c>
      <c r="S37" s="25">
        <v>32</v>
      </c>
      <c r="T37" s="406">
        <v>0.53587409447442269</v>
      </c>
      <c r="V37" s="25">
        <v>32</v>
      </c>
      <c r="W37" s="406">
        <v>23.70754553228528</v>
      </c>
      <c r="Y37" s="25">
        <v>32</v>
      </c>
      <c r="Z37" s="406">
        <v>339.61489775883194</v>
      </c>
    </row>
    <row r="38" spans="1:26">
      <c r="S38" s="25">
        <v>33</v>
      </c>
      <c r="T38" s="406">
        <v>0.52795477288120474</v>
      </c>
      <c r="V38" s="25">
        <v>33</v>
      </c>
      <c r="W38" s="406">
        <v>24.239450140356858</v>
      </c>
      <c r="Y38" s="25">
        <v>33</v>
      </c>
      <c r="Z38" s="406">
        <v>356.9011375801303</v>
      </c>
    </row>
    <row r="39" spans="1:26" ht="13.8" thickBot="1">
      <c r="A39" s="25" t="s">
        <v>498</v>
      </c>
      <c r="S39" s="25">
        <v>34</v>
      </c>
      <c r="T39" s="406">
        <v>0.52015248559724614</v>
      </c>
      <c r="V39" s="25">
        <v>34</v>
      </c>
      <c r="W39" s="406">
        <v>24.763494089195852</v>
      </c>
      <c r="Y39" s="25">
        <v>34</v>
      </c>
      <c r="Z39" s="406">
        <v>374.45595967803149</v>
      </c>
    </row>
    <row r="40" spans="1:26" ht="14.1" customHeight="1" thickBot="1">
      <c r="A40" s="58" t="s">
        <v>480</v>
      </c>
      <c r="B40" s="633" t="s">
        <v>481</v>
      </c>
      <c r="C40" s="634"/>
      <c r="D40" s="634"/>
      <c r="E40" s="634"/>
      <c r="F40" s="634"/>
      <c r="G40" s="634"/>
      <c r="H40" s="634"/>
      <c r="I40" s="635"/>
      <c r="S40" s="25">
        <v>35</v>
      </c>
      <c r="T40" s="406">
        <v>0.51246550305147409</v>
      </c>
      <c r="V40" s="25">
        <v>35</v>
      </c>
      <c r="W40" s="406">
        <v>25.279793546180084</v>
      </c>
      <c r="Y40" s="25">
        <v>35</v>
      </c>
      <c r="Z40" s="406">
        <v>392.26765036447568</v>
      </c>
    </row>
    <row r="41" spans="1:26" ht="13.8" thickBot="1">
      <c r="A41" s="57"/>
      <c r="B41" s="78">
        <v>0</v>
      </c>
      <c r="C41" s="77">
        <v>0.01</v>
      </c>
      <c r="D41" s="77">
        <v>0.02</v>
      </c>
      <c r="E41" s="77">
        <v>0.03</v>
      </c>
      <c r="F41" s="77">
        <v>0.04</v>
      </c>
      <c r="G41" s="77">
        <v>0.05</v>
      </c>
      <c r="H41" s="77">
        <v>0.06</v>
      </c>
      <c r="I41" s="77">
        <v>7.0000000000000007E-2</v>
      </c>
      <c r="S41" s="25">
        <v>36</v>
      </c>
      <c r="T41" s="406">
        <v>0.50489212123297955</v>
      </c>
      <c r="V41" s="25">
        <v>36</v>
      </c>
      <c r="W41" s="406">
        <v>25.788462961928094</v>
      </c>
      <c r="Y41" s="25">
        <v>36</v>
      </c>
      <c r="Z41" s="406">
        <v>410.32478351070978</v>
      </c>
    </row>
    <row r="42" spans="1:26" ht="24" thickBot="1">
      <c r="A42" s="57" t="s">
        <v>499</v>
      </c>
      <c r="B42" s="76">
        <v>0.83</v>
      </c>
      <c r="C42" s="55">
        <v>0.86</v>
      </c>
      <c r="D42" s="55">
        <v>0.9</v>
      </c>
      <c r="E42" s="55">
        <v>0.93</v>
      </c>
      <c r="F42" s="55">
        <v>0.96</v>
      </c>
      <c r="G42" s="55">
        <v>0.99</v>
      </c>
      <c r="H42" s="55">
        <v>1.03</v>
      </c>
      <c r="I42" s="55">
        <v>1.06</v>
      </c>
      <c r="S42" s="25">
        <v>37</v>
      </c>
      <c r="T42" s="406">
        <v>0.49743066131328034</v>
      </c>
      <c r="V42" s="25">
        <v>37</v>
      </c>
      <c r="W42" s="406">
        <v>26.289615095669973</v>
      </c>
      <c r="Y42" s="25">
        <v>37</v>
      </c>
      <c r="Z42" s="406">
        <v>428.61621460625872</v>
      </c>
    </row>
    <row r="43" spans="1:26" ht="35.4" thickBot="1">
      <c r="A43" s="57" t="s">
        <v>500</v>
      </c>
      <c r="B43" s="76">
        <v>0.95</v>
      </c>
      <c r="C43" s="55">
        <v>0.98</v>
      </c>
      <c r="D43" s="55">
        <v>1.02</v>
      </c>
      <c r="E43" s="55">
        <v>1.06</v>
      </c>
      <c r="F43" s="55">
        <v>1.1000000000000001</v>
      </c>
      <c r="G43" s="55">
        <v>1.1399999999999999</v>
      </c>
      <c r="H43" s="55">
        <v>1.17</v>
      </c>
      <c r="I43" s="55">
        <v>1.21</v>
      </c>
      <c r="S43" s="25">
        <v>38</v>
      </c>
      <c r="T43" s="406">
        <v>0.4900794692741679</v>
      </c>
      <c r="V43" s="25">
        <v>38</v>
      </c>
      <c r="W43" s="406">
        <v>26.783361040243257</v>
      </c>
      <c r="Y43" s="25">
        <v>38</v>
      </c>
      <c r="Z43" s="406">
        <v>447.13107493068344</v>
      </c>
    </row>
    <row r="44" spans="1:26">
      <c r="S44" s="25">
        <v>39</v>
      </c>
      <c r="T44" s="406">
        <v>0.48283691554105218</v>
      </c>
      <c r="V44" s="25">
        <v>39</v>
      </c>
      <c r="W44" s="406">
        <v>27.269810246719398</v>
      </c>
      <c r="Y44" s="25">
        <v>39</v>
      </c>
      <c r="Z44" s="406">
        <v>465.8587658361003</v>
      </c>
    </row>
    <row r="45" spans="1:26">
      <c r="A45" s="75" t="s">
        <v>504</v>
      </c>
      <c r="B45" s="25" t="s">
        <v>505</v>
      </c>
      <c r="S45" s="25">
        <v>40</v>
      </c>
      <c r="T45" s="406">
        <v>0.47570139462172634</v>
      </c>
      <c r="V45" s="25">
        <v>40</v>
      </c>
      <c r="W45" s="406">
        <v>27.749070548666339</v>
      </c>
      <c r="Y45" s="25">
        <v>40</v>
      </c>
      <c r="Z45" s="406">
        <v>484.78895313845783</v>
      </c>
    </row>
    <row r="46" spans="1:26">
      <c r="A46" s="25">
        <v>1</v>
      </c>
      <c r="B46" s="328">
        <v>1</v>
      </c>
      <c r="C46" s="74">
        <f ca="1">OFFSET(A41,A46,B46)</f>
        <v>0.83</v>
      </c>
      <c r="D46" s="62" t="s">
        <v>685</v>
      </c>
    </row>
    <row r="47" spans="1:26" ht="13.8" thickBot="1"/>
    <row r="48" spans="1:26" ht="31.8" thickBot="1">
      <c r="A48" s="115" t="s">
        <v>481</v>
      </c>
      <c r="B48" s="111">
        <v>0</v>
      </c>
      <c r="C48" s="112">
        <v>5.0000000000000001E-3</v>
      </c>
      <c r="D48" s="112">
        <v>0.01</v>
      </c>
      <c r="E48" s="112">
        <v>1.4999999999999999E-2</v>
      </c>
      <c r="F48" s="112">
        <v>0.02</v>
      </c>
      <c r="G48" s="112">
        <v>2.5000000000000001E-2</v>
      </c>
      <c r="H48" s="112">
        <v>0.03</v>
      </c>
      <c r="I48" s="112">
        <v>3.5000000000000003E-2</v>
      </c>
      <c r="J48" s="112">
        <v>0.04</v>
      </c>
    </row>
    <row r="49" spans="1:10" ht="21.6" thickBot="1">
      <c r="A49" s="92" t="s">
        <v>499</v>
      </c>
      <c r="B49" s="116">
        <v>6.31</v>
      </c>
      <c r="C49" s="116">
        <v>6.69</v>
      </c>
      <c r="D49" s="116">
        <v>7.07</v>
      </c>
      <c r="E49" s="116">
        <v>7.44</v>
      </c>
      <c r="F49" s="116">
        <v>7.82</v>
      </c>
      <c r="G49" s="116">
        <v>8.19</v>
      </c>
      <c r="H49" s="116">
        <v>8.57</v>
      </c>
      <c r="I49" s="116">
        <v>8.9499999999999993</v>
      </c>
      <c r="J49" s="116">
        <v>9.32</v>
      </c>
    </row>
    <row r="50" spans="1:10" ht="13.8" thickBot="1">
      <c r="A50" s="92" t="s">
        <v>686</v>
      </c>
      <c r="B50" s="116">
        <v>7.82</v>
      </c>
      <c r="C50" s="116">
        <v>8.19</v>
      </c>
      <c r="D50" s="116">
        <v>8.57</v>
      </c>
      <c r="E50" s="116">
        <v>8.9499999999999993</v>
      </c>
      <c r="F50" s="116">
        <v>9.32</v>
      </c>
      <c r="G50" s="116">
        <v>9.6999999999999993</v>
      </c>
      <c r="H50" s="116">
        <v>10.07</v>
      </c>
      <c r="I50" s="116">
        <v>10.45</v>
      </c>
      <c r="J50" s="116">
        <v>10.83</v>
      </c>
    </row>
    <row r="52" spans="1:10">
      <c r="A52" s="25" t="str">
        <f>LOOKUP(_sp56,{0,70},{"1","2"})</f>
        <v>1</v>
      </c>
      <c r="B52" s="25" t="str">
        <f>LOOKUP('SP5-6'!N8,{0,1,2,3,4,5,6,7},{"1","2","3","4","5","6","7"})</f>
        <v>1</v>
      </c>
      <c r="C52" s="25">
        <f ca="1">OFFSET(A48,A52,B52)</f>
        <v>6.31</v>
      </c>
    </row>
    <row r="55" spans="1:10" ht="19.8">
      <c r="A55" s="60" t="s">
        <v>509</v>
      </c>
      <c r="B55" s="397"/>
    </row>
    <row r="56" spans="1:10">
      <c r="A56" s="59" t="s">
        <v>510</v>
      </c>
      <c r="B56" s="398" t="s">
        <v>864</v>
      </c>
    </row>
    <row r="57" spans="1:10" ht="13.8" thickBot="1">
      <c r="A57" s="59"/>
    </row>
    <row r="58" spans="1:10" ht="13.2" customHeight="1">
      <c r="A58" s="636" t="s">
        <v>438</v>
      </c>
      <c r="B58" s="636" t="s">
        <v>511</v>
      </c>
      <c r="C58" s="395" t="s">
        <v>512</v>
      </c>
      <c r="D58" s="395" t="s">
        <v>513</v>
      </c>
    </row>
    <row r="59" spans="1:10" ht="24" thickBot="1">
      <c r="A59" s="637"/>
      <c r="B59" s="637"/>
      <c r="C59" s="396" t="s">
        <v>514</v>
      </c>
      <c r="D59" s="396" t="s">
        <v>514</v>
      </c>
    </row>
    <row r="60" spans="1:10" ht="13.8" thickBot="1">
      <c r="A60" s="56" t="s">
        <v>563</v>
      </c>
      <c r="B60" s="55" t="s">
        <v>692</v>
      </c>
      <c r="C60" s="76">
        <v>0.08</v>
      </c>
      <c r="D60" s="76">
        <v>0.92</v>
      </c>
    </row>
    <row r="61" spans="1:10" ht="13.8" thickBot="1">
      <c r="A61" s="56" t="s">
        <v>564</v>
      </c>
      <c r="B61" s="55" t="s">
        <v>478</v>
      </c>
      <c r="C61" s="76">
        <v>0.04</v>
      </c>
      <c r="D61" s="76">
        <v>0.96</v>
      </c>
    </row>
    <row r="62" spans="1:10" ht="34.799999999999997" thickBot="1">
      <c r="A62" s="56" t="s">
        <v>439</v>
      </c>
      <c r="B62" s="55" t="s">
        <v>693</v>
      </c>
      <c r="C62" s="76">
        <v>0.1</v>
      </c>
      <c r="D62" s="76">
        <v>0.9</v>
      </c>
    </row>
    <row r="63" spans="1:10" ht="34.799999999999997" thickBot="1">
      <c r="A63" s="56" t="s">
        <v>565</v>
      </c>
      <c r="B63" s="55" t="s">
        <v>521</v>
      </c>
      <c r="C63" s="76">
        <v>0.04</v>
      </c>
      <c r="D63" s="76">
        <v>0.96</v>
      </c>
    </row>
    <row r="64" spans="1:10" ht="23.4" thickBot="1">
      <c r="A64" s="56" t="s">
        <v>566</v>
      </c>
      <c r="B64" s="55" t="s">
        <v>523</v>
      </c>
      <c r="C64" s="76">
        <v>0.15</v>
      </c>
      <c r="D64" s="76">
        <v>0.85</v>
      </c>
    </row>
    <row r="65" spans="1:4" ht="23.4" thickBot="1">
      <c r="A65" s="56" t="s">
        <v>568</v>
      </c>
      <c r="B65" s="55" t="s">
        <v>694</v>
      </c>
      <c r="C65" s="76">
        <v>0.05</v>
      </c>
      <c r="D65" s="76">
        <v>0.95</v>
      </c>
    </row>
    <row r="66" spans="1:4" ht="13.8" thickBot="1">
      <c r="A66" s="56" t="s">
        <v>451</v>
      </c>
      <c r="B66" s="55" t="s">
        <v>695</v>
      </c>
      <c r="C66" s="76">
        <v>0.08</v>
      </c>
      <c r="D66" s="76">
        <v>0.92</v>
      </c>
    </row>
    <row r="67" spans="1:4" ht="23.4" thickBot="1">
      <c r="A67" s="56" t="s">
        <v>569</v>
      </c>
      <c r="B67" s="55" t="s">
        <v>696</v>
      </c>
      <c r="C67" s="76">
        <v>0.04</v>
      </c>
      <c r="D67" s="76">
        <v>0.96</v>
      </c>
    </row>
    <row r="68" spans="1:4" ht="23.4" thickBot="1">
      <c r="A68" s="56" t="s">
        <v>570</v>
      </c>
      <c r="B68" s="55" t="s">
        <v>697</v>
      </c>
      <c r="C68" s="76">
        <v>0.02</v>
      </c>
      <c r="D68" s="76">
        <v>0.98</v>
      </c>
    </row>
    <row r="69" spans="1:4" ht="34.799999999999997" thickBot="1">
      <c r="A69" s="56" t="s">
        <v>571</v>
      </c>
      <c r="B69" s="55" t="s">
        <v>698</v>
      </c>
      <c r="C69" s="76">
        <v>0.05</v>
      </c>
      <c r="D69" s="76">
        <v>0.95</v>
      </c>
    </row>
    <row r="70" spans="1:4" ht="23.4" thickBot="1">
      <c r="A70" s="56" t="s">
        <v>572</v>
      </c>
      <c r="B70" s="55" t="s">
        <v>554</v>
      </c>
      <c r="C70" s="76">
        <v>0.05</v>
      </c>
      <c r="D70" s="76">
        <v>0.95</v>
      </c>
    </row>
    <row r="71" spans="1:4" ht="23.4" thickBot="1">
      <c r="A71" s="56" t="s">
        <v>573</v>
      </c>
      <c r="B71" s="55" t="s">
        <v>699</v>
      </c>
      <c r="C71" s="76">
        <v>0.03</v>
      </c>
      <c r="D71" s="76">
        <v>0.97</v>
      </c>
    </row>
    <row r="72" spans="1:4" ht="34.799999999999997" thickBot="1">
      <c r="A72" s="56" t="s">
        <v>469</v>
      </c>
      <c r="B72" s="61"/>
      <c r="C72" s="76">
        <v>7.0000000000000007E-2</v>
      </c>
      <c r="D72" s="76">
        <v>0.93</v>
      </c>
    </row>
    <row r="73" spans="1:4">
      <c r="A73" s="62"/>
    </row>
    <row r="74" spans="1:4" ht="13.8" thickBot="1">
      <c r="A74" s="59" t="s">
        <v>539</v>
      </c>
      <c r="B74" s="398" t="s">
        <v>865</v>
      </c>
    </row>
    <row r="75" spans="1:4" ht="13.2" customHeight="1">
      <c r="A75" s="636" t="s">
        <v>438</v>
      </c>
      <c r="B75" s="636" t="s">
        <v>511</v>
      </c>
      <c r="C75" s="395" t="s">
        <v>512</v>
      </c>
      <c r="D75" s="395" t="s">
        <v>513</v>
      </c>
    </row>
    <row r="76" spans="1:4" ht="24" thickBot="1">
      <c r="A76" s="637"/>
      <c r="B76" s="637"/>
      <c r="C76" s="396" t="s">
        <v>514</v>
      </c>
      <c r="D76" s="396" t="s">
        <v>514</v>
      </c>
    </row>
    <row r="77" spans="1:4" ht="13.8" thickBot="1">
      <c r="A77" s="56" t="s">
        <v>563</v>
      </c>
      <c r="B77" s="55" t="s">
        <v>692</v>
      </c>
      <c r="C77" s="76">
        <v>0.25</v>
      </c>
      <c r="D77" s="76">
        <v>0.75</v>
      </c>
    </row>
    <row r="78" spans="1:4" ht="13.8" thickBot="1">
      <c r="A78" s="56" t="s">
        <v>564</v>
      </c>
      <c r="B78" s="55" t="s">
        <v>478</v>
      </c>
      <c r="C78" s="76">
        <v>0.06</v>
      </c>
      <c r="D78" s="76">
        <v>0.94</v>
      </c>
    </row>
    <row r="79" spans="1:4" ht="34.799999999999997" thickBot="1">
      <c r="A79" s="56" t="s">
        <v>439</v>
      </c>
      <c r="B79" s="55" t="s">
        <v>693</v>
      </c>
      <c r="C79" s="76">
        <v>0.16</v>
      </c>
      <c r="D79" s="76">
        <v>0.84</v>
      </c>
    </row>
    <row r="80" spans="1:4" ht="34.799999999999997" thickBot="1">
      <c r="A80" s="56" t="s">
        <v>565</v>
      </c>
      <c r="B80" s="55" t="s">
        <v>521</v>
      </c>
      <c r="C80" s="76">
        <v>0.2</v>
      </c>
      <c r="D80" s="76">
        <v>0.8</v>
      </c>
    </row>
    <row r="81" spans="1:4" ht="23.4" thickBot="1">
      <c r="A81" s="56" t="s">
        <v>566</v>
      </c>
      <c r="B81" s="55" t="s">
        <v>523</v>
      </c>
      <c r="C81" s="76">
        <v>0.28999999999999998</v>
      </c>
      <c r="D81" s="76">
        <v>0.71</v>
      </c>
    </row>
    <row r="82" spans="1:4" ht="23.4" thickBot="1">
      <c r="A82" s="56" t="s">
        <v>568</v>
      </c>
      <c r="B82" s="55" t="s">
        <v>694</v>
      </c>
      <c r="C82" s="76">
        <v>0.08</v>
      </c>
      <c r="D82" s="76">
        <v>0.92</v>
      </c>
    </row>
    <row r="83" spans="1:4" ht="13.8" thickBot="1">
      <c r="A83" s="56" t="s">
        <v>451</v>
      </c>
      <c r="B83" s="55" t="s">
        <v>695</v>
      </c>
      <c r="C83" s="76">
        <v>0.11</v>
      </c>
      <c r="D83" s="76">
        <v>0.89</v>
      </c>
    </row>
    <row r="84" spans="1:4" ht="23.4" thickBot="1">
      <c r="A84" s="56" t="s">
        <v>569</v>
      </c>
      <c r="B84" s="55" t="s">
        <v>696</v>
      </c>
      <c r="C84" s="76">
        <v>0.12</v>
      </c>
      <c r="D84" s="76">
        <v>0.88</v>
      </c>
    </row>
    <row r="85" spans="1:4" ht="23.4" thickBot="1">
      <c r="A85" s="56" t="s">
        <v>570</v>
      </c>
      <c r="B85" s="55" t="s">
        <v>697</v>
      </c>
      <c r="C85" s="76">
        <v>0.04</v>
      </c>
      <c r="D85" s="76">
        <v>0.96</v>
      </c>
    </row>
    <row r="86" spans="1:4" ht="34.799999999999997" thickBot="1">
      <c r="A86" s="56" t="s">
        <v>571</v>
      </c>
      <c r="B86" s="55" t="s">
        <v>698</v>
      </c>
      <c r="C86" s="76">
        <v>0.12</v>
      </c>
      <c r="D86" s="76">
        <v>0.88</v>
      </c>
    </row>
    <row r="87" spans="1:4" ht="23.4" thickBot="1">
      <c r="A87" s="56" t="s">
        <v>572</v>
      </c>
      <c r="B87" s="55" t="s">
        <v>554</v>
      </c>
      <c r="C87" s="76">
        <v>0.13</v>
      </c>
      <c r="D87" s="76">
        <v>0.87</v>
      </c>
    </row>
    <row r="88" spans="1:4" ht="23.4" thickBot="1">
      <c r="A88" s="56" t="s">
        <v>573</v>
      </c>
      <c r="B88" s="55" t="s">
        <v>699</v>
      </c>
      <c r="C88" s="76">
        <v>7.0000000000000007E-2</v>
      </c>
      <c r="D88" s="76">
        <v>0.93</v>
      </c>
    </row>
    <row r="89" spans="1:4" ht="34.799999999999997" thickBot="1">
      <c r="A89" s="56" t="s">
        <v>469</v>
      </c>
      <c r="B89" s="61"/>
      <c r="C89" s="76">
        <v>0.14000000000000001</v>
      </c>
      <c r="D89" s="76">
        <v>0.86</v>
      </c>
    </row>
    <row r="90" spans="1:4" ht="19.8">
      <c r="A90" s="60"/>
    </row>
    <row r="91" spans="1:4" ht="19.8">
      <c r="A91" s="60" t="s">
        <v>509</v>
      </c>
      <c r="B91" s="397"/>
    </row>
    <row r="92" spans="1:4" ht="13.8" thickBot="1">
      <c r="A92" s="59" t="s">
        <v>546</v>
      </c>
      <c r="B92" s="398" t="s">
        <v>866</v>
      </c>
    </row>
    <row r="93" spans="1:4" ht="13.2" customHeight="1">
      <c r="A93" s="636" t="s">
        <v>438</v>
      </c>
      <c r="B93" s="636" t="s">
        <v>511</v>
      </c>
      <c r="C93" s="395" t="s">
        <v>547</v>
      </c>
      <c r="D93" s="395" t="s">
        <v>548</v>
      </c>
    </row>
    <row r="94" spans="1:4" ht="24" thickBot="1">
      <c r="A94" s="637"/>
      <c r="B94" s="637"/>
      <c r="C94" s="396" t="s">
        <v>514</v>
      </c>
      <c r="D94" s="396" t="s">
        <v>514</v>
      </c>
    </row>
    <row r="95" spans="1:4" ht="13.8" thickBot="1">
      <c r="A95" s="56" t="s">
        <v>563</v>
      </c>
      <c r="B95" s="55" t="s">
        <v>692</v>
      </c>
      <c r="C95" s="76">
        <v>0.35</v>
      </c>
      <c r="D95" s="76">
        <v>0.65</v>
      </c>
    </row>
    <row r="96" spans="1:4" ht="13.8" thickBot="1">
      <c r="A96" s="56" t="s">
        <v>564</v>
      </c>
      <c r="B96" s="55" t="s">
        <v>478</v>
      </c>
      <c r="C96" s="76">
        <v>0.12</v>
      </c>
      <c r="D96" s="76">
        <v>0.88</v>
      </c>
    </row>
    <row r="97" spans="1:5" ht="34.799999999999997" thickBot="1">
      <c r="A97" s="56" t="s">
        <v>439</v>
      </c>
      <c r="B97" s="55" t="s">
        <v>693</v>
      </c>
      <c r="C97" s="76">
        <v>0.14000000000000001</v>
      </c>
      <c r="D97" s="76">
        <v>0.86</v>
      </c>
    </row>
    <row r="98" spans="1:5" ht="34.799999999999997" thickBot="1">
      <c r="A98" s="56" t="s">
        <v>565</v>
      </c>
      <c r="B98" s="55" t="s">
        <v>521</v>
      </c>
      <c r="C98" s="76">
        <v>0.08</v>
      </c>
      <c r="D98" s="76">
        <v>0.92</v>
      </c>
    </row>
    <row r="99" spans="1:5" ht="23.4" thickBot="1">
      <c r="A99" s="56" t="s">
        <v>566</v>
      </c>
      <c r="B99" s="55" t="s">
        <v>523</v>
      </c>
      <c r="C99" s="76">
        <v>0.22</v>
      </c>
      <c r="D99" s="76">
        <v>0.78</v>
      </c>
    </row>
    <row r="100" spans="1:5" ht="23.4" thickBot="1">
      <c r="A100" s="56" t="s">
        <v>568</v>
      </c>
      <c r="B100" s="55" t="s">
        <v>694</v>
      </c>
      <c r="C100" s="76">
        <v>0.11</v>
      </c>
      <c r="D100" s="76">
        <v>0.89</v>
      </c>
    </row>
    <row r="101" spans="1:5" ht="13.8" thickBot="1">
      <c r="A101" s="56" t="s">
        <v>451</v>
      </c>
      <c r="B101" s="55" t="s">
        <v>695</v>
      </c>
      <c r="C101" s="76">
        <v>0.37</v>
      </c>
      <c r="D101" s="76">
        <v>0.63</v>
      </c>
    </row>
    <row r="102" spans="1:5" ht="23.4" thickBot="1">
      <c r="A102" s="56" t="s">
        <v>569</v>
      </c>
      <c r="B102" s="55" t="s">
        <v>696</v>
      </c>
      <c r="C102" s="76">
        <v>0.12</v>
      </c>
      <c r="D102" s="76">
        <v>0.88</v>
      </c>
    </row>
    <row r="103" spans="1:5" ht="23.4" thickBot="1">
      <c r="A103" s="56" t="s">
        <v>570</v>
      </c>
      <c r="B103" s="55" t="s">
        <v>697</v>
      </c>
      <c r="C103" s="76">
        <v>0.06</v>
      </c>
      <c r="D103" s="76">
        <v>0.94</v>
      </c>
    </row>
    <row r="104" spans="1:5" ht="34.799999999999997" thickBot="1">
      <c r="A104" s="56" t="s">
        <v>571</v>
      </c>
      <c r="B104" s="55" t="s">
        <v>698</v>
      </c>
      <c r="C104" s="76">
        <v>0.14000000000000001</v>
      </c>
      <c r="D104" s="76">
        <v>0.86</v>
      </c>
    </row>
    <row r="105" spans="1:5" ht="23.4" thickBot="1">
      <c r="A105" s="56" t="s">
        <v>572</v>
      </c>
      <c r="B105" s="55" t="s">
        <v>554</v>
      </c>
      <c r="C105" s="76">
        <v>0.19</v>
      </c>
      <c r="D105" s="76">
        <v>0.81</v>
      </c>
    </row>
    <row r="106" spans="1:5" ht="23.4" thickBot="1">
      <c r="A106" s="56" t="s">
        <v>573</v>
      </c>
      <c r="B106" s="55" t="s">
        <v>555</v>
      </c>
      <c r="C106" s="76">
        <v>0.13</v>
      </c>
      <c r="D106" s="76">
        <v>0.87</v>
      </c>
    </row>
    <row r="107" spans="1:5" ht="34.799999999999997" thickBot="1">
      <c r="A107" s="56" t="s">
        <v>469</v>
      </c>
      <c r="B107" s="55"/>
      <c r="C107" s="76">
        <v>0.18</v>
      </c>
      <c r="D107" s="76">
        <v>0.82</v>
      </c>
    </row>
    <row r="108" spans="1:5" ht="13.8" thickBot="1">
      <c r="A108" s="59" t="s">
        <v>556</v>
      </c>
      <c r="B108" s="398" t="s">
        <v>867</v>
      </c>
    </row>
    <row r="109" spans="1:5" ht="13.8" thickBot="1">
      <c r="A109" s="73" t="s">
        <v>465</v>
      </c>
      <c r="B109" s="72" t="s">
        <v>868</v>
      </c>
      <c r="C109" s="71" t="s">
        <v>242</v>
      </c>
      <c r="D109" s="71" t="s">
        <v>243</v>
      </c>
      <c r="E109" s="71" t="s">
        <v>244</v>
      </c>
    </row>
    <row r="110" spans="1:5" ht="43.35" customHeight="1" thickBot="1">
      <c r="A110" s="626" t="s">
        <v>869</v>
      </c>
      <c r="B110" s="70" t="s">
        <v>451</v>
      </c>
      <c r="C110" s="628">
        <v>1</v>
      </c>
      <c r="D110" s="628">
        <v>1.5</v>
      </c>
      <c r="E110" s="399">
        <v>4.5</v>
      </c>
    </row>
    <row r="111" spans="1:5" ht="13.8" thickBot="1">
      <c r="A111" s="627"/>
      <c r="B111" s="70" t="s">
        <v>453</v>
      </c>
      <c r="C111" s="629"/>
      <c r="D111" s="629"/>
      <c r="E111" s="399">
        <v>2.8</v>
      </c>
    </row>
    <row r="112" spans="1:5" ht="89.1" customHeight="1" thickBot="1">
      <c r="A112" s="626" t="s">
        <v>455</v>
      </c>
      <c r="B112" s="70" t="s">
        <v>451</v>
      </c>
      <c r="C112" s="628">
        <v>1</v>
      </c>
      <c r="D112" s="628">
        <v>1.9</v>
      </c>
      <c r="E112" s="399">
        <v>7.5</v>
      </c>
    </row>
    <row r="113" spans="1:26" ht="13.8" thickBot="1">
      <c r="A113" s="627"/>
      <c r="B113" s="70" t="s">
        <v>453</v>
      </c>
      <c r="C113" s="629"/>
      <c r="D113" s="629"/>
      <c r="E113" s="399">
        <v>4.5</v>
      </c>
    </row>
    <row r="114" spans="1:26" ht="54.6" customHeight="1" thickBot="1">
      <c r="A114" s="626" t="s">
        <v>870</v>
      </c>
      <c r="B114" s="70" t="s">
        <v>451</v>
      </c>
      <c r="C114" s="628">
        <v>1</v>
      </c>
      <c r="D114" s="628">
        <v>2.2999999999999998</v>
      </c>
      <c r="E114" s="399">
        <v>13</v>
      </c>
    </row>
    <row r="115" spans="1:26" ht="13.8" thickBot="1">
      <c r="A115" s="627"/>
      <c r="B115" s="70" t="s">
        <v>453</v>
      </c>
      <c r="C115" s="629"/>
      <c r="D115" s="629"/>
      <c r="E115" s="399">
        <v>7.5</v>
      </c>
    </row>
    <row r="116" spans="1:26" ht="13.8" thickBot="1">
      <c r="A116" s="393" t="s">
        <v>332</v>
      </c>
      <c r="B116" s="70" t="s">
        <v>460</v>
      </c>
      <c r="C116" s="399">
        <v>1</v>
      </c>
      <c r="D116" s="399">
        <v>1.9</v>
      </c>
      <c r="E116" s="399">
        <v>1.9</v>
      </c>
    </row>
    <row r="117" spans="1:26" ht="13.8" thickBot="1">
      <c r="A117" s="393" t="s">
        <v>460</v>
      </c>
      <c r="B117" s="70" t="s">
        <v>460</v>
      </c>
      <c r="C117" s="399">
        <v>1</v>
      </c>
      <c r="D117" s="399">
        <v>1.7</v>
      </c>
      <c r="E117" s="399">
        <v>3.6</v>
      </c>
    </row>
    <row r="118" spans="1:26" ht="13.8" thickBot="1">
      <c r="A118" s="59" t="s">
        <v>557</v>
      </c>
      <c r="B118" s="398" t="s">
        <v>871</v>
      </c>
    </row>
    <row r="119" spans="1:26" ht="23.4" thickBot="1">
      <c r="A119" s="69" t="s">
        <v>465</v>
      </c>
      <c r="B119" s="394" t="s">
        <v>466</v>
      </c>
      <c r="C119" s="394" t="s">
        <v>467</v>
      </c>
      <c r="D119" s="394" t="s">
        <v>332</v>
      </c>
    </row>
    <row r="120" spans="1:26" ht="34.799999999999997" thickBot="1">
      <c r="A120" s="56" t="s">
        <v>469</v>
      </c>
      <c r="B120" s="68">
        <v>7</v>
      </c>
      <c r="C120" s="68">
        <v>18.5</v>
      </c>
      <c r="D120" s="68">
        <v>7</v>
      </c>
    </row>
    <row r="121" spans="1:26" ht="19.8">
      <c r="A121" s="60"/>
    </row>
    <row r="122" spans="1:26" ht="21.6" thickBot="1">
      <c r="A122" s="60" t="s">
        <v>509</v>
      </c>
      <c r="B122" s="60"/>
      <c r="S122" s="129" t="s">
        <v>873</v>
      </c>
      <c r="T122" s="129"/>
      <c r="U122" s="129"/>
      <c r="V122" s="129"/>
      <c r="W122" s="129"/>
      <c r="X122" s="129"/>
      <c r="Y122" s="129"/>
      <c r="Z122" s="129"/>
    </row>
    <row r="123" spans="1:26" ht="15" thickTop="1" thickBot="1">
      <c r="A123" s="59" t="s">
        <v>558</v>
      </c>
      <c r="B123" s="398" t="str">
        <f>S124</f>
        <v>Table A28: Cost per crash by movement and vehicle involvement for fatal injury crashes in 30 to 50km/h speed limit areas</v>
      </c>
      <c r="S123" s="118"/>
      <c r="T123" s="118"/>
      <c r="U123" s="118"/>
      <c r="V123" s="118"/>
      <c r="W123" s="118"/>
      <c r="X123" s="118"/>
      <c r="Y123" s="118"/>
      <c r="Z123" s="118"/>
    </row>
    <row r="124" spans="1:26" ht="34.35" customHeight="1" thickBot="1">
      <c r="A124" s="617" t="str">
        <f>S125</f>
        <v>30 to 50km/h speed limit areas fatal injury crashes</v>
      </c>
      <c r="B124" s="619"/>
      <c r="C124" s="617" t="s">
        <v>872</v>
      </c>
      <c r="D124" s="618"/>
      <c r="E124" s="618"/>
      <c r="F124" s="618"/>
      <c r="G124" s="618"/>
      <c r="H124" s="619"/>
      <c r="S124" s="638" t="s">
        <v>874</v>
      </c>
      <c r="T124" s="638"/>
      <c r="U124" s="638"/>
      <c r="V124" s="638"/>
      <c r="W124" s="638"/>
      <c r="X124" s="638"/>
      <c r="Y124" s="638"/>
      <c r="Z124" s="400"/>
    </row>
    <row r="125" spans="1:26" ht="20.399999999999999" customHeight="1" thickBot="1">
      <c r="A125" s="58" t="str" cm="1">
        <f t="array" ref="A125:H125">S126:Z126</f>
        <v>Movement category</v>
      </c>
      <c r="B125" s="58" t="str">
        <v>CAS movement codes</v>
      </c>
      <c r="C125" s="391" t="str">
        <v>Cycle</v>
      </c>
      <c r="D125" s="391" t="str">
        <v>Motorcycle</v>
      </c>
      <c r="E125" s="391" t="str">
        <v>Bus</v>
      </c>
      <c r="F125" s="391" t="str">
        <v>Truck</v>
      </c>
      <c r="G125" s="67" t="str">
        <v>Car, van and other</v>
      </c>
      <c r="H125" s="391" t="str">
        <v>All vehicles</v>
      </c>
      <c r="S125" s="639" t="s">
        <v>875</v>
      </c>
      <c r="T125" s="639"/>
      <c r="U125" s="639" t="s">
        <v>688</v>
      </c>
      <c r="V125" s="639"/>
      <c r="W125" s="639"/>
      <c r="X125" s="639"/>
      <c r="Y125" s="639"/>
      <c r="Z125" s="639"/>
    </row>
    <row r="126" spans="1:26" ht="40.200000000000003" thickBot="1">
      <c r="A126" s="57"/>
      <c r="B126" s="57"/>
      <c r="C126" s="392"/>
      <c r="D126" s="392"/>
      <c r="E126" s="392"/>
      <c r="F126" s="392"/>
      <c r="G126" s="396"/>
      <c r="H126" s="392"/>
      <c r="S126" s="401" t="s">
        <v>438</v>
      </c>
      <c r="T126" s="401" t="s">
        <v>511</v>
      </c>
      <c r="U126" s="402" t="s">
        <v>689</v>
      </c>
      <c r="V126" s="402" t="s">
        <v>690</v>
      </c>
      <c r="W126" s="402" t="s">
        <v>561</v>
      </c>
      <c r="X126" s="402" t="s">
        <v>562</v>
      </c>
      <c r="Y126" s="402" t="s">
        <v>691</v>
      </c>
      <c r="Z126" s="402" t="s">
        <v>441</v>
      </c>
    </row>
    <row r="127" spans="1:26" ht="14.1" customHeight="1" thickBot="1">
      <c r="A127" s="56" t="str" cm="1">
        <f t="array" ref="A127:A139">S127:S139</f>
        <v>Head on</v>
      </c>
      <c r="B127" s="25">
        <v>1</v>
      </c>
      <c r="C127" s="64">
        <f>U127*1000000</f>
        <v>12600000</v>
      </c>
      <c r="D127" s="64">
        <f t="shared" ref="D127:H139" si="0">V127*1000000</f>
        <v>12600000</v>
      </c>
      <c r="E127" s="64">
        <f t="shared" si="0"/>
        <v>15900000</v>
      </c>
      <c r="F127" s="64">
        <f t="shared" si="0"/>
        <v>15900000</v>
      </c>
      <c r="G127" s="64">
        <f t="shared" si="0"/>
        <v>14100000</v>
      </c>
      <c r="H127" s="64">
        <f t="shared" si="0"/>
        <v>14200000</v>
      </c>
      <c r="I127" s="25">
        <f>IF('SP5-6'!E8="",0,1)</f>
        <v>0</v>
      </c>
      <c r="J127" s="25" t="e">
        <f>VLOOKUP('SP5-6'!E8,K127:L139,2,FALSE)</f>
        <v>#N/A</v>
      </c>
      <c r="K127" s="56" t="s">
        <v>563</v>
      </c>
      <c r="L127" s="25">
        <v>1</v>
      </c>
      <c r="M127" s="25" t="e">
        <f>VLOOKUP('SP5-6'!N8,N127:O139,2,FALSE)</f>
        <v>#N/A</v>
      </c>
      <c r="N127" s="65" t="s">
        <v>559</v>
      </c>
      <c r="O127" s="25">
        <v>1</v>
      </c>
      <c r="S127" s="403" t="s">
        <v>563</v>
      </c>
      <c r="T127" s="403" t="s">
        <v>692</v>
      </c>
      <c r="U127" s="404">
        <v>12.6</v>
      </c>
      <c r="V127" s="404">
        <v>12.6</v>
      </c>
      <c r="W127" s="404">
        <v>15.9</v>
      </c>
      <c r="X127" s="404">
        <v>15.9</v>
      </c>
      <c r="Y127" s="404">
        <v>14.1</v>
      </c>
      <c r="Z127" s="404">
        <v>14.2</v>
      </c>
    </row>
    <row r="128" spans="1:26" ht="13.8" thickBot="1">
      <c r="A128" s="56" t="str">
        <v>Hit object</v>
      </c>
      <c r="B128" s="25">
        <v>2</v>
      </c>
      <c r="C128" s="64">
        <f t="shared" ref="C128:C139" si="1">U128*1000000</f>
        <v>12500000</v>
      </c>
      <c r="D128" s="64">
        <f t="shared" si="0"/>
        <v>12500000</v>
      </c>
      <c r="E128" s="64">
        <f t="shared" si="0"/>
        <v>12900000</v>
      </c>
      <c r="F128" s="64">
        <f t="shared" si="0"/>
        <v>12900000</v>
      </c>
      <c r="G128" s="64">
        <f t="shared" si="0"/>
        <v>13100000</v>
      </c>
      <c r="H128" s="64">
        <f t="shared" si="0"/>
        <v>13000000</v>
      </c>
      <c r="I128" s="25">
        <f>IF('SP5-6'!N8="",0,1)</f>
        <v>0</v>
      </c>
      <c r="J128" s="63">
        <f ca="1">IF(I129=0,0,OFFSET(B126,$J$127,$M$127))</f>
        <v>0</v>
      </c>
      <c r="K128" s="56" t="s">
        <v>564</v>
      </c>
      <c r="L128" s="25">
        <v>2</v>
      </c>
      <c r="N128" s="65" t="s">
        <v>560</v>
      </c>
      <c r="O128" s="25">
        <v>2</v>
      </c>
      <c r="S128" s="403" t="s">
        <v>564</v>
      </c>
      <c r="T128" s="403" t="s">
        <v>478</v>
      </c>
      <c r="U128" s="404">
        <v>12.5</v>
      </c>
      <c r="V128" s="404">
        <v>12.5</v>
      </c>
      <c r="W128" s="404">
        <v>12.9</v>
      </c>
      <c r="X128" s="404">
        <v>12.9</v>
      </c>
      <c r="Y128" s="404">
        <v>13.1</v>
      </c>
      <c r="Z128" s="404">
        <v>13</v>
      </c>
    </row>
    <row r="129" spans="1:27" ht="40.200000000000003" thickBot="1">
      <c r="A129" s="56" t="str">
        <v>Lost control off road</v>
      </c>
      <c r="B129" s="25">
        <v>3</v>
      </c>
      <c r="C129" s="64">
        <f t="shared" si="1"/>
        <v>12500000</v>
      </c>
      <c r="D129" s="64">
        <f t="shared" si="0"/>
        <v>13100000</v>
      </c>
      <c r="E129" s="64">
        <f t="shared" si="0"/>
        <v>13500000</v>
      </c>
      <c r="F129" s="64">
        <f t="shared" si="0"/>
        <v>13500000</v>
      </c>
      <c r="G129" s="64">
        <f t="shared" si="0"/>
        <v>13500000</v>
      </c>
      <c r="H129" s="64">
        <f t="shared" si="0"/>
        <v>13500000</v>
      </c>
      <c r="I129" s="25">
        <f>IF(I127+I128=0,0,1)</f>
        <v>0</v>
      </c>
      <c r="K129" s="56" t="s">
        <v>439</v>
      </c>
      <c r="L129" s="25">
        <v>3</v>
      </c>
      <c r="N129" s="65" t="s">
        <v>561</v>
      </c>
      <c r="O129" s="25">
        <v>3</v>
      </c>
      <c r="S129" s="403" t="s">
        <v>439</v>
      </c>
      <c r="T129" s="403" t="s">
        <v>693</v>
      </c>
      <c r="U129" s="404">
        <v>12.5</v>
      </c>
      <c r="V129" s="404">
        <v>13.1</v>
      </c>
      <c r="W129" s="404">
        <v>13.5</v>
      </c>
      <c r="X129" s="404">
        <v>13.5</v>
      </c>
      <c r="Y129" s="404">
        <v>13.5</v>
      </c>
      <c r="Z129" s="404">
        <v>13.5</v>
      </c>
    </row>
    <row r="130" spans="1:27" ht="40.200000000000003" thickBot="1">
      <c r="A130" s="56" t="str">
        <v>Lost control on road</v>
      </c>
      <c r="B130" s="25">
        <v>4</v>
      </c>
      <c r="C130" s="64">
        <f t="shared" si="1"/>
        <v>12500000</v>
      </c>
      <c r="D130" s="64">
        <f t="shared" si="0"/>
        <v>12500000</v>
      </c>
      <c r="E130" s="64">
        <f t="shared" si="0"/>
        <v>14700000</v>
      </c>
      <c r="F130" s="64">
        <f t="shared" si="0"/>
        <v>14700000</v>
      </c>
      <c r="G130" s="64">
        <f t="shared" si="0"/>
        <v>12500000</v>
      </c>
      <c r="H130" s="64">
        <f t="shared" si="0"/>
        <v>12700000</v>
      </c>
      <c r="K130" s="56" t="s">
        <v>565</v>
      </c>
      <c r="L130" s="25">
        <v>4</v>
      </c>
      <c r="N130" s="65" t="s">
        <v>562</v>
      </c>
      <c r="O130" s="25">
        <v>4</v>
      </c>
      <c r="S130" s="403" t="s">
        <v>565</v>
      </c>
      <c r="T130" s="403" t="s">
        <v>521</v>
      </c>
      <c r="U130" s="404">
        <v>12.5</v>
      </c>
      <c r="V130" s="404">
        <v>12.5</v>
      </c>
      <c r="W130" s="404">
        <v>14.7</v>
      </c>
      <c r="X130" s="404">
        <v>14.7</v>
      </c>
      <c r="Y130" s="404">
        <v>12.5</v>
      </c>
      <c r="Z130" s="404">
        <v>12.7</v>
      </c>
    </row>
    <row r="131" spans="1:27" ht="27" thickBot="1">
      <c r="A131" s="56" t="str">
        <v>Miscellaneous</v>
      </c>
      <c r="B131" s="25">
        <v>5</v>
      </c>
      <c r="C131" s="64">
        <f t="shared" si="1"/>
        <v>12500000</v>
      </c>
      <c r="D131" s="64">
        <f t="shared" si="0"/>
        <v>12600000</v>
      </c>
      <c r="E131" s="64">
        <f t="shared" si="0"/>
        <v>13300000</v>
      </c>
      <c r="F131" s="64">
        <f t="shared" si="0"/>
        <v>13200000</v>
      </c>
      <c r="G131" s="64">
        <f t="shared" si="0"/>
        <v>12900000</v>
      </c>
      <c r="H131" s="64">
        <f t="shared" si="0"/>
        <v>12900000</v>
      </c>
      <c r="K131" s="56" t="s">
        <v>566</v>
      </c>
      <c r="L131" s="25">
        <v>5</v>
      </c>
      <c r="N131" s="66" t="s">
        <v>567</v>
      </c>
      <c r="O131" s="25">
        <v>5</v>
      </c>
      <c r="S131" s="403" t="s">
        <v>566</v>
      </c>
      <c r="T131" s="403" t="s">
        <v>523</v>
      </c>
      <c r="U131" s="404">
        <v>12.5</v>
      </c>
      <c r="V131" s="404">
        <v>12.6</v>
      </c>
      <c r="W131" s="404">
        <v>13.3</v>
      </c>
      <c r="X131" s="404">
        <v>13.2</v>
      </c>
      <c r="Y131" s="404">
        <v>12.9</v>
      </c>
      <c r="Z131" s="404">
        <v>12.9</v>
      </c>
    </row>
    <row r="132" spans="1:27" ht="40.200000000000003" thickBot="1">
      <c r="A132" s="56" t="str">
        <v>Overtaking</v>
      </c>
      <c r="B132" s="25">
        <v>6</v>
      </c>
      <c r="C132" s="64">
        <f t="shared" si="1"/>
        <v>12500000</v>
      </c>
      <c r="D132" s="64">
        <f t="shared" si="0"/>
        <v>12500000</v>
      </c>
      <c r="E132" s="64">
        <f t="shared" si="0"/>
        <v>13300000</v>
      </c>
      <c r="F132" s="64">
        <f t="shared" si="0"/>
        <v>12500000</v>
      </c>
      <c r="G132" s="64">
        <f t="shared" si="0"/>
        <v>12800000</v>
      </c>
      <c r="H132" s="64">
        <f t="shared" si="0"/>
        <v>12800000</v>
      </c>
      <c r="K132" s="56" t="s">
        <v>568</v>
      </c>
      <c r="L132" s="25">
        <v>6</v>
      </c>
      <c r="N132" s="65" t="s">
        <v>441</v>
      </c>
      <c r="O132" s="25">
        <v>6</v>
      </c>
      <c r="S132" s="403" t="s">
        <v>568</v>
      </c>
      <c r="T132" s="403" t="s">
        <v>694</v>
      </c>
      <c r="U132" s="404">
        <v>12.5</v>
      </c>
      <c r="V132" s="404">
        <v>12.5</v>
      </c>
      <c r="W132" s="404">
        <v>13.3</v>
      </c>
      <c r="X132" s="404">
        <v>12.5</v>
      </c>
      <c r="Y132" s="404">
        <v>12.8</v>
      </c>
      <c r="Z132" s="404">
        <v>12.8</v>
      </c>
    </row>
    <row r="133" spans="1:27" ht="13.8" thickBot="1">
      <c r="A133" s="56" t="str">
        <v>Pedestrian</v>
      </c>
      <c r="B133" s="25">
        <v>7</v>
      </c>
      <c r="C133" s="64">
        <f t="shared" si="1"/>
        <v>12600000</v>
      </c>
      <c r="D133" s="64">
        <f t="shared" si="0"/>
        <v>12600000</v>
      </c>
      <c r="E133" s="64">
        <f t="shared" si="0"/>
        <v>14300000</v>
      </c>
      <c r="F133" s="64">
        <f t="shared" si="0"/>
        <v>12500000</v>
      </c>
      <c r="G133" s="64">
        <f t="shared" si="0"/>
        <v>12700000</v>
      </c>
      <c r="H133" s="64">
        <f t="shared" si="0"/>
        <v>12700000</v>
      </c>
      <c r="K133" s="56" t="s">
        <v>451</v>
      </c>
      <c r="L133" s="25">
        <v>7</v>
      </c>
      <c r="S133" s="403" t="s">
        <v>451</v>
      </c>
      <c r="T133" s="403" t="s">
        <v>695</v>
      </c>
      <c r="U133" s="404">
        <v>12.6</v>
      </c>
      <c r="V133" s="404">
        <v>12.6</v>
      </c>
      <c r="W133" s="404">
        <v>14.3</v>
      </c>
      <c r="X133" s="404">
        <v>12.5</v>
      </c>
      <c r="Y133" s="404">
        <v>12.7</v>
      </c>
      <c r="Z133" s="404">
        <v>12.7</v>
      </c>
    </row>
    <row r="134" spans="1:27" ht="27" thickBot="1">
      <c r="A134" s="56" t="str">
        <v>Rear end, crossing</v>
      </c>
      <c r="B134" s="25">
        <v>8</v>
      </c>
      <c r="C134" s="64">
        <f t="shared" si="1"/>
        <v>12500000</v>
      </c>
      <c r="D134" s="64">
        <f t="shared" si="0"/>
        <v>12600000</v>
      </c>
      <c r="E134" s="64">
        <f t="shared" si="0"/>
        <v>12500000</v>
      </c>
      <c r="F134" s="64">
        <f t="shared" si="0"/>
        <v>12500000</v>
      </c>
      <c r="G134" s="64">
        <f t="shared" si="0"/>
        <v>12600000</v>
      </c>
      <c r="H134" s="64">
        <f t="shared" si="0"/>
        <v>12600000</v>
      </c>
      <c r="K134" s="56" t="s">
        <v>569</v>
      </c>
      <c r="L134" s="25">
        <v>8</v>
      </c>
      <c r="S134" s="403" t="s">
        <v>569</v>
      </c>
      <c r="T134" s="403" t="s">
        <v>696</v>
      </c>
      <c r="U134" s="404">
        <v>12.5</v>
      </c>
      <c r="V134" s="404">
        <v>12.6</v>
      </c>
      <c r="W134" s="404">
        <v>12.5</v>
      </c>
      <c r="X134" s="404">
        <v>12.5</v>
      </c>
      <c r="Y134" s="404">
        <v>12.6</v>
      </c>
      <c r="Z134" s="404">
        <v>12.6</v>
      </c>
    </row>
    <row r="135" spans="1:27" ht="27" thickBot="1">
      <c r="A135" s="56" t="str">
        <v>Rear end, queuing</v>
      </c>
      <c r="B135" s="25">
        <v>9</v>
      </c>
      <c r="C135" s="64">
        <f t="shared" si="1"/>
        <v>12500000</v>
      </c>
      <c r="D135" s="64">
        <f t="shared" si="0"/>
        <v>12500000</v>
      </c>
      <c r="E135" s="64">
        <f t="shared" si="0"/>
        <v>12700000</v>
      </c>
      <c r="F135" s="64">
        <f t="shared" si="0"/>
        <v>12600000</v>
      </c>
      <c r="G135" s="64">
        <f t="shared" si="0"/>
        <v>12500000</v>
      </c>
      <c r="H135" s="64">
        <f t="shared" si="0"/>
        <v>12500000</v>
      </c>
      <c r="K135" s="56" t="s">
        <v>570</v>
      </c>
      <c r="L135" s="25">
        <v>9</v>
      </c>
      <c r="S135" s="403" t="s">
        <v>570</v>
      </c>
      <c r="T135" s="403" t="s">
        <v>697</v>
      </c>
      <c r="U135" s="404">
        <v>12.5</v>
      </c>
      <c r="V135" s="404">
        <v>12.5</v>
      </c>
      <c r="W135" s="404">
        <v>12.7</v>
      </c>
      <c r="X135" s="404">
        <v>12.6</v>
      </c>
      <c r="Y135" s="404">
        <v>12.5</v>
      </c>
      <c r="Z135" s="404">
        <v>12.5</v>
      </c>
    </row>
    <row r="136" spans="1:27" ht="40.200000000000003" thickBot="1">
      <c r="A136" s="56" t="str">
        <v>Rear end, slow vehicle</v>
      </c>
      <c r="B136" s="25">
        <v>10</v>
      </c>
      <c r="C136" s="64">
        <f t="shared" si="1"/>
        <v>12500000</v>
      </c>
      <c r="D136" s="64">
        <f t="shared" si="0"/>
        <v>12500000</v>
      </c>
      <c r="E136" s="64">
        <f t="shared" si="0"/>
        <v>12700000</v>
      </c>
      <c r="F136" s="64">
        <f t="shared" si="0"/>
        <v>12500000</v>
      </c>
      <c r="G136" s="64">
        <f t="shared" si="0"/>
        <v>12600000</v>
      </c>
      <c r="H136" s="64">
        <f t="shared" si="0"/>
        <v>12600000</v>
      </c>
      <c r="K136" s="56" t="s">
        <v>571</v>
      </c>
      <c r="L136" s="25">
        <v>10</v>
      </c>
      <c r="S136" s="403" t="s">
        <v>571</v>
      </c>
      <c r="T136" s="403" t="s">
        <v>698</v>
      </c>
      <c r="U136" s="404">
        <v>12.5</v>
      </c>
      <c r="V136" s="404">
        <v>12.5</v>
      </c>
      <c r="W136" s="404">
        <v>12.7</v>
      </c>
      <c r="X136" s="404">
        <v>12.5</v>
      </c>
      <c r="Y136" s="404">
        <v>12.6</v>
      </c>
      <c r="Z136" s="404">
        <v>12.6</v>
      </c>
    </row>
    <row r="137" spans="1:27" ht="23.4" customHeight="1" thickBot="1">
      <c r="A137" s="56" t="str">
        <v>Crossing, direct</v>
      </c>
      <c r="B137" s="25">
        <v>11</v>
      </c>
      <c r="C137" s="64">
        <f t="shared" si="1"/>
        <v>12500000</v>
      </c>
      <c r="D137" s="64">
        <f t="shared" si="0"/>
        <v>12800000</v>
      </c>
      <c r="E137" s="64">
        <f t="shared" si="0"/>
        <v>12900000</v>
      </c>
      <c r="F137" s="64">
        <f t="shared" si="0"/>
        <v>12900000</v>
      </c>
      <c r="G137" s="64">
        <f t="shared" si="0"/>
        <v>13100000</v>
      </c>
      <c r="H137" s="64">
        <f t="shared" si="0"/>
        <v>13100000</v>
      </c>
      <c r="K137" s="56" t="s">
        <v>572</v>
      </c>
      <c r="L137" s="25">
        <v>11</v>
      </c>
      <c r="S137" s="403" t="s">
        <v>572</v>
      </c>
      <c r="T137" s="403" t="s">
        <v>554</v>
      </c>
      <c r="U137" s="404">
        <v>12.5</v>
      </c>
      <c r="V137" s="404">
        <v>12.8</v>
      </c>
      <c r="W137" s="404">
        <v>12.9</v>
      </c>
      <c r="X137" s="404">
        <v>12.9</v>
      </c>
      <c r="Y137" s="404">
        <v>13.1</v>
      </c>
      <c r="Z137" s="404">
        <v>13.1</v>
      </c>
    </row>
    <row r="138" spans="1:27" ht="27" thickBot="1">
      <c r="A138" s="56" t="str">
        <v>Crossing, turning</v>
      </c>
      <c r="B138" s="25">
        <v>12</v>
      </c>
      <c r="C138" s="64">
        <f t="shared" si="1"/>
        <v>12500000</v>
      </c>
      <c r="D138" s="64">
        <f t="shared" si="0"/>
        <v>12500000</v>
      </c>
      <c r="E138" s="64">
        <f t="shared" si="0"/>
        <v>12500000</v>
      </c>
      <c r="F138" s="64">
        <f t="shared" si="0"/>
        <v>12500000</v>
      </c>
      <c r="G138" s="64">
        <f t="shared" si="0"/>
        <v>12500000</v>
      </c>
      <c r="H138" s="64">
        <f t="shared" si="0"/>
        <v>12500000</v>
      </c>
      <c r="K138" s="56" t="s">
        <v>573</v>
      </c>
      <c r="L138" s="25">
        <v>12</v>
      </c>
      <c r="S138" s="403" t="s">
        <v>573</v>
      </c>
      <c r="T138" s="403" t="s">
        <v>699</v>
      </c>
      <c r="U138" s="404">
        <v>12.5</v>
      </c>
      <c r="V138" s="404">
        <v>12.5</v>
      </c>
      <c r="W138" s="404">
        <v>12.5</v>
      </c>
      <c r="X138" s="404">
        <v>12.5</v>
      </c>
      <c r="Y138" s="404">
        <v>12.5</v>
      </c>
      <c r="Z138" s="404">
        <v>12.5</v>
      </c>
    </row>
    <row r="139" spans="1:27" ht="34.799999999999997" thickBot="1">
      <c r="A139" s="56" t="str">
        <v>All movements</v>
      </c>
      <c r="B139" s="25">
        <v>13</v>
      </c>
      <c r="C139" s="64">
        <f t="shared" si="1"/>
        <v>12500000</v>
      </c>
      <c r="D139" s="64">
        <f t="shared" si="0"/>
        <v>12600000</v>
      </c>
      <c r="E139" s="64">
        <f t="shared" si="0"/>
        <v>13300000</v>
      </c>
      <c r="F139" s="64">
        <f t="shared" si="0"/>
        <v>13200000</v>
      </c>
      <c r="G139" s="64">
        <f t="shared" si="0"/>
        <v>12900000</v>
      </c>
      <c r="H139" s="64">
        <f t="shared" si="0"/>
        <v>12900000</v>
      </c>
      <c r="K139" s="56" t="s">
        <v>469</v>
      </c>
      <c r="L139" s="25">
        <v>13</v>
      </c>
      <c r="S139" s="403" t="s">
        <v>469</v>
      </c>
      <c r="T139" s="403"/>
      <c r="U139" s="404">
        <v>12.5</v>
      </c>
      <c r="V139" s="404">
        <v>12.6</v>
      </c>
      <c r="W139" s="404">
        <v>13.3</v>
      </c>
      <c r="X139" s="404">
        <v>13.2</v>
      </c>
      <c r="Y139" s="404">
        <v>12.9</v>
      </c>
      <c r="Z139" s="404">
        <v>12.9</v>
      </c>
    </row>
    <row r="140" spans="1:27" ht="13.8">
      <c r="A140" s="62"/>
      <c r="B140" s="25">
        <v>14</v>
      </c>
      <c r="S140" s="121"/>
      <c r="T140" s="121"/>
      <c r="U140" s="121"/>
      <c r="V140" s="121"/>
      <c r="W140" s="121"/>
      <c r="X140" s="121"/>
      <c r="Y140" s="121"/>
      <c r="Z140" s="121"/>
    </row>
    <row r="141" spans="1:27" ht="13.8" thickBot="1">
      <c r="A141" s="59" t="s">
        <v>574</v>
      </c>
      <c r="B141" s="398" t="str">
        <f>S141</f>
        <v>Table A29: Cost per crash by movement and vehicle involvement for serious injury crashes in 30 to 50km/h speed limit areas</v>
      </c>
      <c r="S141" s="638" t="s">
        <v>876</v>
      </c>
      <c r="T141" s="638"/>
      <c r="U141" s="638"/>
      <c r="V141" s="638"/>
      <c r="W141" s="638"/>
      <c r="X141" s="638"/>
      <c r="Y141" s="638"/>
      <c r="Z141" s="638"/>
      <c r="AA141" s="400"/>
    </row>
    <row r="142" spans="1:27" ht="34.35" customHeight="1" thickBot="1">
      <c r="A142" s="617" t="str">
        <f>S142</f>
        <v>30 to 50km/h speed limit areas serious injury crashes</v>
      </c>
      <c r="B142" s="619"/>
      <c r="C142" s="617" t="s">
        <v>872</v>
      </c>
      <c r="D142" s="618"/>
      <c r="E142" s="618"/>
      <c r="F142" s="618"/>
      <c r="G142" s="618"/>
      <c r="H142" s="619"/>
      <c r="S142" s="639" t="s">
        <v>877</v>
      </c>
      <c r="T142" s="639"/>
      <c r="U142" s="639" t="s">
        <v>878</v>
      </c>
      <c r="V142" s="639"/>
      <c r="W142" s="639"/>
      <c r="X142" s="639"/>
      <c r="Y142" s="639"/>
      <c r="Z142" s="639"/>
      <c r="AA142" s="639"/>
    </row>
    <row r="143" spans="1:27" ht="40.200000000000003" thickBot="1">
      <c r="A143" s="392" t="str" cm="1">
        <f t="array" ref="A143:I143">S143:AA143</f>
        <v>Movement category</v>
      </c>
      <c r="B143" s="396" t="str">
        <v>CAS movement codes</v>
      </c>
      <c r="C143" s="396" t="str">
        <v>Cycle</v>
      </c>
      <c r="D143" s="396" t="str">
        <v>Motorcycle</v>
      </c>
      <c r="E143" s="396" t="str">
        <v>Bus</v>
      </c>
      <c r="F143" s="396" t="str">
        <v>Truck</v>
      </c>
      <c r="G143" s="396" t="str">
        <v>Car, van and other</v>
      </c>
      <c r="H143" s="396" t="str">
        <v>All vehicles</v>
      </c>
      <c r="I143" s="25">
        <v>0</v>
      </c>
      <c r="S143" s="401" t="s">
        <v>438</v>
      </c>
      <c r="T143" s="401" t="s">
        <v>511</v>
      </c>
      <c r="U143" s="402" t="s">
        <v>689</v>
      </c>
      <c r="V143" s="402" t="s">
        <v>690</v>
      </c>
      <c r="W143" s="402" t="s">
        <v>561</v>
      </c>
      <c r="X143" s="402" t="s">
        <v>562</v>
      </c>
      <c r="Y143" s="402" t="s">
        <v>691</v>
      </c>
      <c r="Z143" s="640" t="s">
        <v>441</v>
      </c>
      <c r="AA143" s="640"/>
    </row>
    <row r="144" spans="1:27" ht="13.8" thickBot="1">
      <c r="A144" s="56" t="str" cm="1">
        <f t="array" ref="A144:A156">S144:S156</f>
        <v>Head on</v>
      </c>
      <c r="B144" s="25">
        <v>1</v>
      </c>
      <c r="C144" s="64">
        <f>U144*1000</f>
        <v>660000</v>
      </c>
      <c r="D144" s="64">
        <f t="shared" ref="D144:H156" si="2">V144*1000</f>
        <v>690000</v>
      </c>
      <c r="E144" s="64">
        <f t="shared" si="2"/>
        <v>880000</v>
      </c>
      <c r="F144" s="64">
        <f t="shared" si="2"/>
        <v>880000</v>
      </c>
      <c r="G144" s="64">
        <f t="shared" si="2"/>
        <v>930000</v>
      </c>
      <c r="H144" s="64">
        <f t="shared" si="2"/>
        <v>910000</v>
      </c>
      <c r="S144" s="403" t="s">
        <v>563</v>
      </c>
      <c r="T144" s="403" t="s">
        <v>692</v>
      </c>
      <c r="U144" s="405">
        <v>660</v>
      </c>
      <c r="V144" s="405">
        <v>690</v>
      </c>
      <c r="W144" s="405">
        <v>880</v>
      </c>
      <c r="X144" s="405">
        <v>880</v>
      </c>
      <c r="Y144" s="405">
        <v>930</v>
      </c>
      <c r="Z144" s="641">
        <v>910</v>
      </c>
      <c r="AA144" s="641"/>
    </row>
    <row r="145" spans="1:27" ht="13.8" thickBot="1">
      <c r="A145" s="56" t="str">
        <v>Hit object</v>
      </c>
      <c r="B145" s="25">
        <v>2</v>
      </c>
      <c r="C145" s="64">
        <f t="shared" ref="C145:C155" si="3">U145*1000</f>
        <v>660000</v>
      </c>
      <c r="D145" s="64">
        <f t="shared" si="2"/>
        <v>710000</v>
      </c>
      <c r="E145" s="64">
        <f t="shared" si="2"/>
        <v>900000</v>
      </c>
      <c r="F145" s="64">
        <f t="shared" si="2"/>
        <v>780000</v>
      </c>
      <c r="G145" s="64">
        <f t="shared" si="2"/>
        <v>710000</v>
      </c>
      <c r="H145" s="64">
        <f t="shared" si="2"/>
        <v>720000</v>
      </c>
      <c r="J145" s="63">
        <f ca="1">IF(I129=0,0,OFFSET(B143,$J$127,$M$127))</f>
        <v>0</v>
      </c>
      <c r="S145" s="403" t="s">
        <v>564</v>
      </c>
      <c r="T145" s="403" t="s">
        <v>478</v>
      </c>
      <c r="U145" s="405">
        <v>660</v>
      </c>
      <c r="V145" s="405">
        <v>710</v>
      </c>
      <c r="W145" s="405">
        <v>900</v>
      </c>
      <c r="X145" s="405">
        <v>780</v>
      </c>
      <c r="Y145" s="405">
        <v>710</v>
      </c>
      <c r="Z145" s="641">
        <v>720</v>
      </c>
      <c r="AA145" s="641"/>
    </row>
    <row r="146" spans="1:27" ht="40.200000000000003" thickBot="1">
      <c r="A146" s="56" t="str">
        <v>Lost control off road</v>
      </c>
      <c r="B146" s="25">
        <v>3</v>
      </c>
      <c r="C146" s="64">
        <f t="shared" si="3"/>
        <v>660000</v>
      </c>
      <c r="D146" s="64">
        <f t="shared" si="2"/>
        <v>680000</v>
      </c>
      <c r="E146" s="64">
        <f t="shared" si="2"/>
        <v>810000</v>
      </c>
      <c r="F146" s="64">
        <f t="shared" si="2"/>
        <v>770000</v>
      </c>
      <c r="G146" s="64">
        <f t="shared" si="2"/>
        <v>770000</v>
      </c>
      <c r="H146" s="64">
        <f t="shared" si="2"/>
        <v>760000</v>
      </c>
      <c r="S146" s="403" t="s">
        <v>439</v>
      </c>
      <c r="T146" s="403" t="s">
        <v>693</v>
      </c>
      <c r="U146" s="405">
        <v>660</v>
      </c>
      <c r="V146" s="405">
        <v>680</v>
      </c>
      <c r="W146" s="405">
        <v>810</v>
      </c>
      <c r="X146" s="405">
        <v>770</v>
      </c>
      <c r="Y146" s="405">
        <v>770</v>
      </c>
      <c r="Z146" s="641">
        <v>760</v>
      </c>
      <c r="AA146" s="641"/>
    </row>
    <row r="147" spans="1:27" ht="40.200000000000003" thickBot="1">
      <c r="A147" s="56" t="str">
        <v>Lost control on road</v>
      </c>
      <c r="B147" s="25">
        <v>4</v>
      </c>
      <c r="C147" s="64">
        <f t="shared" si="3"/>
        <v>660000</v>
      </c>
      <c r="D147" s="64">
        <f t="shared" si="2"/>
        <v>680000</v>
      </c>
      <c r="E147" s="64">
        <f t="shared" si="2"/>
        <v>760000</v>
      </c>
      <c r="F147" s="64">
        <f t="shared" si="2"/>
        <v>760000</v>
      </c>
      <c r="G147" s="64">
        <f t="shared" si="2"/>
        <v>790000</v>
      </c>
      <c r="H147" s="64">
        <f t="shared" si="2"/>
        <v>780000</v>
      </c>
      <c r="S147" s="403" t="s">
        <v>565</v>
      </c>
      <c r="T147" s="403" t="s">
        <v>521</v>
      </c>
      <c r="U147" s="405">
        <v>660</v>
      </c>
      <c r="V147" s="405">
        <v>680</v>
      </c>
      <c r="W147" s="405">
        <v>760</v>
      </c>
      <c r="X147" s="405">
        <v>760</v>
      </c>
      <c r="Y147" s="405">
        <v>790</v>
      </c>
      <c r="Z147" s="641">
        <v>780</v>
      </c>
      <c r="AA147" s="641"/>
    </row>
    <row r="148" spans="1:27" ht="27" thickBot="1">
      <c r="A148" s="56" t="str">
        <v>Miscellaneous</v>
      </c>
      <c r="B148" s="25">
        <v>5</v>
      </c>
      <c r="C148" s="64">
        <f t="shared" si="3"/>
        <v>670000</v>
      </c>
      <c r="D148" s="64">
        <f t="shared" si="2"/>
        <v>690000</v>
      </c>
      <c r="E148" s="64">
        <f t="shared" si="2"/>
        <v>810000</v>
      </c>
      <c r="F148" s="64">
        <f t="shared" si="2"/>
        <v>760000</v>
      </c>
      <c r="G148" s="64">
        <f t="shared" si="2"/>
        <v>780000</v>
      </c>
      <c r="H148" s="64">
        <f t="shared" si="2"/>
        <v>770000</v>
      </c>
      <c r="S148" s="403" t="s">
        <v>566</v>
      </c>
      <c r="T148" s="403" t="s">
        <v>523</v>
      </c>
      <c r="U148" s="405">
        <v>670</v>
      </c>
      <c r="V148" s="405">
        <v>690</v>
      </c>
      <c r="W148" s="405">
        <v>810</v>
      </c>
      <c r="X148" s="405">
        <v>760</v>
      </c>
      <c r="Y148" s="405">
        <v>780</v>
      </c>
      <c r="Z148" s="641">
        <v>770</v>
      </c>
      <c r="AA148" s="641"/>
    </row>
    <row r="149" spans="1:27" ht="40.200000000000003" thickBot="1">
      <c r="A149" s="56" t="str">
        <v>Overtaking</v>
      </c>
      <c r="B149" s="25">
        <v>6</v>
      </c>
      <c r="C149" s="64">
        <f t="shared" si="3"/>
        <v>650000</v>
      </c>
      <c r="D149" s="64">
        <f t="shared" si="2"/>
        <v>650000</v>
      </c>
      <c r="E149" s="64">
        <f t="shared" si="2"/>
        <v>880000</v>
      </c>
      <c r="F149" s="64">
        <f t="shared" si="2"/>
        <v>880000</v>
      </c>
      <c r="G149" s="64">
        <f t="shared" si="2"/>
        <v>810000</v>
      </c>
      <c r="H149" s="64">
        <f t="shared" si="2"/>
        <v>800000</v>
      </c>
      <c r="S149" s="403" t="s">
        <v>568</v>
      </c>
      <c r="T149" s="403" t="s">
        <v>694</v>
      </c>
      <c r="U149" s="405">
        <v>650</v>
      </c>
      <c r="V149" s="405">
        <v>650</v>
      </c>
      <c r="W149" s="405">
        <v>880</v>
      </c>
      <c r="X149" s="405">
        <v>880</v>
      </c>
      <c r="Y149" s="405">
        <v>810</v>
      </c>
      <c r="Z149" s="641">
        <v>800</v>
      </c>
      <c r="AA149" s="641"/>
    </row>
    <row r="150" spans="1:27" ht="13.8" thickBot="1">
      <c r="A150" s="56" t="str">
        <v>Pedestrian</v>
      </c>
      <c r="B150" s="25">
        <v>7</v>
      </c>
      <c r="C150" s="64">
        <f t="shared" si="3"/>
        <v>690000</v>
      </c>
      <c r="D150" s="64">
        <f t="shared" si="2"/>
        <v>780000</v>
      </c>
      <c r="E150" s="64">
        <f t="shared" si="2"/>
        <v>730000</v>
      </c>
      <c r="F150" s="64">
        <f t="shared" si="2"/>
        <v>730000</v>
      </c>
      <c r="G150" s="64">
        <f t="shared" si="2"/>
        <v>700000</v>
      </c>
      <c r="H150" s="64">
        <f t="shared" si="2"/>
        <v>710000</v>
      </c>
      <c r="S150" s="403" t="s">
        <v>451</v>
      </c>
      <c r="T150" s="403" t="s">
        <v>695</v>
      </c>
      <c r="U150" s="405">
        <v>690</v>
      </c>
      <c r="V150" s="405">
        <v>780</v>
      </c>
      <c r="W150" s="405">
        <v>730</v>
      </c>
      <c r="X150" s="405">
        <v>730</v>
      </c>
      <c r="Y150" s="405">
        <v>700</v>
      </c>
      <c r="Z150" s="641">
        <v>710</v>
      </c>
      <c r="AA150" s="641"/>
    </row>
    <row r="151" spans="1:27" ht="27" thickBot="1">
      <c r="A151" s="56" t="str">
        <v>Rear end, crossing</v>
      </c>
      <c r="B151" s="25">
        <v>8</v>
      </c>
      <c r="C151" s="64">
        <f t="shared" si="3"/>
        <v>660000</v>
      </c>
      <c r="D151" s="64">
        <f t="shared" si="2"/>
        <v>670000</v>
      </c>
      <c r="E151" s="64">
        <f t="shared" si="2"/>
        <v>690000</v>
      </c>
      <c r="F151" s="64">
        <f t="shared" si="2"/>
        <v>680000</v>
      </c>
      <c r="G151" s="64">
        <f t="shared" si="2"/>
        <v>830000</v>
      </c>
      <c r="H151" s="64">
        <f t="shared" si="2"/>
        <v>800000</v>
      </c>
      <c r="S151" s="403" t="s">
        <v>569</v>
      </c>
      <c r="T151" s="403" t="s">
        <v>696</v>
      </c>
      <c r="U151" s="405">
        <v>660</v>
      </c>
      <c r="V151" s="405">
        <v>670</v>
      </c>
      <c r="W151" s="405">
        <v>690</v>
      </c>
      <c r="X151" s="405">
        <v>680</v>
      </c>
      <c r="Y151" s="405">
        <v>830</v>
      </c>
      <c r="Z151" s="641">
        <v>800</v>
      </c>
      <c r="AA151" s="641"/>
    </row>
    <row r="152" spans="1:27" ht="27" thickBot="1">
      <c r="A152" s="56" t="str">
        <v>Rear end, queuing</v>
      </c>
      <c r="B152" s="25">
        <v>9</v>
      </c>
      <c r="C152" s="64">
        <f t="shared" si="3"/>
        <v>660000</v>
      </c>
      <c r="D152" s="64">
        <f t="shared" si="2"/>
        <v>670000</v>
      </c>
      <c r="E152" s="64">
        <f t="shared" si="2"/>
        <v>740000</v>
      </c>
      <c r="F152" s="64">
        <f t="shared" si="2"/>
        <v>700000</v>
      </c>
      <c r="G152" s="64">
        <f t="shared" si="2"/>
        <v>730000</v>
      </c>
      <c r="H152" s="64">
        <f t="shared" si="2"/>
        <v>720000</v>
      </c>
      <c r="S152" s="403" t="s">
        <v>570</v>
      </c>
      <c r="T152" s="403" t="s">
        <v>697</v>
      </c>
      <c r="U152" s="405">
        <v>660</v>
      </c>
      <c r="V152" s="405">
        <v>670</v>
      </c>
      <c r="W152" s="405">
        <v>740</v>
      </c>
      <c r="X152" s="405">
        <v>700</v>
      </c>
      <c r="Y152" s="405">
        <v>730</v>
      </c>
      <c r="Z152" s="641">
        <v>720</v>
      </c>
      <c r="AA152" s="641"/>
    </row>
    <row r="153" spans="1:27" ht="40.200000000000003" thickBot="1">
      <c r="A153" s="56" t="str">
        <v>Rear end, slow vehicle</v>
      </c>
      <c r="B153" s="25">
        <v>10</v>
      </c>
      <c r="C153" s="64">
        <f t="shared" si="3"/>
        <v>660000</v>
      </c>
      <c r="D153" s="64">
        <f t="shared" si="2"/>
        <v>690000</v>
      </c>
      <c r="E153" s="64">
        <f t="shared" si="2"/>
        <v>810000</v>
      </c>
      <c r="F153" s="64">
        <f t="shared" si="2"/>
        <v>680000</v>
      </c>
      <c r="G153" s="64">
        <f t="shared" si="2"/>
        <v>770000</v>
      </c>
      <c r="H153" s="64">
        <f t="shared" si="2"/>
        <v>760000</v>
      </c>
      <c r="S153" s="403" t="s">
        <v>571</v>
      </c>
      <c r="T153" s="403" t="s">
        <v>698</v>
      </c>
      <c r="U153" s="405">
        <v>660</v>
      </c>
      <c r="V153" s="405">
        <v>690</v>
      </c>
      <c r="W153" s="405">
        <v>810</v>
      </c>
      <c r="X153" s="405">
        <v>680</v>
      </c>
      <c r="Y153" s="405">
        <v>770</v>
      </c>
      <c r="Z153" s="641">
        <v>760</v>
      </c>
      <c r="AA153" s="641"/>
    </row>
    <row r="154" spans="1:27" ht="27" thickBot="1">
      <c r="A154" s="56" t="str">
        <v>Crossing, direct</v>
      </c>
      <c r="B154" s="25">
        <v>11</v>
      </c>
      <c r="C154" s="64">
        <f t="shared" si="3"/>
        <v>680000</v>
      </c>
      <c r="D154" s="64">
        <f t="shared" si="2"/>
        <v>680000</v>
      </c>
      <c r="E154" s="64">
        <f t="shared" si="2"/>
        <v>990000</v>
      </c>
      <c r="F154" s="64">
        <f t="shared" si="2"/>
        <v>800000</v>
      </c>
      <c r="G154" s="64">
        <f t="shared" si="2"/>
        <v>780000</v>
      </c>
      <c r="H154" s="64">
        <f t="shared" si="2"/>
        <v>780000</v>
      </c>
      <c r="S154" s="403" t="s">
        <v>572</v>
      </c>
      <c r="T154" s="403" t="s">
        <v>554</v>
      </c>
      <c r="U154" s="405">
        <v>680</v>
      </c>
      <c r="V154" s="405">
        <v>680</v>
      </c>
      <c r="W154" s="405">
        <v>990</v>
      </c>
      <c r="X154" s="405">
        <v>800</v>
      </c>
      <c r="Y154" s="405">
        <v>780</v>
      </c>
      <c r="Z154" s="641">
        <v>780</v>
      </c>
      <c r="AA154" s="641"/>
    </row>
    <row r="155" spans="1:27" ht="27" thickBot="1">
      <c r="A155" s="56" t="str">
        <v>Crossing, turning</v>
      </c>
      <c r="B155" s="25">
        <v>12</v>
      </c>
      <c r="C155" s="64">
        <f t="shared" si="3"/>
        <v>670000</v>
      </c>
      <c r="D155" s="64">
        <f t="shared" si="2"/>
        <v>670000</v>
      </c>
      <c r="E155" s="64">
        <f t="shared" si="2"/>
        <v>800000</v>
      </c>
      <c r="F155" s="64">
        <f t="shared" si="2"/>
        <v>680000</v>
      </c>
      <c r="G155" s="64">
        <f t="shared" si="2"/>
        <v>760000</v>
      </c>
      <c r="H155" s="64">
        <f t="shared" si="2"/>
        <v>750000</v>
      </c>
      <c r="S155" s="403" t="s">
        <v>573</v>
      </c>
      <c r="T155" s="403" t="s">
        <v>699</v>
      </c>
      <c r="U155" s="405">
        <v>670</v>
      </c>
      <c r="V155" s="405">
        <v>670</v>
      </c>
      <c r="W155" s="405">
        <v>800</v>
      </c>
      <c r="X155" s="405">
        <v>680</v>
      </c>
      <c r="Y155" s="405">
        <v>760</v>
      </c>
      <c r="Z155" s="641">
        <v>750</v>
      </c>
      <c r="AA155" s="641"/>
    </row>
    <row r="156" spans="1:27" ht="34.799999999999997" thickBot="1">
      <c r="A156" s="56" t="str">
        <v>All movements</v>
      </c>
      <c r="B156" s="25">
        <v>13</v>
      </c>
      <c r="C156" s="64">
        <f>U156*1000</f>
        <v>670000</v>
      </c>
      <c r="D156" s="64">
        <f t="shared" si="2"/>
        <v>690000</v>
      </c>
      <c r="E156" s="64">
        <f t="shared" si="2"/>
        <v>810000</v>
      </c>
      <c r="F156" s="64">
        <f t="shared" si="2"/>
        <v>760000</v>
      </c>
      <c r="G156" s="64">
        <f t="shared" si="2"/>
        <v>780000</v>
      </c>
      <c r="H156" s="64">
        <f>Z156*1000</f>
        <v>770000</v>
      </c>
      <c r="S156" s="403" t="s">
        <v>469</v>
      </c>
      <c r="T156" s="403"/>
      <c r="U156" s="405">
        <v>670</v>
      </c>
      <c r="V156" s="405">
        <v>690</v>
      </c>
      <c r="W156" s="405">
        <v>810</v>
      </c>
      <c r="X156" s="405">
        <v>760</v>
      </c>
      <c r="Y156" s="405">
        <v>780</v>
      </c>
      <c r="Z156" s="641">
        <v>770</v>
      </c>
      <c r="AA156" s="641"/>
    </row>
    <row r="157" spans="1:27" ht="19.8">
      <c r="A157" s="60"/>
      <c r="B157" s="25">
        <v>14</v>
      </c>
      <c r="S157" s="121"/>
      <c r="T157" s="121"/>
      <c r="U157" s="121"/>
      <c r="V157" s="121"/>
      <c r="W157" s="121"/>
      <c r="X157" s="121"/>
      <c r="Y157" s="121"/>
      <c r="Z157" s="121"/>
    </row>
    <row r="158" spans="1:27" ht="20.399999999999999" thickBot="1">
      <c r="A158" s="60" t="s">
        <v>509</v>
      </c>
      <c r="B158" s="60"/>
      <c r="S158" s="82" t="s">
        <v>879</v>
      </c>
      <c r="T158"/>
      <c r="U158"/>
      <c r="V158"/>
      <c r="W158"/>
      <c r="X158"/>
      <c r="Y158"/>
      <c r="Z158"/>
    </row>
    <row r="159" spans="1:27" ht="15" customHeight="1" thickBot="1">
      <c r="A159" s="59" t="s">
        <v>575</v>
      </c>
      <c r="B159" s="398" t="str">
        <f>S158</f>
        <v>Table A30: Cost per crash by movement and vehicle involvement for minor injury crashes in 30 to 50km/h speed limit areas</v>
      </c>
      <c r="S159" s="126" t="s">
        <v>880</v>
      </c>
      <c r="T159" s="126"/>
      <c r="U159" s="126" t="s">
        <v>700</v>
      </c>
      <c r="V159" s="126"/>
      <c r="W159" s="126"/>
      <c r="X159" s="126"/>
      <c r="Y159" s="126"/>
      <c r="Z159" s="126"/>
    </row>
    <row r="160" spans="1:27" ht="23.1" customHeight="1" thickBot="1">
      <c r="A160" s="620" t="str">
        <f>S159</f>
        <v xml:space="preserve">30 to 50km/h speed limit </v>
      </c>
      <c r="B160" s="621"/>
      <c r="C160" s="620" t="s">
        <v>872</v>
      </c>
      <c r="D160" s="622"/>
      <c r="E160" s="622"/>
      <c r="F160" s="622"/>
      <c r="G160" s="622"/>
      <c r="H160" s="621"/>
      <c r="S160" s="390" t="s">
        <v>701</v>
      </c>
      <c r="T160" s="390"/>
      <c r="U160" s="390"/>
      <c r="V160" s="390"/>
      <c r="W160" s="390"/>
      <c r="X160" s="390"/>
      <c r="Y160" s="390"/>
      <c r="Z160" s="390"/>
    </row>
    <row r="161" spans="1:26" ht="23.1" customHeight="1" thickBot="1">
      <c r="A161" s="623" t="s">
        <v>576</v>
      </c>
      <c r="B161" s="625"/>
      <c r="C161" s="623"/>
      <c r="D161" s="624"/>
      <c r="E161" s="624"/>
      <c r="F161" s="624"/>
      <c r="G161" s="624"/>
      <c r="H161" s="625"/>
      <c r="S161" s="389" t="s">
        <v>438</v>
      </c>
      <c r="T161" s="389" t="s">
        <v>511</v>
      </c>
      <c r="U161" s="389" t="s">
        <v>689</v>
      </c>
      <c r="V161" s="389" t="s">
        <v>690</v>
      </c>
      <c r="W161" s="389" t="s">
        <v>561</v>
      </c>
      <c r="X161" s="389" t="s">
        <v>562</v>
      </c>
      <c r="Y161" s="389" t="s">
        <v>691</v>
      </c>
      <c r="Z161" s="389" t="s">
        <v>441</v>
      </c>
    </row>
    <row r="162" spans="1:26" ht="35.4" thickBot="1">
      <c r="A162" s="392" t="str" cm="1">
        <f t="array" ref="A162:H162">S161:Z161</f>
        <v>Movement category</v>
      </c>
      <c r="B162" s="396" t="str">
        <v>CAS movement codes</v>
      </c>
      <c r="C162" s="396" t="str">
        <v>Cycle</v>
      </c>
      <c r="D162" s="396" t="str">
        <v>Motorcycle</v>
      </c>
      <c r="E162" s="396" t="str">
        <v>Bus</v>
      </c>
      <c r="F162" s="396" t="str">
        <v>Truck</v>
      </c>
      <c r="G162" s="396" t="str">
        <v>Car, van and other</v>
      </c>
      <c r="H162" s="396" t="str">
        <v>All vehicles</v>
      </c>
      <c r="S162" s="83" t="s">
        <v>563</v>
      </c>
      <c r="T162" s="83" t="s">
        <v>692</v>
      </c>
      <c r="U162" s="122">
        <v>68</v>
      </c>
      <c r="V162" s="122">
        <v>72</v>
      </c>
      <c r="W162" s="122">
        <v>82</v>
      </c>
      <c r="X162" s="122">
        <v>82</v>
      </c>
      <c r="Y162" s="122">
        <v>104</v>
      </c>
      <c r="Z162" s="122">
        <v>100</v>
      </c>
    </row>
    <row r="163" spans="1:26" ht="14.4" thickBot="1">
      <c r="A163" s="56" t="str" cm="1">
        <f t="array" ref="A163:A175">S162:S174</f>
        <v>Head on</v>
      </c>
      <c r="B163" s="25">
        <v>1</v>
      </c>
      <c r="C163" s="64">
        <f>U162*1000</f>
        <v>68000</v>
      </c>
      <c r="D163" s="64">
        <f t="shared" ref="D163:H175" si="4">V162*1000</f>
        <v>72000</v>
      </c>
      <c r="E163" s="64">
        <f t="shared" si="4"/>
        <v>82000</v>
      </c>
      <c r="F163" s="64">
        <f t="shared" si="4"/>
        <v>82000</v>
      </c>
      <c r="G163" s="64">
        <f t="shared" si="4"/>
        <v>104000</v>
      </c>
      <c r="H163" s="64">
        <f t="shared" si="4"/>
        <v>100000</v>
      </c>
      <c r="S163" s="83" t="s">
        <v>564</v>
      </c>
      <c r="T163" s="83" t="s">
        <v>478</v>
      </c>
      <c r="U163" s="122">
        <v>68</v>
      </c>
      <c r="V163" s="122">
        <v>68</v>
      </c>
      <c r="W163" s="122">
        <v>84</v>
      </c>
      <c r="X163" s="122">
        <v>79</v>
      </c>
      <c r="Y163" s="122">
        <v>75</v>
      </c>
      <c r="Z163" s="122">
        <v>75</v>
      </c>
    </row>
    <row r="164" spans="1:26" ht="42" thickBot="1">
      <c r="A164" s="56" t="str">
        <v>Hit object</v>
      </c>
      <c r="B164" s="25">
        <v>2</v>
      </c>
      <c r="C164" s="64">
        <f t="shared" ref="C164:C175" si="5">U163*1000</f>
        <v>68000</v>
      </c>
      <c r="D164" s="64">
        <f t="shared" si="4"/>
        <v>68000</v>
      </c>
      <c r="E164" s="64">
        <f t="shared" si="4"/>
        <v>84000</v>
      </c>
      <c r="F164" s="64">
        <f t="shared" si="4"/>
        <v>79000</v>
      </c>
      <c r="G164" s="64">
        <f t="shared" si="4"/>
        <v>75000</v>
      </c>
      <c r="H164" s="64">
        <f t="shared" si="4"/>
        <v>75000</v>
      </c>
      <c r="J164" s="63">
        <f ca="1">IF(I129=0,0,OFFSET(B162,$J$127,$M$127))</f>
        <v>0</v>
      </c>
      <c r="S164" s="83" t="s">
        <v>439</v>
      </c>
      <c r="T164" s="83" t="s">
        <v>693</v>
      </c>
      <c r="U164" s="122">
        <v>69</v>
      </c>
      <c r="V164" s="122">
        <v>69</v>
      </c>
      <c r="W164" s="122">
        <v>87</v>
      </c>
      <c r="X164" s="122">
        <v>75</v>
      </c>
      <c r="Y164" s="122">
        <v>79</v>
      </c>
      <c r="Z164" s="122">
        <v>78</v>
      </c>
    </row>
    <row r="165" spans="1:26" ht="42" thickBot="1">
      <c r="A165" s="56" t="str">
        <v>Lost control off road</v>
      </c>
      <c r="B165" s="25">
        <v>3</v>
      </c>
      <c r="C165" s="64">
        <f t="shared" si="5"/>
        <v>69000</v>
      </c>
      <c r="D165" s="64">
        <f t="shared" si="4"/>
        <v>69000</v>
      </c>
      <c r="E165" s="64">
        <f t="shared" si="4"/>
        <v>87000</v>
      </c>
      <c r="F165" s="64">
        <f t="shared" si="4"/>
        <v>75000</v>
      </c>
      <c r="G165" s="64">
        <f t="shared" si="4"/>
        <v>79000</v>
      </c>
      <c r="H165" s="64">
        <f t="shared" si="4"/>
        <v>78000</v>
      </c>
      <c r="S165" s="83" t="s">
        <v>565</v>
      </c>
      <c r="T165" s="83" t="s">
        <v>521</v>
      </c>
      <c r="U165" s="122">
        <v>68</v>
      </c>
      <c r="V165" s="122">
        <v>69</v>
      </c>
      <c r="W165" s="122">
        <v>78</v>
      </c>
      <c r="X165" s="122">
        <v>78</v>
      </c>
      <c r="Y165" s="122">
        <v>71</v>
      </c>
      <c r="Z165" s="122">
        <v>71</v>
      </c>
    </row>
    <row r="166" spans="1:26" ht="34.799999999999997" thickBot="1">
      <c r="A166" s="56" t="str">
        <v>Lost control on road</v>
      </c>
      <c r="B166" s="25">
        <v>4</v>
      </c>
      <c r="C166" s="64">
        <f t="shared" si="5"/>
        <v>68000</v>
      </c>
      <c r="D166" s="64">
        <f t="shared" si="4"/>
        <v>69000</v>
      </c>
      <c r="E166" s="64">
        <f t="shared" si="4"/>
        <v>78000</v>
      </c>
      <c r="F166" s="64">
        <f t="shared" si="4"/>
        <v>78000</v>
      </c>
      <c r="G166" s="64">
        <f t="shared" si="4"/>
        <v>71000</v>
      </c>
      <c r="H166" s="64">
        <f t="shared" si="4"/>
        <v>71000</v>
      </c>
      <c r="S166" s="83" t="s">
        <v>566</v>
      </c>
      <c r="T166" s="83" t="s">
        <v>523</v>
      </c>
      <c r="U166" s="122">
        <v>71</v>
      </c>
      <c r="V166" s="122">
        <v>73</v>
      </c>
      <c r="W166" s="122">
        <v>86</v>
      </c>
      <c r="X166" s="122">
        <v>79</v>
      </c>
      <c r="Y166" s="122">
        <v>84</v>
      </c>
      <c r="Z166" s="122">
        <v>83</v>
      </c>
    </row>
    <row r="167" spans="1:26" ht="42" thickBot="1">
      <c r="A167" s="56" t="str">
        <v>Miscellaneous</v>
      </c>
      <c r="B167" s="25">
        <v>5</v>
      </c>
      <c r="C167" s="64">
        <f t="shared" si="5"/>
        <v>71000</v>
      </c>
      <c r="D167" s="64">
        <f t="shared" si="4"/>
        <v>73000</v>
      </c>
      <c r="E167" s="64">
        <f t="shared" si="4"/>
        <v>86000</v>
      </c>
      <c r="F167" s="64">
        <f t="shared" si="4"/>
        <v>79000</v>
      </c>
      <c r="G167" s="64">
        <f t="shared" si="4"/>
        <v>84000</v>
      </c>
      <c r="H167" s="64">
        <f t="shared" si="4"/>
        <v>83000</v>
      </c>
      <c r="S167" s="83" t="s">
        <v>568</v>
      </c>
      <c r="T167" s="83" t="s">
        <v>694</v>
      </c>
      <c r="U167" s="122">
        <v>71</v>
      </c>
      <c r="V167" s="122">
        <v>72</v>
      </c>
      <c r="W167" s="122">
        <v>81</v>
      </c>
      <c r="X167" s="122">
        <v>77</v>
      </c>
      <c r="Y167" s="122">
        <v>83</v>
      </c>
      <c r="Z167" s="122">
        <v>82</v>
      </c>
    </row>
    <row r="168" spans="1:26" ht="28.2" thickBot="1">
      <c r="A168" s="56" t="str">
        <v>Overtaking</v>
      </c>
      <c r="B168" s="25">
        <v>6</v>
      </c>
      <c r="C168" s="64">
        <f t="shared" si="5"/>
        <v>71000</v>
      </c>
      <c r="D168" s="64">
        <f t="shared" si="4"/>
        <v>72000</v>
      </c>
      <c r="E168" s="64">
        <f t="shared" si="4"/>
        <v>81000</v>
      </c>
      <c r="F168" s="64">
        <f t="shared" si="4"/>
        <v>77000</v>
      </c>
      <c r="G168" s="64">
        <f t="shared" si="4"/>
        <v>83000</v>
      </c>
      <c r="H168" s="64">
        <f t="shared" si="4"/>
        <v>82000</v>
      </c>
      <c r="S168" s="83" t="s">
        <v>451</v>
      </c>
      <c r="T168" s="83" t="s">
        <v>695</v>
      </c>
      <c r="U168" s="122">
        <v>78</v>
      </c>
      <c r="V168" s="122">
        <v>98</v>
      </c>
      <c r="W168" s="122">
        <v>70</v>
      </c>
      <c r="X168" s="122">
        <v>70</v>
      </c>
      <c r="Y168" s="122">
        <v>72</v>
      </c>
      <c r="Z168" s="122">
        <v>73</v>
      </c>
    </row>
    <row r="169" spans="1:26" ht="28.2" thickBot="1">
      <c r="A169" s="56" t="str">
        <v>Pedestrian</v>
      </c>
      <c r="B169" s="25">
        <v>7</v>
      </c>
      <c r="C169" s="64">
        <f t="shared" si="5"/>
        <v>78000</v>
      </c>
      <c r="D169" s="64">
        <f t="shared" si="4"/>
        <v>98000</v>
      </c>
      <c r="E169" s="64">
        <f t="shared" si="4"/>
        <v>70000</v>
      </c>
      <c r="F169" s="64">
        <f t="shared" si="4"/>
        <v>70000</v>
      </c>
      <c r="G169" s="64">
        <f t="shared" si="4"/>
        <v>72000</v>
      </c>
      <c r="H169" s="64">
        <f t="shared" si="4"/>
        <v>73000</v>
      </c>
      <c r="S169" s="83" t="s">
        <v>569</v>
      </c>
      <c r="T169" s="83" t="s">
        <v>696</v>
      </c>
      <c r="U169" s="122">
        <v>70</v>
      </c>
      <c r="V169" s="122">
        <v>70</v>
      </c>
      <c r="W169" s="122">
        <v>87</v>
      </c>
      <c r="X169" s="122">
        <v>87</v>
      </c>
      <c r="Y169" s="122">
        <v>85</v>
      </c>
      <c r="Z169" s="122">
        <v>84</v>
      </c>
    </row>
    <row r="170" spans="1:26" ht="28.2" thickBot="1">
      <c r="A170" s="56" t="str">
        <v>Rear end, crossing</v>
      </c>
      <c r="B170" s="25">
        <v>8</v>
      </c>
      <c r="C170" s="64">
        <f t="shared" si="5"/>
        <v>70000</v>
      </c>
      <c r="D170" s="64">
        <f t="shared" si="4"/>
        <v>70000</v>
      </c>
      <c r="E170" s="64">
        <f t="shared" si="4"/>
        <v>87000</v>
      </c>
      <c r="F170" s="64">
        <f t="shared" si="4"/>
        <v>87000</v>
      </c>
      <c r="G170" s="64">
        <f t="shared" si="4"/>
        <v>85000</v>
      </c>
      <c r="H170" s="64">
        <f t="shared" si="4"/>
        <v>84000</v>
      </c>
      <c r="S170" s="83" t="s">
        <v>570</v>
      </c>
      <c r="T170" s="83" t="s">
        <v>697</v>
      </c>
      <c r="U170" s="122">
        <v>69</v>
      </c>
      <c r="V170" s="122">
        <v>69</v>
      </c>
      <c r="W170" s="122">
        <v>89</v>
      </c>
      <c r="X170" s="122">
        <v>81</v>
      </c>
      <c r="Y170" s="122">
        <v>86</v>
      </c>
      <c r="Z170" s="122">
        <v>84</v>
      </c>
    </row>
    <row r="171" spans="1:26" ht="42" thickBot="1">
      <c r="A171" s="56" t="str">
        <v>Rear end, queuing</v>
      </c>
      <c r="B171" s="25">
        <v>9</v>
      </c>
      <c r="C171" s="64">
        <f t="shared" si="5"/>
        <v>69000</v>
      </c>
      <c r="D171" s="64">
        <f t="shared" si="4"/>
        <v>69000</v>
      </c>
      <c r="E171" s="64">
        <f t="shared" si="4"/>
        <v>89000</v>
      </c>
      <c r="F171" s="64">
        <f t="shared" si="4"/>
        <v>81000</v>
      </c>
      <c r="G171" s="64">
        <f t="shared" si="4"/>
        <v>86000</v>
      </c>
      <c r="H171" s="64">
        <f t="shared" si="4"/>
        <v>84000</v>
      </c>
      <c r="S171" s="83" t="s">
        <v>571</v>
      </c>
      <c r="T171" s="83" t="s">
        <v>698</v>
      </c>
      <c r="U171" s="122">
        <v>70</v>
      </c>
      <c r="V171" s="122">
        <v>71</v>
      </c>
      <c r="W171" s="122">
        <v>103</v>
      </c>
      <c r="X171" s="122">
        <v>80</v>
      </c>
      <c r="Y171" s="122">
        <v>84</v>
      </c>
      <c r="Z171" s="122">
        <v>83</v>
      </c>
    </row>
    <row r="172" spans="1:26" ht="34.799999999999997" thickBot="1">
      <c r="A172" s="56" t="str">
        <v>Rear end, slow vehicle</v>
      </c>
      <c r="B172" s="25">
        <v>10</v>
      </c>
      <c r="C172" s="64">
        <f t="shared" si="5"/>
        <v>70000</v>
      </c>
      <c r="D172" s="64">
        <f t="shared" si="4"/>
        <v>71000</v>
      </c>
      <c r="E172" s="64">
        <f t="shared" si="4"/>
        <v>103000</v>
      </c>
      <c r="F172" s="64">
        <f t="shared" si="4"/>
        <v>80000</v>
      </c>
      <c r="G172" s="64">
        <f t="shared" si="4"/>
        <v>84000</v>
      </c>
      <c r="H172" s="64">
        <f t="shared" si="4"/>
        <v>83000</v>
      </c>
      <c r="S172" s="83" t="s">
        <v>572</v>
      </c>
      <c r="T172" s="83" t="s">
        <v>554</v>
      </c>
      <c r="U172" s="122">
        <v>70</v>
      </c>
      <c r="V172" s="122">
        <v>74</v>
      </c>
      <c r="W172" s="122">
        <v>102</v>
      </c>
      <c r="X172" s="122">
        <v>88</v>
      </c>
      <c r="Y172" s="122">
        <v>91</v>
      </c>
      <c r="Z172" s="122">
        <v>90</v>
      </c>
    </row>
    <row r="173" spans="1:26" ht="28.2" thickBot="1">
      <c r="A173" s="56" t="str">
        <v>Crossing, direct</v>
      </c>
      <c r="B173" s="25">
        <v>11</v>
      </c>
      <c r="C173" s="64">
        <f t="shared" si="5"/>
        <v>70000</v>
      </c>
      <c r="D173" s="64">
        <f t="shared" si="4"/>
        <v>74000</v>
      </c>
      <c r="E173" s="64">
        <f t="shared" si="4"/>
        <v>102000</v>
      </c>
      <c r="F173" s="64">
        <f t="shared" si="4"/>
        <v>88000</v>
      </c>
      <c r="G173" s="64">
        <f t="shared" si="4"/>
        <v>91000</v>
      </c>
      <c r="H173" s="64">
        <f t="shared" si="4"/>
        <v>90000</v>
      </c>
      <c r="S173" s="83" t="s">
        <v>573</v>
      </c>
      <c r="T173" s="83" t="s">
        <v>699</v>
      </c>
      <c r="U173" s="122">
        <v>70</v>
      </c>
      <c r="V173" s="122">
        <v>71</v>
      </c>
      <c r="W173" s="122">
        <v>87</v>
      </c>
      <c r="X173" s="122">
        <v>76</v>
      </c>
      <c r="Y173" s="122">
        <v>88</v>
      </c>
      <c r="Z173" s="122">
        <v>86</v>
      </c>
    </row>
    <row r="174" spans="1:26" ht="42" thickBot="1">
      <c r="A174" s="56" t="str">
        <v>Crossing, turning</v>
      </c>
      <c r="B174" s="25">
        <v>12</v>
      </c>
      <c r="C174" s="64">
        <f t="shared" si="5"/>
        <v>70000</v>
      </c>
      <c r="D174" s="64">
        <f t="shared" si="4"/>
        <v>71000</v>
      </c>
      <c r="E174" s="64">
        <f t="shared" si="4"/>
        <v>87000</v>
      </c>
      <c r="F174" s="64">
        <f t="shared" si="4"/>
        <v>76000</v>
      </c>
      <c r="G174" s="64">
        <f t="shared" si="4"/>
        <v>88000</v>
      </c>
      <c r="H174" s="64">
        <f t="shared" si="4"/>
        <v>86000</v>
      </c>
      <c r="S174" s="83" t="s">
        <v>469</v>
      </c>
      <c r="T174" s="83"/>
      <c r="U174" s="122">
        <v>71</v>
      </c>
      <c r="V174" s="122">
        <v>73</v>
      </c>
      <c r="W174" s="122">
        <v>86</v>
      </c>
      <c r="X174" s="122">
        <v>79</v>
      </c>
      <c r="Y174" s="122">
        <v>84</v>
      </c>
      <c r="Z174" s="122">
        <v>83</v>
      </c>
    </row>
    <row r="175" spans="1:26" ht="34.799999999999997" thickBot="1">
      <c r="A175" s="56" t="str">
        <v>All movements</v>
      </c>
      <c r="B175" s="25">
        <v>13</v>
      </c>
      <c r="C175" s="64">
        <f t="shared" si="5"/>
        <v>71000</v>
      </c>
      <c r="D175" s="64">
        <f t="shared" si="4"/>
        <v>73000</v>
      </c>
      <c r="E175" s="64">
        <f t="shared" si="4"/>
        <v>86000</v>
      </c>
      <c r="F175" s="64">
        <f t="shared" si="4"/>
        <v>79000</v>
      </c>
      <c r="G175" s="64">
        <f t="shared" si="4"/>
        <v>84000</v>
      </c>
      <c r="H175" s="64">
        <f t="shared" si="4"/>
        <v>83000</v>
      </c>
      <c r="S175" s="118"/>
      <c r="T175" s="118"/>
      <c r="U175" s="118"/>
      <c r="V175" s="118"/>
      <c r="W175" s="118"/>
      <c r="X175" s="118"/>
      <c r="Y175" s="118"/>
      <c r="Z175" s="118"/>
    </row>
    <row r="176" spans="1:26" ht="16.2" thickBot="1">
      <c r="A176" s="62"/>
      <c r="B176" s="25">
        <v>14</v>
      </c>
      <c r="S176" s="82" t="s">
        <v>881</v>
      </c>
      <c r="T176"/>
      <c r="U176"/>
      <c r="V176"/>
      <c r="W176"/>
      <c r="X176"/>
      <c r="Y176"/>
      <c r="Z176"/>
    </row>
    <row r="177" spans="1:26" ht="72" customHeight="1" thickBot="1">
      <c r="A177" s="59" t="s">
        <v>577</v>
      </c>
      <c r="B177" s="398" t="str">
        <f>S176</f>
        <v xml:space="preserve">Table A31: Cost per crash by movement and vehicle involvement for non-injury crashes in 30 to 50km/h speed limit areas </v>
      </c>
      <c r="S177" s="123" t="s">
        <v>882</v>
      </c>
      <c r="T177" s="123"/>
      <c r="U177" s="123" t="s">
        <v>700</v>
      </c>
      <c r="V177" s="123"/>
      <c r="W177" s="123"/>
      <c r="X177" s="123"/>
      <c r="Y177" s="123"/>
      <c r="Z177" s="123"/>
    </row>
    <row r="178" spans="1:26" ht="34.35" customHeight="1" thickBot="1">
      <c r="A178" s="617" t="str">
        <f>S177</f>
        <v>30 to 50km/h speed limit areas non-injury crashes</v>
      </c>
      <c r="B178" s="619"/>
      <c r="C178" s="617" t="s">
        <v>872</v>
      </c>
      <c r="D178" s="618"/>
      <c r="E178" s="618"/>
      <c r="F178" s="618"/>
      <c r="G178" s="618"/>
      <c r="H178" s="619"/>
      <c r="S178" s="119" t="s">
        <v>438</v>
      </c>
      <c r="T178" s="119" t="s">
        <v>511</v>
      </c>
      <c r="U178" s="119" t="s">
        <v>689</v>
      </c>
      <c r="V178" s="119" t="s">
        <v>690</v>
      </c>
      <c r="W178" s="119" t="s">
        <v>561</v>
      </c>
      <c r="X178" s="119" t="s">
        <v>562</v>
      </c>
      <c r="Y178" s="119" t="s">
        <v>691</v>
      </c>
      <c r="Z178" s="119" t="s">
        <v>441</v>
      </c>
    </row>
    <row r="179" spans="1:26" ht="35.4" thickBot="1">
      <c r="A179" s="392" t="str" cm="1">
        <f t="array" ref="A179:H179">S178:Z178</f>
        <v>Movement category</v>
      </c>
      <c r="B179" s="396" t="str">
        <v>CAS movement codes</v>
      </c>
      <c r="C179" s="396" t="str">
        <v>Cycle</v>
      </c>
      <c r="D179" s="396" t="str">
        <v>Motorcycle</v>
      </c>
      <c r="E179" s="396" t="str">
        <v>Bus</v>
      </c>
      <c r="F179" s="396" t="str">
        <v>Truck</v>
      </c>
      <c r="G179" s="396" t="str">
        <v>Car, van and other</v>
      </c>
      <c r="H179" s="396" t="str">
        <v>All vehicles</v>
      </c>
      <c r="S179" s="83" t="s">
        <v>563</v>
      </c>
      <c r="T179" s="83" t="s">
        <v>692</v>
      </c>
      <c r="U179" s="124">
        <v>1</v>
      </c>
      <c r="V179" s="124">
        <v>2</v>
      </c>
      <c r="W179" s="124">
        <v>9</v>
      </c>
      <c r="X179" s="124">
        <v>9</v>
      </c>
      <c r="Y179" s="124">
        <v>3</v>
      </c>
      <c r="Z179" s="124">
        <v>4</v>
      </c>
    </row>
    <row r="180" spans="1:26" ht="14.4" thickBot="1">
      <c r="A180" s="56" t="str" cm="1">
        <f t="array" ref="A180:A192">S179:S191</f>
        <v>Head on</v>
      </c>
      <c r="B180" s="25">
        <v>1</v>
      </c>
      <c r="C180" s="64">
        <f>U179*1000</f>
        <v>1000</v>
      </c>
      <c r="D180" s="64">
        <f t="shared" ref="D180:H192" si="6">V179*1000</f>
        <v>2000</v>
      </c>
      <c r="E180" s="64">
        <f t="shared" si="6"/>
        <v>9000</v>
      </c>
      <c r="F180" s="64">
        <f t="shared" si="6"/>
        <v>9000</v>
      </c>
      <c r="G180" s="64">
        <f t="shared" si="6"/>
        <v>3000</v>
      </c>
      <c r="H180" s="64">
        <f t="shared" si="6"/>
        <v>4000</v>
      </c>
      <c r="S180" s="83" t="s">
        <v>564</v>
      </c>
      <c r="T180" s="83" t="s">
        <v>478</v>
      </c>
      <c r="U180" s="124">
        <v>1</v>
      </c>
      <c r="V180" s="124">
        <v>2</v>
      </c>
      <c r="W180" s="124">
        <v>9</v>
      </c>
      <c r="X180" s="124">
        <v>9</v>
      </c>
      <c r="Y180" s="124">
        <v>3</v>
      </c>
      <c r="Z180" s="124">
        <v>4</v>
      </c>
    </row>
    <row r="181" spans="1:26" ht="42" thickBot="1">
      <c r="A181" s="56" t="str">
        <v>Hit object</v>
      </c>
      <c r="B181" s="25">
        <v>2</v>
      </c>
      <c r="C181" s="64">
        <f t="shared" ref="C181:C192" si="7">U180*1000</f>
        <v>1000</v>
      </c>
      <c r="D181" s="64">
        <f t="shared" si="6"/>
        <v>2000</v>
      </c>
      <c r="E181" s="64">
        <f t="shared" si="6"/>
        <v>9000</v>
      </c>
      <c r="F181" s="64">
        <f t="shared" si="6"/>
        <v>9000</v>
      </c>
      <c r="G181" s="64">
        <f t="shared" si="6"/>
        <v>3000</v>
      </c>
      <c r="H181" s="64">
        <f t="shared" si="6"/>
        <v>4000</v>
      </c>
      <c r="J181" s="63">
        <f ca="1">IF(I129=0,0,OFFSET(B179,$J$127,$M$127))</f>
        <v>0</v>
      </c>
      <c r="S181" s="83" t="s">
        <v>439</v>
      </c>
      <c r="T181" s="83" t="s">
        <v>693</v>
      </c>
      <c r="U181" s="124">
        <v>1</v>
      </c>
      <c r="V181" s="124">
        <v>2</v>
      </c>
      <c r="W181" s="124">
        <v>8</v>
      </c>
      <c r="X181" s="124">
        <v>8</v>
      </c>
      <c r="Y181" s="124">
        <v>2</v>
      </c>
      <c r="Z181" s="124">
        <v>2</v>
      </c>
    </row>
    <row r="182" spans="1:26" ht="42" thickBot="1">
      <c r="A182" s="56" t="str">
        <v>Lost control off road</v>
      </c>
      <c r="B182" s="25">
        <v>3</v>
      </c>
      <c r="C182" s="64">
        <f t="shared" si="7"/>
        <v>1000</v>
      </c>
      <c r="D182" s="64">
        <f t="shared" si="6"/>
        <v>2000</v>
      </c>
      <c r="E182" s="64">
        <f t="shared" si="6"/>
        <v>8000</v>
      </c>
      <c r="F182" s="64">
        <f t="shared" si="6"/>
        <v>8000</v>
      </c>
      <c r="G182" s="64">
        <f t="shared" si="6"/>
        <v>2000</v>
      </c>
      <c r="H182" s="64">
        <f t="shared" si="6"/>
        <v>2000</v>
      </c>
      <c r="S182" s="83" t="s">
        <v>565</v>
      </c>
      <c r="T182" s="83" t="s">
        <v>521</v>
      </c>
      <c r="U182" s="124">
        <v>1</v>
      </c>
      <c r="V182" s="124">
        <v>2</v>
      </c>
      <c r="W182" s="124">
        <v>8</v>
      </c>
      <c r="X182" s="124">
        <v>8</v>
      </c>
      <c r="Y182" s="124">
        <v>2</v>
      </c>
      <c r="Z182" s="124">
        <v>2</v>
      </c>
    </row>
    <row r="183" spans="1:26" ht="34.799999999999997" thickBot="1">
      <c r="A183" s="56" t="str">
        <v>Lost control on road</v>
      </c>
      <c r="B183" s="25">
        <v>4</v>
      </c>
      <c r="C183" s="64">
        <f t="shared" si="7"/>
        <v>1000</v>
      </c>
      <c r="D183" s="64">
        <f t="shared" si="6"/>
        <v>2000</v>
      </c>
      <c r="E183" s="64">
        <f t="shared" si="6"/>
        <v>8000</v>
      </c>
      <c r="F183" s="64">
        <f t="shared" si="6"/>
        <v>8000</v>
      </c>
      <c r="G183" s="64">
        <f t="shared" si="6"/>
        <v>2000</v>
      </c>
      <c r="H183" s="64">
        <f t="shared" si="6"/>
        <v>2000</v>
      </c>
      <c r="S183" s="83" t="s">
        <v>566</v>
      </c>
      <c r="T183" s="83" t="s">
        <v>523</v>
      </c>
      <c r="U183" s="124">
        <v>1</v>
      </c>
      <c r="V183" s="124">
        <v>2</v>
      </c>
      <c r="W183" s="124">
        <v>8</v>
      </c>
      <c r="X183" s="124">
        <v>8</v>
      </c>
      <c r="Y183" s="124">
        <v>2</v>
      </c>
      <c r="Z183" s="124">
        <v>4</v>
      </c>
    </row>
    <row r="184" spans="1:26" ht="42" thickBot="1">
      <c r="A184" s="56" t="str">
        <v>Miscellaneous</v>
      </c>
      <c r="B184" s="25">
        <v>5</v>
      </c>
      <c r="C184" s="64">
        <f t="shared" si="7"/>
        <v>1000</v>
      </c>
      <c r="D184" s="64">
        <f t="shared" si="6"/>
        <v>2000</v>
      </c>
      <c r="E184" s="64">
        <f t="shared" si="6"/>
        <v>8000</v>
      </c>
      <c r="F184" s="64">
        <f t="shared" si="6"/>
        <v>8000</v>
      </c>
      <c r="G184" s="64">
        <f t="shared" si="6"/>
        <v>2000</v>
      </c>
      <c r="H184" s="64">
        <f t="shared" si="6"/>
        <v>4000</v>
      </c>
      <c r="S184" s="83" t="s">
        <v>568</v>
      </c>
      <c r="T184" s="83" t="s">
        <v>694</v>
      </c>
      <c r="U184" s="124">
        <v>2</v>
      </c>
      <c r="V184" s="124">
        <v>2</v>
      </c>
      <c r="W184" s="124">
        <v>9</v>
      </c>
      <c r="X184" s="124">
        <v>9</v>
      </c>
      <c r="Y184" s="124">
        <v>3</v>
      </c>
      <c r="Z184" s="124">
        <v>4</v>
      </c>
    </row>
    <row r="185" spans="1:26" ht="28.2" thickBot="1">
      <c r="A185" s="56" t="str">
        <v>Overtaking</v>
      </c>
      <c r="B185" s="25">
        <v>6</v>
      </c>
      <c r="C185" s="64">
        <f t="shared" si="7"/>
        <v>2000</v>
      </c>
      <c r="D185" s="64">
        <f t="shared" si="6"/>
        <v>2000</v>
      </c>
      <c r="E185" s="64">
        <f t="shared" si="6"/>
        <v>9000</v>
      </c>
      <c r="F185" s="64">
        <f t="shared" si="6"/>
        <v>9000</v>
      </c>
      <c r="G185" s="64">
        <f t="shared" si="6"/>
        <v>3000</v>
      </c>
      <c r="H185" s="64">
        <f t="shared" si="6"/>
        <v>4000</v>
      </c>
      <c r="S185" s="83" t="s">
        <v>451</v>
      </c>
      <c r="T185" s="83" t="s">
        <v>695</v>
      </c>
      <c r="U185" s="124">
        <v>1</v>
      </c>
      <c r="V185" s="124">
        <v>2</v>
      </c>
      <c r="W185" s="124">
        <v>7</v>
      </c>
      <c r="X185" s="124">
        <v>7</v>
      </c>
      <c r="Y185" s="124">
        <v>2</v>
      </c>
      <c r="Z185" s="124">
        <v>2</v>
      </c>
    </row>
    <row r="186" spans="1:26" ht="28.2" thickBot="1">
      <c r="A186" s="56" t="str">
        <v>Pedestrian</v>
      </c>
      <c r="B186" s="25">
        <v>7</v>
      </c>
      <c r="C186" s="64">
        <f t="shared" si="7"/>
        <v>1000</v>
      </c>
      <c r="D186" s="64">
        <f t="shared" si="6"/>
        <v>2000</v>
      </c>
      <c r="E186" s="64">
        <f t="shared" si="6"/>
        <v>7000</v>
      </c>
      <c r="F186" s="64">
        <f t="shared" si="6"/>
        <v>7000</v>
      </c>
      <c r="G186" s="64">
        <f t="shared" si="6"/>
        <v>2000</v>
      </c>
      <c r="H186" s="64">
        <f t="shared" si="6"/>
        <v>2000</v>
      </c>
      <c r="S186" s="83" t="s">
        <v>569</v>
      </c>
      <c r="T186" s="83" t="s">
        <v>696</v>
      </c>
      <c r="U186" s="124">
        <v>2</v>
      </c>
      <c r="V186" s="124">
        <v>2</v>
      </c>
      <c r="W186" s="124">
        <v>9</v>
      </c>
      <c r="X186" s="124">
        <v>9</v>
      </c>
      <c r="Y186" s="124">
        <v>3</v>
      </c>
      <c r="Z186" s="124">
        <v>3</v>
      </c>
    </row>
    <row r="187" spans="1:26" ht="28.2" thickBot="1">
      <c r="A187" s="56" t="str">
        <v>Rear end, crossing</v>
      </c>
      <c r="B187" s="25">
        <v>8</v>
      </c>
      <c r="C187" s="64">
        <f t="shared" si="7"/>
        <v>2000</v>
      </c>
      <c r="D187" s="64">
        <f t="shared" si="6"/>
        <v>2000</v>
      </c>
      <c r="E187" s="64">
        <f t="shared" si="6"/>
        <v>9000</v>
      </c>
      <c r="F187" s="64">
        <f t="shared" si="6"/>
        <v>9000</v>
      </c>
      <c r="G187" s="64">
        <f t="shared" si="6"/>
        <v>3000</v>
      </c>
      <c r="H187" s="64">
        <f t="shared" si="6"/>
        <v>3000</v>
      </c>
      <c r="S187" s="83" t="s">
        <v>570</v>
      </c>
      <c r="T187" s="83" t="s">
        <v>697</v>
      </c>
      <c r="U187" s="124">
        <v>2</v>
      </c>
      <c r="V187" s="124">
        <v>2</v>
      </c>
      <c r="W187" s="124">
        <v>9</v>
      </c>
      <c r="X187" s="124">
        <v>9</v>
      </c>
      <c r="Y187" s="124">
        <v>3</v>
      </c>
      <c r="Z187" s="124">
        <v>3</v>
      </c>
    </row>
    <row r="188" spans="1:26" ht="42" thickBot="1">
      <c r="A188" s="56" t="str">
        <v>Rear end, queuing</v>
      </c>
      <c r="B188" s="25">
        <v>9</v>
      </c>
      <c r="C188" s="64">
        <f t="shared" si="7"/>
        <v>2000</v>
      </c>
      <c r="D188" s="64">
        <f t="shared" si="6"/>
        <v>2000</v>
      </c>
      <c r="E188" s="64">
        <f t="shared" si="6"/>
        <v>9000</v>
      </c>
      <c r="F188" s="64">
        <f t="shared" si="6"/>
        <v>9000</v>
      </c>
      <c r="G188" s="64">
        <f t="shared" si="6"/>
        <v>3000</v>
      </c>
      <c r="H188" s="64">
        <f t="shared" si="6"/>
        <v>3000</v>
      </c>
      <c r="S188" s="83" t="s">
        <v>571</v>
      </c>
      <c r="T188" s="83" t="s">
        <v>698</v>
      </c>
      <c r="U188" s="124">
        <v>2</v>
      </c>
      <c r="V188" s="124">
        <v>2</v>
      </c>
      <c r="W188" s="124">
        <v>9</v>
      </c>
      <c r="X188" s="124">
        <v>9</v>
      </c>
      <c r="Y188" s="124">
        <v>3</v>
      </c>
      <c r="Z188" s="124">
        <v>4</v>
      </c>
    </row>
    <row r="189" spans="1:26" ht="34.799999999999997" thickBot="1">
      <c r="A189" s="56" t="str">
        <v>Rear end, slow vehicle</v>
      </c>
      <c r="B189" s="25">
        <v>10</v>
      </c>
      <c r="C189" s="64">
        <f t="shared" si="7"/>
        <v>2000</v>
      </c>
      <c r="D189" s="64">
        <f t="shared" si="6"/>
        <v>2000</v>
      </c>
      <c r="E189" s="64">
        <f t="shared" si="6"/>
        <v>9000</v>
      </c>
      <c r="F189" s="64">
        <f t="shared" si="6"/>
        <v>9000</v>
      </c>
      <c r="G189" s="64">
        <f t="shared" si="6"/>
        <v>3000</v>
      </c>
      <c r="H189" s="64">
        <f t="shared" si="6"/>
        <v>4000</v>
      </c>
      <c r="S189" s="83" t="s">
        <v>572</v>
      </c>
      <c r="T189" s="83" t="s">
        <v>554</v>
      </c>
      <c r="U189" s="124">
        <v>1</v>
      </c>
      <c r="V189" s="124">
        <v>2</v>
      </c>
      <c r="W189" s="124">
        <v>9</v>
      </c>
      <c r="X189" s="124">
        <v>9</v>
      </c>
      <c r="Y189" s="124">
        <v>3</v>
      </c>
      <c r="Z189" s="124">
        <v>3</v>
      </c>
    </row>
    <row r="190" spans="1:26" ht="28.2" thickBot="1">
      <c r="A190" s="56" t="str">
        <v>Crossing, direct</v>
      </c>
      <c r="B190" s="25">
        <v>11</v>
      </c>
      <c r="C190" s="64">
        <f t="shared" si="7"/>
        <v>1000</v>
      </c>
      <c r="D190" s="64">
        <f t="shared" si="6"/>
        <v>2000</v>
      </c>
      <c r="E190" s="64">
        <f t="shared" si="6"/>
        <v>9000</v>
      </c>
      <c r="F190" s="64">
        <f t="shared" si="6"/>
        <v>9000</v>
      </c>
      <c r="G190" s="64">
        <f t="shared" si="6"/>
        <v>3000</v>
      </c>
      <c r="H190" s="64">
        <f t="shared" si="6"/>
        <v>3000</v>
      </c>
      <c r="S190" s="83" t="s">
        <v>573</v>
      </c>
      <c r="T190" s="83" t="s">
        <v>699</v>
      </c>
      <c r="U190" s="124">
        <v>1</v>
      </c>
      <c r="V190" s="124">
        <v>2</v>
      </c>
      <c r="W190" s="124">
        <v>9</v>
      </c>
      <c r="X190" s="124">
        <v>9</v>
      </c>
      <c r="Y190" s="124">
        <v>3</v>
      </c>
      <c r="Z190" s="124">
        <v>3</v>
      </c>
    </row>
    <row r="191" spans="1:26" ht="42" thickBot="1">
      <c r="A191" s="56" t="str">
        <v>Crossing, turning</v>
      </c>
      <c r="B191" s="25">
        <v>12</v>
      </c>
      <c r="C191" s="64">
        <f t="shared" si="7"/>
        <v>1000</v>
      </c>
      <c r="D191" s="64">
        <f t="shared" si="6"/>
        <v>2000</v>
      </c>
      <c r="E191" s="64">
        <f t="shared" si="6"/>
        <v>9000</v>
      </c>
      <c r="F191" s="64">
        <f t="shared" si="6"/>
        <v>9000</v>
      </c>
      <c r="G191" s="64">
        <f t="shared" si="6"/>
        <v>3000</v>
      </c>
      <c r="H191" s="64">
        <f t="shared" si="6"/>
        <v>3000</v>
      </c>
      <c r="S191" s="83" t="s">
        <v>469</v>
      </c>
      <c r="T191" s="83"/>
      <c r="U191" s="124">
        <v>2</v>
      </c>
      <c r="V191" s="124">
        <v>2</v>
      </c>
      <c r="W191" s="124">
        <v>9</v>
      </c>
      <c r="X191" s="124">
        <v>9</v>
      </c>
      <c r="Y191" s="124">
        <v>3</v>
      </c>
      <c r="Z191" s="124">
        <v>3</v>
      </c>
    </row>
    <row r="192" spans="1:26" ht="34.799999999999997" thickBot="1">
      <c r="A192" s="56" t="str">
        <v>All movements</v>
      </c>
      <c r="B192" s="25">
        <v>13</v>
      </c>
      <c r="C192" s="64">
        <f t="shared" si="7"/>
        <v>2000</v>
      </c>
      <c r="D192" s="64">
        <f t="shared" si="6"/>
        <v>2000</v>
      </c>
      <c r="E192" s="64">
        <f t="shared" si="6"/>
        <v>9000</v>
      </c>
      <c r="F192" s="64">
        <f t="shared" si="6"/>
        <v>9000</v>
      </c>
      <c r="G192" s="64">
        <f t="shared" si="6"/>
        <v>3000</v>
      </c>
      <c r="H192" s="64">
        <f t="shared" si="6"/>
        <v>3000</v>
      </c>
      <c r="S192" s="118"/>
      <c r="T192" s="118"/>
      <c r="U192" s="118"/>
      <c r="V192" s="118"/>
      <c r="W192" s="118"/>
      <c r="X192" s="118"/>
      <c r="Y192" s="118"/>
      <c r="Z192" s="118"/>
    </row>
    <row r="193" spans="1:26" ht="20.399999999999999" thickBot="1">
      <c r="A193" s="60"/>
      <c r="B193" s="25">
        <v>14</v>
      </c>
      <c r="S193" s="82" t="s">
        <v>883</v>
      </c>
      <c r="T193"/>
      <c r="U193"/>
      <c r="V193"/>
      <c r="W193"/>
      <c r="X193"/>
      <c r="Y193"/>
      <c r="Z193"/>
    </row>
    <row r="194" spans="1:26" ht="20.25" customHeight="1" thickBot="1">
      <c r="A194" s="60" t="s">
        <v>509</v>
      </c>
      <c r="B194" s="60"/>
      <c r="S194" s="123" t="s">
        <v>884</v>
      </c>
      <c r="T194" s="123"/>
      <c r="U194" s="123" t="s">
        <v>688</v>
      </c>
      <c r="V194" s="123"/>
      <c r="W194" s="123"/>
      <c r="X194" s="123"/>
      <c r="Y194" s="123"/>
      <c r="Z194" s="123"/>
    </row>
    <row r="195" spans="1:26" ht="42" thickBot="1">
      <c r="A195" s="59" t="s">
        <v>578</v>
      </c>
      <c r="B195" s="398" t="str">
        <f>S193</f>
        <v>Table A32: Cost per crash by movement and vehicle involvement for fatal injury crashes in 80 to 110km/h speed limit areas</v>
      </c>
      <c r="C195" s="98"/>
      <c r="S195" s="119" t="s">
        <v>438</v>
      </c>
      <c r="T195" s="119" t="s">
        <v>511</v>
      </c>
      <c r="U195" s="119" t="s">
        <v>689</v>
      </c>
      <c r="V195" s="119" t="s">
        <v>690</v>
      </c>
      <c r="W195" s="119" t="s">
        <v>561</v>
      </c>
      <c r="X195" s="119" t="s">
        <v>562</v>
      </c>
      <c r="Y195" s="119" t="s">
        <v>691</v>
      </c>
      <c r="Z195" s="119" t="s">
        <v>441</v>
      </c>
    </row>
    <row r="196" spans="1:26" ht="34.35" customHeight="1" thickBot="1">
      <c r="A196" s="617" t="str">
        <f>S194</f>
        <v>80 to 110km/h speed limit areas fatal injury crashes</v>
      </c>
      <c r="B196" s="619"/>
      <c r="C196" s="617" t="s">
        <v>872</v>
      </c>
      <c r="D196" s="618"/>
      <c r="E196" s="618"/>
      <c r="F196" s="618"/>
      <c r="G196" s="618"/>
      <c r="H196" s="619"/>
      <c r="S196" s="83" t="s">
        <v>563</v>
      </c>
      <c r="T196" s="83" t="s">
        <v>692</v>
      </c>
      <c r="U196" s="120">
        <v>13.2</v>
      </c>
      <c r="V196" s="120">
        <v>13.2</v>
      </c>
      <c r="W196" s="120">
        <v>15.9</v>
      </c>
      <c r="X196" s="120">
        <v>15.9</v>
      </c>
      <c r="Y196" s="120">
        <v>17.5</v>
      </c>
      <c r="Z196" s="120">
        <v>17</v>
      </c>
    </row>
    <row r="197" spans="1:26" ht="35.4" thickBot="1">
      <c r="A197" s="392" t="str" cm="1">
        <f t="array" ref="A197:H197">S195:Z195</f>
        <v>Movement category</v>
      </c>
      <c r="B197" s="396" t="str">
        <v>CAS movement codes</v>
      </c>
      <c r="C197" s="396" t="str">
        <v>Cycle</v>
      </c>
      <c r="D197" s="396" t="str">
        <v>Motorcycle</v>
      </c>
      <c r="E197" s="396" t="str">
        <v>Bus</v>
      </c>
      <c r="F197" s="396" t="str">
        <v>Truck</v>
      </c>
      <c r="G197" s="396" t="str">
        <v>Car, van and other</v>
      </c>
      <c r="H197" s="396" t="str">
        <v>All vehicles</v>
      </c>
      <c r="S197" s="83" t="s">
        <v>564</v>
      </c>
      <c r="T197" s="83" t="s">
        <v>478</v>
      </c>
      <c r="U197" s="120">
        <v>12.5</v>
      </c>
      <c r="V197" s="120">
        <v>12.5</v>
      </c>
      <c r="W197" s="120">
        <v>12.8</v>
      </c>
      <c r="X197" s="120">
        <v>12.8</v>
      </c>
      <c r="Y197" s="120">
        <v>19</v>
      </c>
      <c r="Z197" s="120">
        <v>18</v>
      </c>
    </row>
    <row r="198" spans="1:26" ht="42" thickBot="1">
      <c r="A198" s="56" t="str" cm="1">
        <f t="array" ref="A198:A210">S196:S208</f>
        <v>Head on</v>
      </c>
      <c r="B198" s="25">
        <v>1</v>
      </c>
      <c r="C198" s="64">
        <f>U196*1000000</f>
        <v>13200000</v>
      </c>
      <c r="D198" s="64">
        <f t="shared" ref="D198:H210" si="8">V196*1000000</f>
        <v>13200000</v>
      </c>
      <c r="E198" s="64">
        <f t="shared" si="8"/>
        <v>15900000</v>
      </c>
      <c r="F198" s="64">
        <f t="shared" si="8"/>
        <v>15900000</v>
      </c>
      <c r="G198" s="64">
        <f t="shared" si="8"/>
        <v>17500000</v>
      </c>
      <c r="H198" s="64">
        <f t="shared" si="8"/>
        <v>17000000</v>
      </c>
      <c r="S198" s="83" t="s">
        <v>439</v>
      </c>
      <c r="T198" s="83" t="s">
        <v>693</v>
      </c>
      <c r="U198" s="120">
        <v>12.5</v>
      </c>
      <c r="V198" s="120">
        <v>12.5</v>
      </c>
      <c r="W198" s="120">
        <v>23.9</v>
      </c>
      <c r="X198" s="120">
        <v>12.6</v>
      </c>
      <c r="Y198" s="120">
        <v>13.8</v>
      </c>
      <c r="Z198" s="120">
        <v>13.8</v>
      </c>
    </row>
    <row r="199" spans="1:26" ht="42" thickBot="1">
      <c r="A199" s="56" t="str">
        <v>Hit object</v>
      </c>
      <c r="B199" s="25">
        <v>2</v>
      </c>
      <c r="C199" s="64">
        <f t="shared" ref="C199:C210" si="9">U197*1000000</f>
        <v>12500000</v>
      </c>
      <c r="D199" s="64">
        <f t="shared" si="8"/>
        <v>12500000</v>
      </c>
      <c r="E199" s="64">
        <f t="shared" si="8"/>
        <v>12800000</v>
      </c>
      <c r="F199" s="64">
        <f t="shared" si="8"/>
        <v>12800000</v>
      </c>
      <c r="G199" s="64">
        <f t="shared" si="8"/>
        <v>19000000</v>
      </c>
      <c r="H199" s="64">
        <f t="shared" si="8"/>
        <v>18000000</v>
      </c>
      <c r="J199" s="63">
        <f ca="1">IF(I129=0,0,OFFSET(B197,$J$127,$M$127))</f>
        <v>0</v>
      </c>
      <c r="S199" s="83" t="s">
        <v>565</v>
      </c>
      <c r="T199" s="83" t="s">
        <v>521</v>
      </c>
      <c r="U199" s="120">
        <v>12.5</v>
      </c>
      <c r="V199" s="120">
        <v>12.5</v>
      </c>
      <c r="W199" s="120">
        <v>14.8</v>
      </c>
      <c r="X199" s="120">
        <v>14.5</v>
      </c>
      <c r="Y199" s="120">
        <v>14.5</v>
      </c>
      <c r="Z199" s="120">
        <v>14.4</v>
      </c>
    </row>
    <row r="200" spans="1:26" ht="34.799999999999997" thickBot="1">
      <c r="A200" s="56" t="str">
        <v>Lost control off road</v>
      </c>
      <c r="B200" s="25">
        <v>3</v>
      </c>
      <c r="C200" s="64">
        <f t="shared" si="9"/>
        <v>12500000</v>
      </c>
      <c r="D200" s="64">
        <f t="shared" si="8"/>
        <v>12500000</v>
      </c>
      <c r="E200" s="64">
        <f t="shared" si="8"/>
        <v>23900000</v>
      </c>
      <c r="F200" s="64">
        <f t="shared" si="8"/>
        <v>12600000</v>
      </c>
      <c r="G200" s="64">
        <f t="shared" si="8"/>
        <v>13800000</v>
      </c>
      <c r="H200" s="64">
        <f t="shared" si="8"/>
        <v>13800000</v>
      </c>
      <c r="S200" s="83" t="s">
        <v>566</v>
      </c>
      <c r="T200" s="83" t="s">
        <v>523</v>
      </c>
      <c r="U200" s="120">
        <v>12.8</v>
      </c>
      <c r="V200" s="120">
        <v>13</v>
      </c>
      <c r="W200" s="120">
        <v>15.6</v>
      </c>
      <c r="X200" s="120">
        <v>15.6</v>
      </c>
      <c r="Y200" s="120">
        <v>14.5</v>
      </c>
      <c r="Z200" s="120">
        <v>14.5</v>
      </c>
    </row>
    <row r="201" spans="1:26" ht="42" thickBot="1">
      <c r="A201" s="56" t="str">
        <v>Lost control on road</v>
      </c>
      <c r="B201" s="25">
        <v>4</v>
      </c>
      <c r="C201" s="64">
        <f t="shared" si="9"/>
        <v>12500000</v>
      </c>
      <c r="D201" s="64">
        <f t="shared" si="8"/>
        <v>12500000</v>
      </c>
      <c r="E201" s="64">
        <f t="shared" si="8"/>
        <v>14800000</v>
      </c>
      <c r="F201" s="64">
        <f t="shared" si="8"/>
        <v>14500000</v>
      </c>
      <c r="G201" s="64">
        <f t="shared" si="8"/>
        <v>14500000</v>
      </c>
      <c r="H201" s="64">
        <f t="shared" si="8"/>
        <v>14400000</v>
      </c>
      <c r="S201" s="83" t="s">
        <v>568</v>
      </c>
      <c r="T201" s="83" t="s">
        <v>694</v>
      </c>
      <c r="U201" s="120">
        <v>12.5</v>
      </c>
      <c r="V201" s="120">
        <v>14.1</v>
      </c>
      <c r="W201" s="120">
        <v>16.100000000000001</v>
      </c>
      <c r="X201" s="120">
        <v>13.2</v>
      </c>
      <c r="Y201" s="120">
        <v>13</v>
      </c>
      <c r="Z201" s="120">
        <v>13.1</v>
      </c>
    </row>
    <row r="202" spans="1:26" ht="28.2" thickBot="1">
      <c r="A202" s="56" t="str">
        <v>Miscellaneous</v>
      </c>
      <c r="B202" s="25">
        <v>5</v>
      </c>
      <c r="C202" s="64">
        <f t="shared" si="9"/>
        <v>12800000</v>
      </c>
      <c r="D202" s="64">
        <f t="shared" si="8"/>
        <v>13000000</v>
      </c>
      <c r="E202" s="64">
        <f t="shared" si="8"/>
        <v>15600000</v>
      </c>
      <c r="F202" s="64">
        <f t="shared" si="8"/>
        <v>15600000</v>
      </c>
      <c r="G202" s="64">
        <f t="shared" si="8"/>
        <v>14500000</v>
      </c>
      <c r="H202" s="64">
        <f t="shared" si="8"/>
        <v>14500000</v>
      </c>
      <c r="S202" s="83" t="s">
        <v>451</v>
      </c>
      <c r="T202" s="83" t="s">
        <v>695</v>
      </c>
      <c r="U202" s="120">
        <v>12.6</v>
      </c>
      <c r="V202" s="120">
        <v>14.5</v>
      </c>
      <c r="W202" s="120">
        <v>12.5</v>
      </c>
      <c r="X202" s="120">
        <v>12.5</v>
      </c>
      <c r="Y202" s="120">
        <v>12.9</v>
      </c>
      <c r="Z202" s="120">
        <v>12.9</v>
      </c>
    </row>
    <row r="203" spans="1:26" ht="28.2" thickBot="1">
      <c r="A203" s="56" t="str">
        <v>Overtaking</v>
      </c>
      <c r="B203" s="25">
        <v>6</v>
      </c>
      <c r="C203" s="64">
        <f t="shared" si="9"/>
        <v>12500000</v>
      </c>
      <c r="D203" s="64">
        <f t="shared" si="8"/>
        <v>14100000</v>
      </c>
      <c r="E203" s="64">
        <f t="shared" si="8"/>
        <v>16100000.000000002</v>
      </c>
      <c r="F203" s="64">
        <f t="shared" si="8"/>
        <v>13200000</v>
      </c>
      <c r="G203" s="64">
        <f t="shared" si="8"/>
        <v>13000000</v>
      </c>
      <c r="H203" s="64">
        <f t="shared" si="8"/>
        <v>13100000</v>
      </c>
      <c r="S203" s="83" t="s">
        <v>569</v>
      </c>
      <c r="T203" s="83" t="s">
        <v>696</v>
      </c>
      <c r="U203" s="120">
        <v>12.5</v>
      </c>
      <c r="V203" s="120">
        <v>12.5</v>
      </c>
      <c r="W203" s="120">
        <v>15</v>
      </c>
      <c r="X203" s="120">
        <v>12.9</v>
      </c>
      <c r="Y203" s="120">
        <v>12.8</v>
      </c>
      <c r="Z203" s="120">
        <v>12.8</v>
      </c>
    </row>
    <row r="204" spans="1:26" ht="28.2" thickBot="1">
      <c r="A204" s="56" t="str">
        <v>Pedestrian</v>
      </c>
      <c r="B204" s="25">
        <v>7</v>
      </c>
      <c r="C204" s="64">
        <f t="shared" si="9"/>
        <v>12600000</v>
      </c>
      <c r="D204" s="64">
        <f t="shared" si="8"/>
        <v>14500000</v>
      </c>
      <c r="E204" s="64">
        <f t="shared" si="8"/>
        <v>12500000</v>
      </c>
      <c r="F204" s="64">
        <f t="shared" si="8"/>
        <v>12500000</v>
      </c>
      <c r="G204" s="64">
        <f t="shared" si="8"/>
        <v>12900000</v>
      </c>
      <c r="H204" s="64">
        <f t="shared" si="8"/>
        <v>12900000</v>
      </c>
      <c r="S204" s="83" t="s">
        <v>570</v>
      </c>
      <c r="T204" s="83" t="s">
        <v>697</v>
      </c>
      <c r="U204" s="120">
        <v>12.5</v>
      </c>
      <c r="V204" s="120">
        <v>12.6</v>
      </c>
      <c r="W204" s="120">
        <v>25.7</v>
      </c>
      <c r="X204" s="120">
        <v>25.7</v>
      </c>
      <c r="Y204" s="120">
        <v>13.3</v>
      </c>
      <c r="Z204" s="120">
        <v>14.4</v>
      </c>
    </row>
    <row r="205" spans="1:26" ht="42" thickBot="1">
      <c r="A205" s="56" t="str">
        <v>Rear end, crossing</v>
      </c>
      <c r="B205" s="25">
        <v>8</v>
      </c>
      <c r="C205" s="64">
        <f t="shared" si="9"/>
        <v>12500000</v>
      </c>
      <c r="D205" s="64">
        <f t="shared" si="8"/>
        <v>12500000</v>
      </c>
      <c r="E205" s="64">
        <f t="shared" si="8"/>
        <v>15000000</v>
      </c>
      <c r="F205" s="64">
        <f t="shared" si="8"/>
        <v>12900000</v>
      </c>
      <c r="G205" s="64">
        <f t="shared" si="8"/>
        <v>12800000</v>
      </c>
      <c r="H205" s="64">
        <f t="shared" si="8"/>
        <v>12800000</v>
      </c>
      <c r="S205" s="83" t="s">
        <v>571</v>
      </c>
      <c r="T205" s="83" t="s">
        <v>698</v>
      </c>
      <c r="U205" s="120">
        <v>12.5</v>
      </c>
      <c r="V205" s="120">
        <v>12.5</v>
      </c>
      <c r="W205" s="120">
        <v>13.6</v>
      </c>
      <c r="X205" s="120">
        <v>12.9</v>
      </c>
      <c r="Y205" s="120">
        <v>12.9</v>
      </c>
      <c r="Z205" s="120">
        <v>12.9</v>
      </c>
    </row>
    <row r="206" spans="1:26" ht="28.2" thickBot="1">
      <c r="A206" s="56" t="str">
        <v>Rear end, queuing</v>
      </c>
      <c r="B206" s="25">
        <v>9</v>
      </c>
      <c r="C206" s="64">
        <f t="shared" si="9"/>
        <v>12500000</v>
      </c>
      <c r="D206" s="64">
        <f t="shared" si="8"/>
        <v>12600000</v>
      </c>
      <c r="E206" s="64">
        <f t="shared" si="8"/>
        <v>25700000</v>
      </c>
      <c r="F206" s="64">
        <f t="shared" si="8"/>
        <v>25700000</v>
      </c>
      <c r="G206" s="64">
        <f t="shared" si="8"/>
        <v>13300000</v>
      </c>
      <c r="H206" s="64">
        <f t="shared" si="8"/>
        <v>14400000</v>
      </c>
      <c r="S206" s="83" t="s">
        <v>572</v>
      </c>
      <c r="T206" s="83" t="s">
        <v>554</v>
      </c>
      <c r="U206" s="120">
        <v>12.5</v>
      </c>
      <c r="V206" s="120">
        <v>12.7</v>
      </c>
      <c r="W206" s="120">
        <v>23.9</v>
      </c>
      <c r="X206" s="120">
        <v>23.9</v>
      </c>
      <c r="Y206" s="120">
        <v>15.3</v>
      </c>
      <c r="Z206" s="120">
        <v>15.9</v>
      </c>
    </row>
    <row r="207" spans="1:26" ht="34.799999999999997" thickBot="1">
      <c r="A207" s="56" t="str">
        <v>Rear end, slow vehicle</v>
      </c>
      <c r="B207" s="25">
        <v>10</v>
      </c>
      <c r="C207" s="64">
        <f t="shared" si="9"/>
        <v>12500000</v>
      </c>
      <c r="D207" s="64">
        <f t="shared" si="8"/>
        <v>12500000</v>
      </c>
      <c r="E207" s="64">
        <f t="shared" si="8"/>
        <v>13600000</v>
      </c>
      <c r="F207" s="64">
        <f t="shared" si="8"/>
        <v>12900000</v>
      </c>
      <c r="G207" s="64">
        <f t="shared" si="8"/>
        <v>12900000</v>
      </c>
      <c r="H207" s="64">
        <f t="shared" si="8"/>
        <v>12900000</v>
      </c>
      <c r="S207" s="83" t="s">
        <v>573</v>
      </c>
      <c r="T207" s="83" t="s">
        <v>699</v>
      </c>
      <c r="U207" s="120">
        <v>12.5</v>
      </c>
      <c r="V207" s="120">
        <v>13.2</v>
      </c>
      <c r="W207" s="120">
        <v>14.3</v>
      </c>
      <c r="X207" s="120">
        <v>14.3</v>
      </c>
      <c r="Y207" s="120">
        <v>14.8</v>
      </c>
      <c r="Z207" s="120">
        <v>14.6</v>
      </c>
    </row>
    <row r="208" spans="1:26" ht="42" thickBot="1">
      <c r="A208" s="56" t="str">
        <v>Crossing, direct</v>
      </c>
      <c r="B208" s="25">
        <v>11</v>
      </c>
      <c r="C208" s="64">
        <f t="shared" si="9"/>
        <v>12500000</v>
      </c>
      <c r="D208" s="64">
        <f t="shared" si="8"/>
        <v>12700000</v>
      </c>
      <c r="E208" s="64">
        <f t="shared" si="8"/>
        <v>23900000</v>
      </c>
      <c r="F208" s="64">
        <f t="shared" si="8"/>
        <v>23900000</v>
      </c>
      <c r="G208" s="64">
        <f t="shared" si="8"/>
        <v>15300000</v>
      </c>
      <c r="H208" s="64">
        <f t="shared" si="8"/>
        <v>15900000</v>
      </c>
      <c r="S208" s="83" t="s">
        <v>469</v>
      </c>
      <c r="T208" s="83"/>
      <c r="U208" s="120">
        <v>12.8</v>
      </c>
      <c r="V208" s="120">
        <v>13</v>
      </c>
      <c r="W208" s="120">
        <v>15.6</v>
      </c>
      <c r="X208" s="120">
        <v>15.6</v>
      </c>
      <c r="Y208" s="120">
        <v>14.5</v>
      </c>
      <c r="Z208" s="120">
        <v>14.5</v>
      </c>
    </row>
    <row r="209" spans="1:26" ht="23.4" thickBot="1">
      <c r="A209" s="56" t="str">
        <v>Crossing, turning</v>
      </c>
      <c r="B209" s="25">
        <v>12</v>
      </c>
      <c r="C209" s="64">
        <f t="shared" si="9"/>
        <v>12500000</v>
      </c>
      <c r="D209" s="64">
        <f t="shared" si="8"/>
        <v>13200000</v>
      </c>
      <c r="E209" s="64">
        <f t="shared" si="8"/>
        <v>14300000</v>
      </c>
      <c r="F209" s="64">
        <f t="shared" si="8"/>
        <v>14300000</v>
      </c>
      <c r="G209" s="64">
        <f t="shared" si="8"/>
        <v>14800000</v>
      </c>
      <c r="H209" s="64">
        <f t="shared" si="8"/>
        <v>14600000</v>
      </c>
      <c r="S209" s="118"/>
      <c r="T209" s="118"/>
      <c r="U209" s="118"/>
      <c r="V209" s="118"/>
      <c r="W209" s="118"/>
      <c r="X209" s="118"/>
      <c r="Y209" s="118"/>
      <c r="Z209" s="118"/>
    </row>
    <row r="210" spans="1:26" ht="34.799999999999997" thickBot="1">
      <c r="A210" s="56" t="str">
        <v>All movements</v>
      </c>
      <c r="B210" s="25">
        <v>13</v>
      </c>
      <c r="C210" s="64">
        <f t="shared" si="9"/>
        <v>12800000</v>
      </c>
      <c r="D210" s="64">
        <f t="shared" si="8"/>
        <v>13000000</v>
      </c>
      <c r="E210" s="64">
        <f t="shared" si="8"/>
        <v>15600000</v>
      </c>
      <c r="F210" s="64">
        <f t="shared" si="8"/>
        <v>15600000</v>
      </c>
      <c r="G210" s="64">
        <f t="shared" si="8"/>
        <v>14500000</v>
      </c>
      <c r="H210" s="64">
        <f t="shared" si="8"/>
        <v>14500000</v>
      </c>
      <c r="S210" s="82" t="s">
        <v>885</v>
      </c>
      <c r="T210"/>
      <c r="U210"/>
      <c r="V210"/>
      <c r="W210"/>
      <c r="X210"/>
      <c r="Y210"/>
      <c r="Z210"/>
    </row>
    <row r="211" spans="1:26" ht="14.25" customHeight="1">
      <c r="A211" s="62"/>
      <c r="B211" s="25">
        <v>14</v>
      </c>
      <c r="S211" s="126" t="s">
        <v>886</v>
      </c>
      <c r="T211" s="126"/>
      <c r="U211" s="126" t="s">
        <v>700</v>
      </c>
      <c r="V211" s="126"/>
      <c r="W211" s="126"/>
      <c r="X211" s="126"/>
      <c r="Y211" s="126"/>
      <c r="Z211" s="126"/>
    </row>
    <row r="212" spans="1:26" ht="15" customHeight="1" thickBot="1">
      <c r="A212" s="59" t="s">
        <v>579</v>
      </c>
      <c r="B212" s="398" t="str">
        <f>S210</f>
        <v>Table A33: Cost per crash by movement and vehicle involvement for serious injury crashes in 80 to 110km/h speed limit areas</v>
      </c>
      <c r="S212" s="390" t="s">
        <v>702</v>
      </c>
      <c r="T212" s="390"/>
      <c r="U212" s="390"/>
      <c r="V212" s="390"/>
      <c r="W212" s="390"/>
      <c r="X212" s="390"/>
      <c r="Y212" s="390"/>
      <c r="Z212" s="390"/>
    </row>
    <row r="213" spans="1:26" ht="34.35" customHeight="1" thickBot="1">
      <c r="A213" s="617" t="str">
        <f>S211&amp;S212</f>
        <v>80 to 110km/h speed limit serious injury crashes</v>
      </c>
      <c r="B213" s="619"/>
      <c r="C213" s="617" t="s">
        <v>872</v>
      </c>
      <c r="D213" s="618"/>
      <c r="E213" s="618"/>
      <c r="F213" s="618"/>
      <c r="G213" s="618"/>
      <c r="H213" s="619"/>
      <c r="S213" s="119" t="s">
        <v>438</v>
      </c>
      <c r="T213" s="119" t="s">
        <v>511</v>
      </c>
      <c r="U213" s="119" t="s">
        <v>689</v>
      </c>
      <c r="V213" s="119" t="s">
        <v>690</v>
      </c>
      <c r="W213" s="119" t="s">
        <v>561</v>
      </c>
      <c r="X213" s="119" t="s">
        <v>562</v>
      </c>
      <c r="Y213" s="119" t="s">
        <v>691</v>
      </c>
      <c r="Z213" s="119" t="s">
        <v>441</v>
      </c>
    </row>
    <row r="214" spans="1:26" ht="35.4" thickBot="1">
      <c r="A214" s="57" t="str" cm="1">
        <f t="array" ref="A214:H214">S213:Z213</f>
        <v>Movement category</v>
      </c>
      <c r="B214" s="396" t="str">
        <v>CAS movement codes</v>
      </c>
      <c r="C214" s="396" t="str">
        <v>Cycle</v>
      </c>
      <c r="D214" s="396" t="str">
        <v>Motorcycle</v>
      </c>
      <c r="E214" s="396" t="str">
        <v>Bus</v>
      </c>
      <c r="F214" s="396" t="str">
        <v>Truck</v>
      </c>
      <c r="G214" s="396" t="str">
        <v>Car, van and other</v>
      </c>
      <c r="H214" s="396" t="str">
        <v>All vehicles</v>
      </c>
      <c r="S214" s="83" t="s">
        <v>563</v>
      </c>
      <c r="T214" s="83" t="s">
        <v>692</v>
      </c>
      <c r="U214" s="122">
        <v>720</v>
      </c>
      <c r="V214" s="122">
        <v>720</v>
      </c>
      <c r="W214" s="122">
        <v>1170</v>
      </c>
      <c r="X214" s="122">
        <v>810</v>
      </c>
      <c r="Y214" s="122">
        <v>1120</v>
      </c>
      <c r="Z214" s="122">
        <v>1070</v>
      </c>
    </row>
    <row r="215" spans="1:26" ht="14.4" thickBot="1">
      <c r="A215" s="56" t="str" cm="1">
        <f t="array" ref="A215:A227">S214:S226</f>
        <v>Head on</v>
      </c>
      <c r="B215" s="25">
        <v>1</v>
      </c>
      <c r="C215" s="64">
        <f>U214*1000</f>
        <v>720000</v>
      </c>
      <c r="D215" s="64">
        <f t="shared" ref="D215:H227" si="10">V214*1000</f>
        <v>720000</v>
      </c>
      <c r="E215" s="64">
        <f t="shared" si="10"/>
        <v>1170000</v>
      </c>
      <c r="F215" s="64">
        <f t="shared" si="10"/>
        <v>810000</v>
      </c>
      <c r="G215" s="64">
        <f t="shared" si="10"/>
        <v>1120000</v>
      </c>
      <c r="H215" s="64">
        <f t="shared" si="10"/>
        <v>1070000</v>
      </c>
      <c r="S215" s="83" t="s">
        <v>564</v>
      </c>
      <c r="T215" s="83" t="s">
        <v>478</v>
      </c>
      <c r="U215" s="122">
        <v>660</v>
      </c>
      <c r="V215" s="122">
        <v>660</v>
      </c>
      <c r="W215" s="122">
        <v>690</v>
      </c>
      <c r="X215" s="122">
        <v>690</v>
      </c>
      <c r="Y215" s="122">
        <v>740</v>
      </c>
      <c r="Z215" s="122">
        <v>730</v>
      </c>
    </row>
    <row r="216" spans="1:26" ht="42" thickBot="1">
      <c r="A216" s="56" t="str">
        <v>Hit object</v>
      </c>
      <c r="B216" s="25">
        <v>2</v>
      </c>
      <c r="C216" s="64">
        <f t="shared" ref="C216:C227" si="11">U215*1000</f>
        <v>660000</v>
      </c>
      <c r="D216" s="64">
        <f t="shared" si="10"/>
        <v>660000</v>
      </c>
      <c r="E216" s="64">
        <f t="shared" si="10"/>
        <v>690000</v>
      </c>
      <c r="F216" s="64">
        <f t="shared" si="10"/>
        <v>690000</v>
      </c>
      <c r="G216" s="64">
        <f t="shared" si="10"/>
        <v>740000</v>
      </c>
      <c r="H216" s="64">
        <f t="shared" si="10"/>
        <v>730000</v>
      </c>
      <c r="J216" s="63">
        <f ca="1">IF(I129=0,0,OFFSET(B214,$J$127,$M$127))</f>
        <v>0</v>
      </c>
      <c r="S216" s="83" t="s">
        <v>439</v>
      </c>
      <c r="T216" s="83" t="s">
        <v>693</v>
      </c>
      <c r="U216" s="122">
        <v>660</v>
      </c>
      <c r="V216" s="122">
        <v>680</v>
      </c>
      <c r="W216" s="122">
        <v>1370</v>
      </c>
      <c r="X216" s="122">
        <v>680</v>
      </c>
      <c r="Y216" s="122">
        <v>780</v>
      </c>
      <c r="Z216" s="122">
        <v>780</v>
      </c>
    </row>
    <row r="217" spans="1:26" ht="42" thickBot="1">
      <c r="A217" s="56" t="str">
        <v>Lost control off road</v>
      </c>
      <c r="B217" s="25">
        <v>3</v>
      </c>
      <c r="C217" s="64">
        <f t="shared" si="11"/>
        <v>660000</v>
      </c>
      <c r="D217" s="64">
        <f t="shared" si="10"/>
        <v>680000</v>
      </c>
      <c r="E217" s="64">
        <f t="shared" si="10"/>
        <v>1370000</v>
      </c>
      <c r="F217" s="64">
        <f t="shared" si="10"/>
        <v>680000</v>
      </c>
      <c r="G217" s="64">
        <f t="shared" si="10"/>
        <v>780000</v>
      </c>
      <c r="H217" s="64">
        <f t="shared" si="10"/>
        <v>780000</v>
      </c>
      <c r="S217" s="83" t="s">
        <v>565</v>
      </c>
      <c r="T217" s="83" t="s">
        <v>521</v>
      </c>
      <c r="U217" s="122">
        <v>720</v>
      </c>
      <c r="V217" s="122">
        <v>720</v>
      </c>
      <c r="W217" s="122">
        <v>830</v>
      </c>
      <c r="X217" s="122">
        <v>830</v>
      </c>
      <c r="Y217" s="122">
        <v>810</v>
      </c>
      <c r="Z217" s="122">
        <v>800</v>
      </c>
    </row>
    <row r="218" spans="1:26" ht="34.799999999999997" thickBot="1">
      <c r="A218" s="56" t="str">
        <v>Lost control on road</v>
      </c>
      <c r="B218" s="25">
        <v>4</v>
      </c>
      <c r="C218" s="64">
        <f t="shared" si="11"/>
        <v>720000</v>
      </c>
      <c r="D218" s="64">
        <f t="shared" si="10"/>
        <v>720000</v>
      </c>
      <c r="E218" s="64">
        <f t="shared" si="10"/>
        <v>830000</v>
      </c>
      <c r="F218" s="64">
        <f t="shared" si="10"/>
        <v>830000</v>
      </c>
      <c r="G218" s="64">
        <f t="shared" si="10"/>
        <v>810000</v>
      </c>
      <c r="H218" s="64">
        <f t="shared" si="10"/>
        <v>800000</v>
      </c>
      <c r="S218" s="83" t="s">
        <v>566</v>
      </c>
      <c r="T218" s="83" t="s">
        <v>523</v>
      </c>
      <c r="U218" s="122">
        <v>720</v>
      </c>
      <c r="V218" s="122">
        <v>720</v>
      </c>
      <c r="W218" s="122">
        <v>950</v>
      </c>
      <c r="X218" s="122">
        <v>820</v>
      </c>
      <c r="Y218" s="122">
        <v>840</v>
      </c>
      <c r="Z218" s="122">
        <v>830</v>
      </c>
    </row>
    <row r="219" spans="1:26" ht="42" thickBot="1">
      <c r="A219" s="56" t="str">
        <v>Miscellaneous</v>
      </c>
      <c r="B219" s="25">
        <v>5</v>
      </c>
      <c r="C219" s="64">
        <f t="shared" si="11"/>
        <v>720000</v>
      </c>
      <c r="D219" s="64">
        <f t="shared" si="10"/>
        <v>720000</v>
      </c>
      <c r="E219" s="64">
        <f t="shared" si="10"/>
        <v>950000</v>
      </c>
      <c r="F219" s="64">
        <f t="shared" si="10"/>
        <v>820000</v>
      </c>
      <c r="G219" s="64">
        <f t="shared" si="10"/>
        <v>840000</v>
      </c>
      <c r="H219" s="64">
        <f t="shared" si="10"/>
        <v>830000</v>
      </c>
      <c r="S219" s="83" t="s">
        <v>568</v>
      </c>
      <c r="T219" s="83" t="s">
        <v>694</v>
      </c>
      <c r="U219" s="122">
        <v>690</v>
      </c>
      <c r="V219" s="122">
        <v>690</v>
      </c>
      <c r="W219" s="122">
        <v>860</v>
      </c>
      <c r="X219" s="122">
        <v>860</v>
      </c>
      <c r="Y219" s="122">
        <v>860</v>
      </c>
      <c r="Z219" s="122">
        <v>840</v>
      </c>
    </row>
    <row r="220" spans="1:26" ht="28.2" thickBot="1">
      <c r="A220" s="56" t="str">
        <v>Overtaking</v>
      </c>
      <c r="B220" s="25">
        <v>6</v>
      </c>
      <c r="C220" s="64">
        <f t="shared" si="11"/>
        <v>690000</v>
      </c>
      <c r="D220" s="64">
        <f t="shared" si="10"/>
        <v>690000</v>
      </c>
      <c r="E220" s="64">
        <f t="shared" si="10"/>
        <v>860000</v>
      </c>
      <c r="F220" s="64">
        <f t="shared" si="10"/>
        <v>860000</v>
      </c>
      <c r="G220" s="64">
        <f t="shared" si="10"/>
        <v>860000</v>
      </c>
      <c r="H220" s="64">
        <f t="shared" si="10"/>
        <v>840000</v>
      </c>
      <c r="S220" s="83" t="s">
        <v>451</v>
      </c>
      <c r="T220" s="83" t="s">
        <v>695</v>
      </c>
      <c r="U220" s="122">
        <v>690</v>
      </c>
      <c r="V220" s="122">
        <v>820</v>
      </c>
      <c r="W220" s="122">
        <v>830</v>
      </c>
      <c r="X220" s="122">
        <v>750</v>
      </c>
      <c r="Y220" s="122">
        <v>710</v>
      </c>
      <c r="Z220" s="122">
        <v>720</v>
      </c>
    </row>
    <row r="221" spans="1:26" ht="28.2" thickBot="1">
      <c r="A221" s="56" t="str">
        <v>Pedestrian</v>
      </c>
      <c r="B221" s="25">
        <v>7</v>
      </c>
      <c r="C221" s="64">
        <f t="shared" si="11"/>
        <v>690000</v>
      </c>
      <c r="D221" s="64">
        <f t="shared" si="10"/>
        <v>820000</v>
      </c>
      <c r="E221" s="64">
        <f t="shared" si="10"/>
        <v>830000</v>
      </c>
      <c r="F221" s="64">
        <f t="shared" si="10"/>
        <v>750000</v>
      </c>
      <c r="G221" s="64">
        <f t="shared" si="10"/>
        <v>710000</v>
      </c>
      <c r="H221" s="64">
        <f t="shared" si="10"/>
        <v>720000</v>
      </c>
      <c r="S221" s="83" t="s">
        <v>569</v>
      </c>
      <c r="T221" s="83" t="s">
        <v>696</v>
      </c>
      <c r="U221" s="122">
        <v>680</v>
      </c>
      <c r="V221" s="122">
        <v>730</v>
      </c>
      <c r="W221" s="122">
        <v>920</v>
      </c>
      <c r="X221" s="122">
        <v>920</v>
      </c>
      <c r="Y221" s="122">
        <v>840</v>
      </c>
      <c r="Z221" s="122">
        <v>830</v>
      </c>
    </row>
    <row r="222" spans="1:26" ht="28.2" thickBot="1">
      <c r="A222" s="56" t="str">
        <v>Rear end, crossing</v>
      </c>
      <c r="B222" s="25">
        <v>8</v>
      </c>
      <c r="C222" s="64">
        <f t="shared" si="11"/>
        <v>680000</v>
      </c>
      <c r="D222" s="64">
        <f t="shared" si="10"/>
        <v>730000</v>
      </c>
      <c r="E222" s="64">
        <f t="shared" si="10"/>
        <v>920000</v>
      </c>
      <c r="F222" s="64">
        <f t="shared" si="10"/>
        <v>920000</v>
      </c>
      <c r="G222" s="64">
        <f t="shared" si="10"/>
        <v>840000</v>
      </c>
      <c r="H222" s="64">
        <f t="shared" si="10"/>
        <v>830000</v>
      </c>
      <c r="S222" s="83" t="s">
        <v>570</v>
      </c>
      <c r="T222" s="83" t="s">
        <v>697</v>
      </c>
      <c r="U222" s="122">
        <v>680</v>
      </c>
      <c r="V222" s="122">
        <v>680</v>
      </c>
      <c r="W222" s="122">
        <v>880</v>
      </c>
      <c r="X222" s="122">
        <v>740</v>
      </c>
      <c r="Y222" s="122">
        <v>840</v>
      </c>
      <c r="Z222" s="122">
        <v>820</v>
      </c>
    </row>
    <row r="223" spans="1:26" ht="42" thickBot="1">
      <c r="A223" s="56" t="str">
        <v>Rear end, queuing</v>
      </c>
      <c r="B223" s="25">
        <v>9</v>
      </c>
      <c r="C223" s="64">
        <f t="shared" si="11"/>
        <v>680000</v>
      </c>
      <c r="D223" s="64">
        <f t="shared" si="10"/>
        <v>680000</v>
      </c>
      <c r="E223" s="64">
        <f t="shared" si="10"/>
        <v>880000</v>
      </c>
      <c r="F223" s="64">
        <f t="shared" si="10"/>
        <v>740000</v>
      </c>
      <c r="G223" s="64">
        <f t="shared" si="10"/>
        <v>840000</v>
      </c>
      <c r="H223" s="64">
        <f t="shared" si="10"/>
        <v>820000</v>
      </c>
      <c r="S223" s="83" t="s">
        <v>571</v>
      </c>
      <c r="T223" s="83" t="s">
        <v>698</v>
      </c>
      <c r="U223" s="122">
        <v>670</v>
      </c>
      <c r="V223" s="122">
        <v>810</v>
      </c>
      <c r="W223" s="122">
        <v>1300</v>
      </c>
      <c r="X223" s="122">
        <v>690</v>
      </c>
      <c r="Y223" s="122">
        <v>810</v>
      </c>
      <c r="Z223" s="122">
        <v>800</v>
      </c>
    </row>
    <row r="224" spans="1:26" ht="34.799999999999997" thickBot="1">
      <c r="A224" s="56" t="str">
        <v>Rear end, slow vehicle</v>
      </c>
      <c r="B224" s="25">
        <v>10</v>
      </c>
      <c r="C224" s="64">
        <f t="shared" si="11"/>
        <v>670000</v>
      </c>
      <c r="D224" s="64">
        <f t="shared" si="10"/>
        <v>810000</v>
      </c>
      <c r="E224" s="64">
        <f t="shared" si="10"/>
        <v>1300000</v>
      </c>
      <c r="F224" s="64">
        <f t="shared" si="10"/>
        <v>690000</v>
      </c>
      <c r="G224" s="64">
        <f t="shared" si="10"/>
        <v>810000</v>
      </c>
      <c r="H224" s="64">
        <f t="shared" si="10"/>
        <v>800000</v>
      </c>
      <c r="S224" s="83" t="s">
        <v>572</v>
      </c>
      <c r="T224" s="83" t="s">
        <v>554</v>
      </c>
      <c r="U224" s="122">
        <v>670</v>
      </c>
      <c r="V224" s="122">
        <v>670</v>
      </c>
      <c r="W224" s="122">
        <v>1220</v>
      </c>
      <c r="X224" s="122">
        <v>1220</v>
      </c>
      <c r="Y224" s="122">
        <v>880</v>
      </c>
      <c r="Z224" s="122">
        <v>890</v>
      </c>
    </row>
    <row r="225" spans="1:26" ht="28.2" thickBot="1">
      <c r="A225" s="56" t="str">
        <v>Crossing, direct</v>
      </c>
      <c r="B225" s="25">
        <v>11</v>
      </c>
      <c r="C225" s="64">
        <f t="shared" si="11"/>
        <v>670000</v>
      </c>
      <c r="D225" s="64">
        <f t="shared" si="10"/>
        <v>670000</v>
      </c>
      <c r="E225" s="64">
        <f t="shared" si="10"/>
        <v>1220000</v>
      </c>
      <c r="F225" s="64">
        <f t="shared" si="10"/>
        <v>1220000</v>
      </c>
      <c r="G225" s="64">
        <f t="shared" si="10"/>
        <v>880000</v>
      </c>
      <c r="H225" s="64">
        <f t="shared" si="10"/>
        <v>890000</v>
      </c>
      <c r="S225" s="83" t="s">
        <v>573</v>
      </c>
      <c r="T225" s="83" t="s">
        <v>699</v>
      </c>
      <c r="U225" s="122">
        <v>700</v>
      </c>
      <c r="V225" s="122">
        <v>700</v>
      </c>
      <c r="W225" s="122">
        <v>930</v>
      </c>
      <c r="X225" s="122">
        <v>830</v>
      </c>
      <c r="Y225" s="122">
        <v>910</v>
      </c>
      <c r="Z225" s="122">
        <v>890</v>
      </c>
    </row>
    <row r="226" spans="1:26" ht="42" thickBot="1">
      <c r="A226" s="56" t="str">
        <v>Crossing, turning</v>
      </c>
      <c r="B226" s="25">
        <v>12</v>
      </c>
      <c r="C226" s="64">
        <f t="shared" si="11"/>
        <v>700000</v>
      </c>
      <c r="D226" s="64">
        <f t="shared" si="10"/>
        <v>700000</v>
      </c>
      <c r="E226" s="64">
        <f t="shared" si="10"/>
        <v>930000</v>
      </c>
      <c r="F226" s="64">
        <f t="shared" si="10"/>
        <v>830000</v>
      </c>
      <c r="G226" s="64">
        <f t="shared" si="10"/>
        <v>910000</v>
      </c>
      <c r="H226" s="64">
        <f t="shared" si="10"/>
        <v>890000</v>
      </c>
      <c r="S226" s="83" t="s">
        <v>469</v>
      </c>
      <c r="T226" s="83"/>
      <c r="U226" s="122">
        <v>720</v>
      </c>
      <c r="V226" s="122">
        <v>720</v>
      </c>
      <c r="W226" s="122">
        <v>950</v>
      </c>
      <c r="X226" s="122">
        <v>820</v>
      </c>
      <c r="Y226" s="122">
        <v>840</v>
      </c>
      <c r="Z226" s="122">
        <v>830</v>
      </c>
    </row>
    <row r="227" spans="1:26" ht="34.799999999999997" thickBot="1">
      <c r="A227" s="56" t="str">
        <v>All movements</v>
      </c>
      <c r="B227" s="25">
        <v>13</v>
      </c>
      <c r="C227" s="64">
        <f t="shared" si="11"/>
        <v>720000</v>
      </c>
      <c r="D227" s="64">
        <f t="shared" si="10"/>
        <v>720000</v>
      </c>
      <c r="E227" s="64">
        <f t="shared" si="10"/>
        <v>950000</v>
      </c>
      <c r="F227" s="64">
        <f t="shared" si="10"/>
        <v>820000</v>
      </c>
      <c r="G227" s="64">
        <f t="shared" si="10"/>
        <v>840000</v>
      </c>
      <c r="H227" s="64">
        <f t="shared" si="10"/>
        <v>830000</v>
      </c>
      <c r="S227" s="118"/>
      <c r="T227" s="118"/>
      <c r="U227" s="118"/>
      <c r="V227" s="118"/>
      <c r="W227" s="118"/>
      <c r="X227" s="118"/>
      <c r="Y227" s="118"/>
      <c r="Z227" s="118"/>
    </row>
    <row r="228" spans="1:26" ht="19.8">
      <c r="A228" s="60"/>
      <c r="B228" s="25">
        <v>14</v>
      </c>
      <c r="S228" s="82" t="s">
        <v>887</v>
      </c>
      <c r="T228"/>
      <c r="U228"/>
      <c r="V228"/>
      <c r="W228"/>
      <c r="X228"/>
      <c r="Y228"/>
      <c r="Z228"/>
    </row>
    <row r="229" spans="1:26" ht="19.5" customHeight="1">
      <c r="A229" s="60" t="s">
        <v>509</v>
      </c>
      <c r="B229" s="60"/>
      <c r="S229" s="389" t="s">
        <v>886</v>
      </c>
      <c r="T229" s="389"/>
      <c r="U229" s="389" t="s">
        <v>700</v>
      </c>
      <c r="V229" s="389"/>
      <c r="W229" s="389"/>
      <c r="X229" s="389"/>
      <c r="Y229" s="389"/>
      <c r="Z229" s="389"/>
    </row>
    <row r="230" spans="1:26" ht="15" customHeight="1" thickBot="1">
      <c r="A230" s="59" t="s">
        <v>580</v>
      </c>
      <c r="B230" s="398" t="str">
        <f>S228</f>
        <v>Table A34: Cost per crash by movement and vehicle involvement for minor injury crashes in 80 to 110km/h speed limit areas</v>
      </c>
      <c r="S230" s="390" t="s">
        <v>701</v>
      </c>
      <c r="T230" s="390"/>
      <c r="U230" s="390"/>
      <c r="V230" s="390"/>
      <c r="W230" s="390"/>
      <c r="X230" s="390"/>
      <c r="Y230" s="390"/>
      <c r="Z230" s="390"/>
    </row>
    <row r="231" spans="1:26" ht="34.35" customHeight="1" thickBot="1">
      <c r="A231" s="617" t="str">
        <f>S229&amp;S230</f>
        <v>80 to 110km/h speed limit minor injury crashes</v>
      </c>
      <c r="B231" s="619"/>
      <c r="C231" s="617" t="s">
        <v>872</v>
      </c>
      <c r="D231" s="618"/>
      <c r="E231" s="618"/>
      <c r="F231" s="618"/>
      <c r="G231" s="618"/>
      <c r="H231" s="619"/>
      <c r="S231" s="119" t="s">
        <v>438</v>
      </c>
      <c r="T231" s="119" t="s">
        <v>511</v>
      </c>
      <c r="U231" s="119" t="s">
        <v>689</v>
      </c>
      <c r="V231" s="119" t="s">
        <v>690</v>
      </c>
      <c r="W231" s="119" t="s">
        <v>561</v>
      </c>
      <c r="X231" s="119" t="s">
        <v>562</v>
      </c>
      <c r="Y231" s="119" t="s">
        <v>691</v>
      </c>
      <c r="Z231" s="119" t="s">
        <v>441</v>
      </c>
    </row>
    <row r="232" spans="1:26" ht="35.4" thickBot="1">
      <c r="A232" s="392" t="str" cm="1">
        <f t="array" ref="A232:H232">S231:Z231</f>
        <v>Movement category</v>
      </c>
      <c r="B232" s="396" t="str">
        <v>CAS movement codes</v>
      </c>
      <c r="C232" s="396" t="str">
        <v>Cycle</v>
      </c>
      <c r="D232" s="396" t="str">
        <v>Motorcycle</v>
      </c>
      <c r="E232" s="396" t="str">
        <v>Bus</v>
      </c>
      <c r="F232" s="396" t="str">
        <v>Truck</v>
      </c>
      <c r="G232" s="396" t="str">
        <v>Car, van and other</v>
      </c>
      <c r="H232" s="396" t="str">
        <v>All vehicles</v>
      </c>
      <c r="S232" s="83" t="s">
        <v>563</v>
      </c>
      <c r="T232" s="83" t="s">
        <v>692</v>
      </c>
      <c r="U232" s="122">
        <v>72</v>
      </c>
      <c r="V232" s="122">
        <v>77</v>
      </c>
      <c r="W232" s="122">
        <v>118</v>
      </c>
      <c r="X232" s="122">
        <v>92</v>
      </c>
      <c r="Y232" s="122">
        <v>112</v>
      </c>
      <c r="Z232" s="122">
        <v>108</v>
      </c>
    </row>
    <row r="233" spans="1:26" ht="14.4" thickBot="1">
      <c r="A233" s="56" t="str" cm="1">
        <f t="array" ref="A233:A245">S232:S244</f>
        <v>Head on</v>
      </c>
      <c r="B233" s="25">
        <v>1</v>
      </c>
      <c r="C233" s="64">
        <f>U232*1000</f>
        <v>72000</v>
      </c>
      <c r="D233" s="64">
        <f t="shared" ref="D233:H245" si="12">V232*1000</f>
        <v>77000</v>
      </c>
      <c r="E233" s="64">
        <f t="shared" si="12"/>
        <v>118000</v>
      </c>
      <c r="F233" s="64">
        <f t="shared" si="12"/>
        <v>92000</v>
      </c>
      <c r="G233" s="64">
        <f t="shared" si="12"/>
        <v>112000</v>
      </c>
      <c r="H233" s="64">
        <f t="shared" si="12"/>
        <v>108000</v>
      </c>
      <c r="S233" s="83" t="s">
        <v>564</v>
      </c>
      <c r="T233" s="83" t="s">
        <v>478</v>
      </c>
      <c r="U233" s="122">
        <v>76</v>
      </c>
      <c r="V233" s="122">
        <v>76</v>
      </c>
      <c r="W233" s="122">
        <v>99</v>
      </c>
      <c r="X233" s="122">
        <v>78</v>
      </c>
      <c r="Y233" s="122">
        <v>81</v>
      </c>
      <c r="Z233" s="122">
        <v>81</v>
      </c>
    </row>
    <row r="234" spans="1:26" ht="42" thickBot="1">
      <c r="A234" s="56" t="str">
        <v>Hit object</v>
      </c>
      <c r="B234" s="25">
        <v>2</v>
      </c>
      <c r="C234" s="64">
        <f t="shared" ref="C234:C245" si="13">U233*1000</f>
        <v>76000</v>
      </c>
      <c r="D234" s="64">
        <f t="shared" si="12"/>
        <v>76000</v>
      </c>
      <c r="E234" s="64">
        <f t="shared" si="12"/>
        <v>99000</v>
      </c>
      <c r="F234" s="64">
        <f t="shared" si="12"/>
        <v>78000</v>
      </c>
      <c r="G234" s="64">
        <f t="shared" si="12"/>
        <v>81000</v>
      </c>
      <c r="H234" s="64">
        <f t="shared" si="12"/>
        <v>81000</v>
      </c>
      <c r="J234" s="63">
        <f ca="1">IF(I129=0,0,OFFSET(B232,$J$127,$M$127))</f>
        <v>0</v>
      </c>
      <c r="S234" s="83" t="s">
        <v>439</v>
      </c>
      <c r="T234" s="83" t="s">
        <v>693</v>
      </c>
      <c r="U234" s="122">
        <v>72</v>
      </c>
      <c r="V234" s="122">
        <v>72</v>
      </c>
      <c r="W234" s="122">
        <v>130</v>
      </c>
      <c r="X234" s="122">
        <v>73</v>
      </c>
      <c r="Y234" s="122">
        <v>80</v>
      </c>
      <c r="Z234" s="122">
        <v>80</v>
      </c>
    </row>
    <row r="235" spans="1:26" ht="42" thickBot="1">
      <c r="A235" s="56" t="str">
        <v>Lost control off road</v>
      </c>
      <c r="B235" s="25">
        <v>3</v>
      </c>
      <c r="C235" s="64">
        <f t="shared" si="13"/>
        <v>72000</v>
      </c>
      <c r="D235" s="64">
        <f t="shared" si="12"/>
        <v>72000</v>
      </c>
      <c r="E235" s="64">
        <f t="shared" si="12"/>
        <v>130000</v>
      </c>
      <c r="F235" s="64">
        <f t="shared" si="12"/>
        <v>73000</v>
      </c>
      <c r="G235" s="64">
        <f t="shared" si="12"/>
        <v>80000</v>
      </c>
      <c r="H235" s="64">
        <f t="shared" si="12"/>
        <v>80000</v>
      </c>
      <c r="S235" s="83" t="s">
        <v>565</v>
      </c>
      <c r="T235" s="83" t="s">
        <v>521</v>
      </c>
      <c r="U235" s="122">
        <v>74</v>
      </c>
      <c r="V235" s="122">
        <v>74</v>
      </c>
      <c r="W235" s="122">
        <v>79</v>
      </c>
      <c r="X235" s="122">
        <v>78</v>
      </c>
      <c r="Y235" s="122">
        <v>86</v>
      </c>
      <c r="Z235" s="122">
        <v>84</v>
      </c>
    </row>
    <row r="236" spans="1:26" ht="34.799999999999997" thickBot="1">
      <c r="A236" s="56" t="str">
        <v>Lost control on road</v>
      </c>
      <c r="B236" s="25">
        <v>4</v>
      </c>
      <c r="C236" s="64">
        <f t="shared" si="13"/>
        <v>74000</v>
      </c>
      <c r="D236" s="64">
        <f t="shared" si="12"/>
        <v>74000</v>
      </c>
      <c r="E236" s="64">
        <f t="shared" si="12"/>
        <v>79000</v>
      </c>
      <c r="F236" s="64">
        <f t="shared" si="12"/>
        <v>78000</v>
      </c>
      <c r="G236" s="64">
        <f t="shared" si="12"/>
        <v>86000</v>
      </c>
      <c r="H236" s="64">
        <f t="shared" si="12"/>
        <v>84000</v>
      </c>
      <c r="S236" s="83" t="s">
        <v>566</v>
      </c>
      <c r="T236" s="83" t="s">
        <v>523</v>
      </c>
      <c r="U236" s="122">
        <v>76</v>
      </c>
      <c r="V236" s="122">
        <v>77</v>
      </c>
      <c r="W236" s="122">
        <v>103</v>
      </c>
      <c r="X236" s="122">
        <v>84</v>
      </c>
      <c r="Y236" s="122">
        <v>92</v>
      </c>
      <c r="Z236" s="122">
        <v>90</v>
      </c>
    </row>
    <row r="237" spans="1:26" ht="42" thickBot="1">
      <c r="A237" s="56" t="str">
        <v>Miscellaneous</v>
      </c>
      <c r="B237" s="25">
        <v>5</v>
      </c>
      <c r="C237" s="64">
        <f t="shared" si="13"/>
        <v>76000</v>
      </c>
      <c r="D237" s="64">
        <f t="shared" si="12"/>
        <v>77000</v>
      </c>
      <c r="E237" s="64">
        <f t="shared" si="12"/>
        <v>103000</v>
      </c>
      <c r="F237" s="64">
        <f t="shared" si="12"/>
        <v>84000</v>
      </c>
      <c r="G237" s="64">
        <f t="shared" si="12"/>
        <v>92000</v>
      </c>
      <c r="H237" s="64">
        <f t="shared" si="12"/>
        <v>90000</v>
      </c>
      <c r="S237" s="83" t="s">
        <v>568</v>
      </c>
      <c r="T237" s="83" t="s">
        <v>694</v>
      </c>
      <c r="U237" s="122">
        <v>72</v>
      </c>
      <c r="V237" s="122">
        <v>72</v>
      </c>
      <c r="W237" s="122">
        <v>87</v>
      </c>
      <c r="X237" s="122">
        <v>80</v>
      </c>
      <c r="Y237" s="122">
        <v>93</v>
      </c>
      <c r="Z237" s="122">
        <v>90</v>
      </c>
    </row>
    <row r="238" spans="1:26" ht="28.2" thickBot="1">
      <c r="A238" s="56" t="str">
        <v>Overtaking</v>
      </c>
      <c r="B238" s="25">
        <v>6</v>
      </c>
      <c r="C238" s="64">
        <f t="shared" si="13"/>
        <v>72000</v>
      </c>
      <c r="D238" s="64">
        <f t="shared" si="12"/>
        <v>72000</v>
      </c>
      <c r="E238" s="64">
        <f t="shared" si="12"/>
        <v>87000</v>
      </c>
      <c r="F238" s="64">
        <f t="shared" si="12"/>
        <v>80000</v>
      </c>
      <c r="G238" s="64">
        <f t="shared" si="12"/>
        <v>93000</v>
      </c>
      <c r="H238" s="64">
        <f t="shared" si="12"/>
        <v>90000</v>
      </c>
      <c r="S238" s="83" t="s">
        <v>451</v>
      </c>
      <c r="T238" s="83" t="s">
        <v>695</v>
      </c>
      <c r="U238" s="122">
        <v>78</v>
      </c>
      <c r="V238" s="122">
        <v>87</v>
      </c>
      <c r="W238" s="122">
        <v>68</v>
      </c>
      <c r="X238" s="122">
        <v>60</v>
      </c>
      <c r="Y238" s="122">
        <v>75</v>
      </c>
      <c r="Z238" s="122">
        <v>74</v>
      </c>
    </row>
    <row r="239" spans="1:26" ht="28.2" thickBot="1">
      <c r="A239" s="56" t="str">
        <v>Pedestrian</v>
      </c>
      <c r="B239" s="25">
        <v>7</v>
      </c>
      <c r="C239" s="64">
        <f t="shared" si="13"/>
        <v>78000</v>
      </c>
      <c r="D239" s="64">
        <f t="shared" si="12"/>
        <v>87000</v>
      </c>
      <c r="E239" s="64">
        <f t="shared" si="12"/>
        <v>68000</v>
      </c>
      <c r="F239" s="64">
        <f t="shared" si="12"/>
        <v>60000</v>
      </c>
      <c r="G239" s="64">
        <f t="shared" si="12"/>
        <v>75000</v>
      </c>
      <c r="H239" s="64">
        <f t="shared" si="12"/>
        <v>74000</v>
      </c>
      <c r="S239" s="83" t="s">
        <v>569</v>
      </c>
      <c r="T239" s="83" t="s">
        <v>696</v>
      </c>
      <c r="U239" s="122">
        <v>75</v>
      </c>
      <c r="V239" s="122">
        <v>77</v>
      </c>
      <c r="W239" s="122">
        <v>92</v>
      </c>
      <c r="X239" s="122">
        <v>86</v>
      </c>
      <c r="Y239" s="122">
        <v>97</v>
      </c>
      <c r="Z239" s="122">
        <v>95</v>
      </c>
    </row>
    <row r="240" spans="1:26" ht="28.2" thickBot="1">
      <c r="A240" s="56" t="str">
        <v>Rear end, crossing</v>
      </c>
      <c r="B240" s="25">
        <v>8</v>
      </c>
      <c r="C240" s="64">
        <f t="shared" si="13"/>
        <v>75000</v>
      </c>
      <c r="D240" s="64">
        <f t="shared" si="12"/>
        <v>77000</v>
      </c>
      <c r="E240" s="64">
        <f t="shared" si="12"/>
        <v>92000</v>
      </c>
      <c r="F240" s="64">
        <f t="shared" si="12"/>
        <v>86000</v>
      </c>
      <c r="G240" s="64">
        <f t="shared" si="12"/>
        <v>97000</v>
      </c>
      <c r="H240" s="64">
        <f t="shared" si="12"/>
        <v>95000</v>
      </c>
      <c r="S240" s="83" t="s">
        <v>570</v>
      </c>
      <c r="T240" s="83" t="s">
        <v>697</v>
      </c>
      <c r="U240" s="122">
        <v>80</v>
      </c>
      <c r="V240" s="122">
        <v>80</v>
      </c>
      <c r="W240" s="122">
        <v>112</v>
      </c>
      <c r="X240" s="122">
        <v>94</v>
      </c>
      <c r="Y240" s="122">
        <v>91</v>
      </c>
      <c r="Z240" s="122">
        <v>91</v>
      </c>
    </row>
    <row r="241" spans="1:26" ht="42" thickBot="1">
      <c r="A241" s="56" t="str">
        <v>Rear end, queuing</v>
      </c>
      <c r="B241" s="25">
        <v>9</v>
      </c>
      <c r="C241" s="64">
        <f t="shared" si="13"/>
        <v>80000</v>
      </c>
      <c r="D241" s="64">
        <f t="shared" si="12"/>
        <v>80000</v>
      </c>
      <c r="E241" s="64">
        <f t="shared" si="12"/>
        <v>112000</v>
      </c>
      <c r="F241" s="64">
        <f t="shared" si="12"/>
        <v>94000</v>
      </c>
      <c r="G241" s="64">
        <f t="shared" si="12"/>
        <v>91000</v>
      </c>
      <c r="H241" s="64">
        <f t="shared" si="12"/>
        <v>91000</v>
      </c>
      <c r="S241" s="83" t="s">
        <v>571</v>
      </c>
      <c r="T241" s="83" t="s">
        <v>698</v>
      </c>
      <c r="U241" s="122">
        <v>73</v>
      </c>
      <c r="V241" s="122">
        <v>81</v>
      </c>
      <c r="W241" s="122">
        <v>124</v>
      </c>
      <c r="X241" s="122">
        <v>81</v>
      </c>
      <c r="Y241" s="122">
        <v>94</v>
      </c>
      <c r="Z241" s="122">
        <v>92</v>
      </c>
    </row>
    <row r="242" spans="1:26" ht="34.799999999999997" thickBot="1">
      <c r="A242" s="56" t="str">
        <v>Rear end, slow vehicle</v>
      </c>
      <c r="B242" s="25">
        <v>10</v>
      </c>
      <c r="C242" s="64">
        <f t="shared" si="13"/>
        <v>73000</v>
      </c>
      <c r="D242" s="64">
        <f t="shared" si="12"/>
        <v>81000</v>
      </c>
      <c r="E242" s="64">
        <f t="shared" si="12"/>
        <v>124000</v>
      </c>
      <c r="F242" s="64">
        <f t="shared" si="12"/>
        <v>81000</v>
      </c>
      <c r="G242" s="64">
        <f t="shared" si="12"/>
        <v>94000</v>
      </c>
      <c r="H242" s="64">
        <f t="shared" si="12"/>
        <v>92000</v>
      </c>
      <c r="S242" s="83" t="s">
        <v>572</v>
      </c>
      <c r="T242" s="83" t="s">
        <v>554</v>
      </c>
      <c r="U242" s="122">
        <v>73</v>
      </c>
      <c r="V242" s="122">
        <v>76</v>
      </c>
      <c r="W242" s="122">
        <v>112</v>
      </c>
      <c r="X242" s="122">
        <v>112</v>
      </c>
      <c r="Y242" s="122">
        <v>106</v>
      </c>
      <c r="Z242" s="122">
        <v>104</v>
      </c>
    </row>
    <row r="243" spans="1:26" ht="28.2" thickBot="1">
      <c r="A243" s="56" t="str">
        <v>Crossing, direct</v>
      </c>
      <c r="B243" s="25">
        <v>11</v>
      </c>
      <c r="C243" s="64">
        <f t="shared" si="13"/>
        <v>73000</v>
      </c>
      <c r="D243" s="64">
        <f t="shared" si="12"/>
        <v>76000</v>
      </c>
      <c r="E243" s="64">
        <f t="shared" si="12"/>
        <v>112000</v>
      </c>
      <c r="F243" s="64">
        <f t="shared" si="12"/>
        <v>112000</v>
      </c>
      <c r="G243" s="64">
        <f t="shared" si="12"/>
        <v>106000</v>
      </c>
      <c r="H243" s="64">
        <f t="shared" si="12"/>
        <v>104000</v>
      </c>
      <c r="S243" s="83" t="s">
        <v>573</v>
      </c>
      <c r="T243" s="83" t="s">
        <v>699</v>
      </c>
      <c r="U243" s="122">
        <v>71</v>
      </c>
      <c r="V243" s="122">
        <v>71</v>
      </c>
      <c r="W243" s="122">
        <v>125</v>
      </c>
      <c r="X243" s="122">
        <v>88</v>
      </c>
      <c r="Y243" s="122">
        <v>103</v>
      </c>
      <c r="Z243" s="122">
        <v>100</v>
      </c>
    </row>
    <row r="244" spans="1:26" ht="42" thickBot="1">
      <c r="A244" s="56" t="str">
        <v>Crossing, turning</v>
      </c>
      <c r="B244" s="25">
        <v>12</v>
      </c>
      <c r="C244" s="64">
        <f t="shared" si="13"/>
        <v>71000</v>
      </c>
      <c r="D244" s="64">
        <f t="shared" si="12"/>
        <v>71000</v>
      </c>
      <c r="E244" s="64">
        <f t="shared" si="12"/>
        <v>125000</v>
      </c>
      <c r="F244" s="64">
        <f t="shared" si="12"/>
        <v>88000</v>
      </c>
      <c r="G244" s="64">
        <f t="shared" si="12"/>
        <v>103000</v>
      </c>
      <c r="H244" s="64">
        <f t="shared" si="12"/>
        <v>100000</v>
      </c>
      <c r="S244" s="83" t="s">
        <v>469</v>
      </c>
      <c r="T244" s="83"/>
      <c r="U244" s="122">
        <v>76</v>
      </c>
      <c r="V244" s="122">
        <v>77</v>
      </c>
      <c r="W244" s="122">
        <v>103</v>
      </c>
      <c r="X244" s="122">
        <v>84</v>
      </c>
      <c r="Y244" s="122">
        <v>92</v>
      </c>
      <c r="Z244" s="122">
        <v>90</v>
      </c>
    </row>
    <row r="245" spans="1:26" ht="34.799999999999997" thickBot="1">
      <c r="A245" s="56" t="str">
        <v>All movements</v>
      </c>
      <c r="B245" s="25">
        <v>13</v>
      </c>
      <c r="C245" s="64">
        <f t="shared" si="13"/>
        <v>76000</v>
      </c>
      <c r="D245" s="64">
        <f t="shared" si="12"/>
        <v>77000</v>
      </c>
      <c r="E245" s="64">
        <f t="shared" si="12"/>
        <v>103000</v>
      </c>
      <c r="F245" s="64">
        <f t="shared" si="12"/>
        <v>84000</v>
      </c>
      <c r="G245" s="64">
        <f t="shared" si="12"/>
        <v>92000</v>
      </c>
      <c r="H245" s="64">
        <f t="shared" si="12"/>
        <v>90000</v>
      </c>
      <c r="S245" s="118"/>
      <c r="T245" s="118"/>
      <c r="U245" s="118"/>
      <c r="V245" s="118"/>
      <c r="W245" s="118"/>
      <c r="X245" s="118"/>
      <c r="Y245" s="118"/>
      <c r="Z245" s="118"/>
    </row>
    <row r="246" spans="1:26" ht="16.2" thickBot="1">
      <c r="A246" s="62"/>
      <c r="B246" s="25">
        <v>14</v>
      </c>
      <c r="S246" s="82" t="s">
        <v>888</v>
      </c>
      <c r="T246"/>
      <c r="U246"/>
      <c r="V246"/>
      <c r="W246"/>
      <c r="X246"/>
      <c r="Y246"/>
      <c r="Z246"/>
    </row>
    <row r="247" spans="1:26" ht="15" customHeight="1" thickBot="1">
      <c r="A247" s="59" t="s">
        <v>581</v>
      </c>
      <c r="B247" s="398" t="str">
        <f>S246</f>
        <v xml:space="preserve">Table A35: Cost per crash by movement and vehicle involvement for non-injury crashes in 80 to 110km/h speed limit areas </v>
      </c>
      <c r="S247" s="127" t="s">
        <v>886</v>
      </c>
      <c r="T247" s="126"/>
      <c r="U247" s="126" t="s">
        <v>700</v>
      </c>
      <c r="V247" s="126"/>
      <c r="W247" s="126"/>
      <c r="X247" s="126"/>
      <c r="Y247" s="126"/>
      <c r="Z247" s="126"/>
    </row>
    <row r="248" spans="1:26" ht="34.35" customHeight="1" thickBot="1">
      <c r="A248" s="617" t="str">
        <f>S247&amp;S248</f>
        <v>80 to 110km/h speed limit non-injury crashes</v>
      </c>
      <c r="B248" s="619"/>
      <c r="C248" s="617" t="s">
        <v>872</v>
      </c>
      <c r="D248" s="618"/>
      <c r="E248" s="618"/>
      <c r="F248" s="618"/>
      <c r="G248" s="618"/>
      <c r="H248" s="619"/>
      <c r="S248" s="128" t="s">
        <v>703</v>
      </c>
      <c r="T248" s="390"/>
      <c r="U248" s="390"/>
      <c r="V248" s="390"/>
      <c r="W248" s="390"/>
      <c r="X248" s="390"/>
      <c r="Y248" s="390"/>
      <c r="Z248" s="390"/>
    </row>
    <row r="249" spans="1:26" ht="42" thickBot="1">
      <c r="A249" s="392" t="str" cm="1">
        <f t="array" ref="A249:H249">S249:Z249</f>
        <v>Movement category</v>
      </c>
      <c r="B249" s="396" t="str">
        <v>CAS movement codes</v>
      </c>
      <c r="C249" s="396" t="str">
        <v>Cycle</v>
      </c>
      <c r="D249" s="396" t="str">
        <v>Motorcycle</v>
      </c>
      <c r="E249" s="396" t="str">
        <v>Bus</v>
      </c>
      <c r="F249" s="396" t="str">
        <v>Truck</v>
      </c>
      <c r="G249" s="396" t="str">
        <v>Car, van and other</v>
      </c>
      <c r="H249" s="396" t="str">
        <v>All vehicles</v>
      </c>
      <c r="S249" s="125" t="s">
        <v>438</v>
      </c>
      <c r="T249" s="119" t="s">
        <v>511</v>
      </c>
      <c r="U249" s="119" t="s">
        <v>689</v>
      </c>
      <c r="V249" s="119" t="s">
        <v>690</v>
      </c>
      <c r="W249" s="119" t="s">
        <v>561</v>
      </c>
      <c r="X249" s="119" t="s">
        <v>562</v>
      </c>
      <c r="Y249" s="119" t="s">
        <v>691</v>
      </c>
      <c r="Z249" s="119" t="s">
        <v>441</v>
      </c>
    </row>
    <row r="250" spans="1:26" ht="14.4" thickBot="1">
      <c r="A250" s="56" t="str" cm="1">
        <f t="array" ref="A250:A262">S250:S262</f>
        <v>Head on</v>
      </c>
      <c r="B250" s="25">
        <v>1</v>
      </c>
      <c r="C250" s="64">
        <f>U250*1000</f>
        <v>2000</v>
      </c>
      <c r="D250" s="64">
        <f t="shared" ref="D250:H262" si="14">V250*1000</f>
        <v>2000</v>
      </c>
      <c r="E250" s="64">
        <f t="shared" si="14"/>
        <v>11000</v>
      </c>
      <c r="F250" s="64">
        <f t="shared" si="14"/>
        <v>11000</v>
      </c>
      <c r="G250" s="64">
        <f t="shared" si="14"/>
        <v>4000</v>
      </c>
      <c r="H250" s="64">
        <f t="shared" si="14"/>
        <v>5000</v>
      </c>
      <c r="S250" s="83" t="s">
        <v>563</v>
      </c>
      <c r="T250" s="83" t="s">
        <v>692</v>
      </c>
      <c r="U250" s="124">
        <v>2</v>
      </c>
      <c r="V250" s="124">
        <v>2</v>
      </c>
      <c r="W250" s="124">
        <v>11</v>
      </c>
      <c r="X250" s="124">
        <v>11</v>
      </c>
      <c r="Y250" s="124">
        <v>4</v>
      </c>
      <c r="Z250" s="124">
        <v>5</v>
      </c>
    </row>
    <row r="251" spans="1:26" ht="14.4" thickBot="1">
      <c r="A251" s="56" t="str">
        <v>Hit object</v>
      </c>
      <c r="B251" s="25">
        <v>2</v>
      </c>
      <c r="C251" s="64">
        <f t="shared" ref="C251:C262" si="15">U251*1000</f>
        <v>2000</v>
      </c>
      <c r="D251" s="64">
        <f t="shared" si="14"/>
        <v>2000</v>
      </c>
      <c r="E251" s="64">
        <f t="shared" si="14"/>
        <v>10000</v>
      </c>
      <c r="F251" s="64">
        <f t="shared" si="14"/>
        <v>10000</v>
      </c>
      <c r="G251" s="64">
        <f t="shared" si="14"/>
        <v>3000</v>
      </c>
      <c r="H251" s="64">
        <f t="shared" si="14"/>
        <v>4000</v>
      </c>
      <c r="J251" s="63">
        <f ca="1">IF(I129=0,0,OFFSET(B249,$J$127,$M$127))</f>
        <v>0</v>
      </c>
      <c r="S251" s="83" t="s">
        <v>564</v>
      </c>
      <c r="T251" s="83" t="s">
        <v>478</v>
      </c>
      <c r="U251" s="124">
        <v>2</v>
      </c>
      <c r="V251" s="124">
        <v>2</v>
      </c>
      <c r="W251" s="124">
        <v>10</v>
      </c>
      <c r="X251" s="124">
        <v>10</v>
      </c>
      <c r="Y251" s="124">
        <v>3</v>
      </c>
      <c r="Z251" s="124">
        <v>4</v>
      </c>
    </row>
    <row r="252" spans="1:26" ht="42" thickBot="1">
      <c r="A252" s="56" t="str">
        <v>Lost control off road</v>
      </c>
      <c r="B252" s="25">
        <v>3</v>
      </c>
      <c r="C252" s="64">
        <f t="shared" si="15"/>
        <v>2000</v>
      </c>
      <c r="D252" s="64">
        <f t="shared" si="14"/>
        <v>2000</v>
      </c>
      <c r="E252" s="64">
        <f t="shared" si="14"/>
        <v>9000</v>
      </c>
      <c r="F252" s="64">
        <f t="shared" si="14"/>
        <v>9000</v>
      </c>
      <c r="G252" s="64">
        <f t="shared" si="14"/>
        <v>2000</v>
      </c>
      <c r="H252" s="64">
        <f t="shared" si="14"/>
        <v>2000</v>
      </c>
      <c r="S252" s="83" t="s">
        <v>439</v>
      </c>
      <c r="T252" s="83" t="s">
        <v>693</v>
      </c>
      <c r="U252" s="124">
        <v>2</v>
      </c>
      <c r="V252" s="124">
        <v>2</v>
      </c>
      <c r="W252" s="124">
        <v>9</v>
      </c>
      <c r="X252" s="124">
        <v>9</v>
      </c>
      <c r="Y252" s="124">
        <v>2</v>
      </c>
      <c r="Z252" s="124">
        <v>2</v>
      </c>
    </row>
    <row r="253" spans="1:26" ht="42" thickBot="1">
      <c r="A253" s="56" t="str">
        <v>Lost control on road</v>
      </c>
      <c r="B253" s="25">
        <v>4</v>
      </c>
      <c r="C253" s="64">
        <f t="shared" si="15"/>
        <v>2000</v>
      </c>
      <c r="D253" s="64">
        <f t="shared" si="14"/>
        <v>2000</v>
      </c>
      <c r="E253" s="64">
        <f t="shared" si="14"/>
        <v>10000</v>
      </c>
      <c r="F253" s="64">
        <f t="shared" si="14"/>
        <v>10000</v>
      </c>
      <c r="G253" s="64">
        <f t="shared" si="14"/>
        <v>3000</v>
      </c>
      <c r="H253" s="64">
        <f>Z253*1000</f>
        <v>4000</v>
      </c>
      <c r="S253" s="83" t="s">
        <v>565</v>
      </c>
      <c r="T253" s="83" t="s">
        <v>521</v>
      </c>
      <c r="U253" s="124">
        <v>2</v>
      </c>
      <c r="V253" s="124">
        <v>2</v>
      </c>
      <c r="W253" s="124">
        <v>10</v>
      </c>
      <c r="X253" s="124">
        <v>10</v>
      </c>
      <c r="Y253" s="124">
        <v>3</v>
      </c>
      <c r="Z253" s="124">
        <v>4</v>
      </c>
    </row>
    <row r="254" spans="1:26" ht="28.2" thickBot="1">
      <c r="A254" s="56" t="str">
        <v>Miscellaneous</v>
      </c>
      <c r="B254" s="25">
        <v>5</v>
      </c>
      <c r="C254" s="64">
        <f t="shared" si="15"/>
        <v>2000</v>
      </c>
      <c r="D254" s="64">
        <f t="shared" si="14"/>
        <v>2000</v>
      </c>
      <c r="E254" s="64">
        <f t="shared" si="14"/>
        <v>10000</v>
      </c>
      <c r="F254" s="64">
        <f t="shared" si="14"/>
        <v>10000</v>
      </c>
      <c r="G254" s="64">
        <f t="shared" si="14"/>
        <v>2000</v>
      </c>
      <c r="H254" s="64">
        <f t="shared" si="14"/>
        <v>6000</v>
      </c>
      <c r="S254" s="83" t="s">
        <v>566</v>
      </c>
      <c r="T254" s="83" t="s">
        <v>523</v>
      </c>
      <c r="U254" s="124">
        <v>2</v>
      </c>
      <c r="V254" s="124">
        <v>2</v>
      </c>
      <c r="W254" s="124">
        <v>10</v>
      </c>
      <c r="X254" s="124">
        <v>10</v>
      </c>
      <c r="Y254" s="124">
        <v>2</v>
      </c>
      <c r="Z254" s="124">
        <v>6</v>
      </c>
    </row>
    <row r="255" spans="1:26" ht="42" thickBot="1">
      <c r="A255" s="56" t="str">
        <v>Overtaking</v>
      </c>
      <c r="B255" s="25">
        <v>6</v>
      </c>
      <c r="C255" s="64">
        <f t="shared" si="15"/>
        <v>2000</v>
      </c>
      <c r="D255" s="64">
        <f t="shared" si="14"/>
        <v>2000</v>
      </c>
      <c r="E255" s="64">
        <f t="shared" si="14"/>
        <v>11000</v>
      </c>
      <c r="F255" s="64">
        <f t="shared" si="14"/>
        <v>11000</v>
      </c>
      <c r="G255" s="64">
        <f t="shared" si="14"/>
        <v>4000</v>
      </c>
      <c r="H255" s="64">
        <f t="shared" si="14"/>
        <v>6000</v>
      </c>
      <c r="S255" s="83" t="s">
        <v>568</v>
      </c>
      <c r="T255" s="83" t="s">
        <v>694</v>
      </c>
      <c r="U255" s="124">
        <v>2</v>
      </c>
      <c r="V255" s="124">
        <v>2</v>
      </c>
      <c r="W255" s="124">
        <v>11</v>
      </c>
      <c r="X255" s="124">
        <v>11</v>
      </c>
      <c r="Y255" s="124">
        <v>4</v>
      </c>
      <c r="Z255" s="124">
        <v>6</v>
      </c>
    </row>
    <row r="256" spans="1:26" ht="28.2" thickBot="1">
      <c r="A256" s="56" t="str">
        <v>Pedestrian</v>
      </c>
      <c r="B256" s="25">
        <v>7</v>
      </c>
      <c r="C256" s="64">
        <f t="shared" si="15"/>
        <v>2000</v>
      </c>
      <c r="D256" s="64">
        <f t="shared" si="14"/>
        <v>2000</v>
      </c>
      <c r="E256" s="64">
        <f t="shared" si="14"/>
        <v>10000</v>
      </c>
      <c r="F256" s="64">
        <f t="shared" si="14"/>
        <v>10000</v>
      </c>
      <c r="G256" s="64">
        <f t="shared" si="14"/>
        <v>2000</v>
      </c>
      <c r="H256" s="64">
        <f t="shared" si="14"/>
        <v>4000</v>
      </c>
      <c r="S256" s="83" t="s">
        <v>451</v>
      </c>
      <c r="T256" s="83" t="s">
        <v>695</v>
      </c>
      <c r="U256" s="124">
        <v>2</v>
      </c>
      <c r="V256" s="124">
        <v>2</v>
      </c>
      <c r="W256" s="124">
        <v>10</v>
      </c>
      <c r="X256" s="124">
        <v>10</v>
      </c>
      <c r="Y256" s="124">
        <v>2</v>
      </c>
      <c r="Z256" s="124">
        <v>4</v>
      </c>
    </row>
    <row r="257" spans="1:26" ht="28.2" thickBot="1">
      <c r="A257" s="56" t="str">
        <v>Rear end, crossing</v>
      </c>
      <c r="B257" s="25">
        <v>8</v>
      </c>
      <c r="C257" s="64">
        <f t="shared" si="15"/>
        <v>2000</v>
      </c>
      <c r="D257" s="64">
        <f t="shared" si="14"/>
        <v>2000</v>
      </c>
      <c r="E257" s="64">
        <f t="shared" si="14"/>
        <v>11000</v>
      </c>
      <c r="F257" s="64">
        <f t="shared" si="14"/>
        <v>11000</v>
      </c>
      <c r="G257" s="64">
        <f t="shared" si="14"/>
        <v>4000</v>
      </c>
      <c r="H257" s="64">
        <f t="shared" si="14"/>
        <v>4000</v>
      </c>
      <c r="S257" s="83" t="s">
        <v>569</v>
      </c>
      <c r="T257" s="83" t="s">
        <v>696</v>
      </c>
      <c r="U257" s="124">
        <v>2</v>
      </c>
      <c r="V257" s="124">
        <v>2</v>
      </c>
      <c r="W257" s="124">
        <v>11</v>
      </c>
      <c r="X257" s="124">
        <v>11</v>
      </c>
      <c r="Y257" s="124">
        <v>4</v>
      </c>
      <c r="Z257" s="124">
        <v>4</v>
      </c>
    </row>
    <row r="258" spans="1:26" ht="28.2" thickBot="1">
      <c r="A258" s="56" t="str">
        <v>Rear end, queuing</v>
      </c>
      <c r="B258" s="25">
        <v>9</v>
      </c>
      <c r="C258" s="64">
        <f t="shared" si="15"/>
        <v>2000</v>
      </c>
      <c r="D258" s="64">
        <f t="shared" si="14"/>
        <v>3000</v>
      </c>
      <c r="E258" s="64">
        <f t="shared" si="14"/>
        <v>11000</v>
      </c>
      <c r="F258" s="64">
        <f t="shared" si="14"/>
        <v>11000</v>
      </c>
      <c r="G258" s="64">
        <f t="shared" si="14"/>
        <v>4000</v>
      </c>
      <c r="H258" s="64">
        <f t="shared" si="14"/>
        <v>4000</v>
      </c>
      <c r="S258" s="83" t="s">
        <v>570</v>
      </c>
      <c r="T258" s="83" t="s">
        <v>697</v>
      </c>
      <c r="U258" s="124">
        <v>2</v>
      </c>
      <c r="V258" s="124">
        <v>3</v>
      </c>
      <c r="W258" s="124">
        <v>11</v>
      </c>
      <c r="X258" s="124">
        <v>11</v>
      </c>
      <c r="Y258" s="124">
        <v>4</v>
      </c>
      <c r="Z258" s="124">
        <v>4</v>
      </c>
    </row>
    <row r="259" spans="1:26" ht="42" thickBot="1">
      <c r="A259" s="56" t="str">
        <v>Rear end, slow vehicle</v>
      </c>
      <c r="B259" s="25">
        <v>10</v>
      </c>
      <c r="C259" s="64">
        <f t="shared" si="15"/>
        <v>2000</v>
      </c>
      <c r="D259" s="64">
        <f t="shared" si="14"/>
        <v>2000</v>
      </c>
      <c r="E259" s="64">
        <f t="shared" si="14"/>
        <v>11000</v>
      </c>
      <c r="F259" s="64">
        <f t="shared" si="14"/>
        <v>11000</v>
      </c>
      <c r="G259" s="64">
        <f t="shared" si="14"/>
        <v>4000</v>
      </c>
      <c r="H259" s="64">
        <f t="shared" si="14"/>
        <v>5000</v>
      </c>
      <c r="S259" s="83" t="s">
        <v>571</v>
      </c>
      <c r="T259" s="83" t="s">
        <v>698</v>
      </c>
      <c r="U259" s="124">
        <v>2</v>
      </c>
      <c r="V259" s="124">
        <v>2</v>
      </c>
      <c r="W259" s="124">
        <v>11</v>
      </c>
      <c r="X259" s="124">
        <v>11</v>
      </c>
      <c r="Y259" s="124">
        <v>4</v>
      </c>
      <c r="Z259" s="124">
        <v>5</v>
      </c>
    </row>
    <row r="260" spans="1:26" ht="28.2" thickBot="1">
      <c r="A260" s="56" t="str">
        <v>Crossing, direct</v>
      </c>
      <c r="B260" s="25">
        <v>11</v>
      </c>
      <c r="C260" s="64">
        <f t="shared" si="15"/>
        <v>2000</v>
      </c>
      <c r="D260" s="64">
        <f t="shared" si="14"/>
        <v>2000</v>
      </c>
      <c r="E260" s="64">
        <f t="shared" si="14"/>
        <v>11000</v>
      </c>
      <c r="F260" s="64">
        <f t="shared" si="14"/>
        <v>11000</v>
      </c>
      <c r="G260" s="64">
        <f t="shared" si="14"/>
        <v>4000</v>
      </c>
      <c r="H260" s="64">
        <f t="shared" si="14"/>
        <v>5000</v>
      </c>
      <c r="S260" s="83" t="s">
        <v>572</v>
      </c>
      <c r="T260" s="83" t="s">
        <v>554</v>
      </c>
      <c r="U260" s="124">
        <v>2</v>
      </c>
      <c r="V260" s="124">
        <v>2</v>
      </c>
      <c r="W260" s="124">
        <v>11</v>
      </c>
      <c r="X260" s="124">
        <v>11</v>
      </c>
      <c r="Y260" s="124">
        <v>4</v>
      </c>
      <c r="Z260" s="124">
        <v>5</v>
      </c>
    </row>
    <row r="261" spans="1:26" ht="28.2" thickBot="1">
      <c r="A261" s="56" t="str">
        <v>Crossing, turning</v>
      </c>
      <c r="B261" s="25">
        <v>12</v>
      </c>
      <c r="C261" s="64">
        <f t="shared" si="15"/>
        <v>2000</v>
      </c>
      <c r="D261" s="64">
        <f t="shared" si="14"/>
        <v>2000</v>
      </c>
      <c r="E261" s="64">
        <f t="shared" si="14"/>
        <v>11000</v>
      </c>
      <c r="F261" s="64">
        <f t="shared" si="14"/>
        <v>11000</v>
      </c>
      <c r="G261" s="64">
        <f t="shared" si="14"/>
        <v>4000</v>
      </c>
      <c r="H261" s="64">
        <f t="shared" si="14"/>
        <v>5000</v>
      </c>
      <c r="S261" s="83" t="s">
        <v>573</v>
      </c>
      <c r="T261" s="83" t="s">
        <v>699</v>
      </c>
      <c r="U261" s="124">
        <v>2</v>
      </c>
      <c r="V261" s="124">
        <v>2</v>
      </c>
      <c r="W261" s="124">
        <v>11</v>
      </c>
      <c r="X261" s="124">
        <v>11</v>
      </c>
      <c r="Y261" s="124">
        <v>4</v>
      </c>
      <c r="Z261" s="124">
        <v>5</v>
      </c>
    </row>
    <row r="262" spans="1:26" ht="42" thickBot="1">
      <c r="A262" s="56" t="str">
        <v>All movements</v>
      </c>
      <c r="B262" s="25">
        <v>13</v>
      </c>
      <c r="C262" s="64">
        <f t="shared" si="15"/>
        <v>2000</v>
      </c>
      <c r="D262" s="64">
        <f t="shared" si="14"/>
        <v>2000</v>
      </c>
      <c r="E262" s="64">
        <f t="shared" si="14"/>
        <v>11000</v>
      </c>
      <c r="F262" s="64">
        <f t="shared" si="14"/>
        <v>11000</v>
      </c>
      <c r="G262" s="64">
        <f t="shared" si="14"/>
        <v>3000</v>
      </c>
      <c r="H262" s="64">
        <f t="shared" si="14"/>
        <v>4000</v>
      </c>
      <c r="S262" s="83" t="s">
        <v>469</v>
      </c>
      <c r="T262" s="83"/>
      <c r="U262" s="124">
        <v>2</v>
      </c>
      <c r="V262" s="124">
        <v>2</v>
      </c>
      <c r="W262" s="124">
        <v>11</v>
      </c>
      <c r="X262" s="124">
        <v>11</v>
      </c>
      <c r="Y262" s="124">
        <v>3</v>
      </c>
      <c r="Z262" s="124">
        <v>4</v>
      </c>
    </row>
    <row r="263" spans="1:26">
      <c r="B263" s="25">
        <v>14</v>
      </c>
    </row>
    <row r="266" spans="1:26" ht="19.8">
      <c r="A266" s="60" t="s">
        <v>509</v>
      </c>
      <c r="B266" s="60"/>
    </row>
    <row r="267" spans="1:26">
      <c r="A267" s="59" t="s">
        <v>510</v>
      </c>
      <c r="B267" s="398" t="s">
        <v>889</v>
      </c>
    </row>
    <row r="268" spans="1:26" ht="13.8" thickBot="1">
      <c r="A268" s="59"/>
      <c r="B268" s="98"/>
    </row>
    <row r="269" spans="1:26" ht="13.35" customHeight="1">
      <c r="A269" s="58" t="s">
        <v>438</v>
      </c>
      <c r="B269" s="58" t="s">
        <v>511</v>
      </c>
      <c r="C269" s="395" t="s">
        <v>512</v>
      </c>
      <c r="D269" s="395" t="s">
        <v>513</v>
      </c>
    </row>
    <row r="270" spans="1:26" ht="24" thickBot="1">
      <c r="A270" s="57"/>
      <c r="B270" s="57"/>
      <c r="C270" s="396" t="s">
        <v>514</v>
      </c>
      <c r="D270" s="396" t="s">
        <v>514</v>
      </c>
      <c r="F270" s="63" t="str">
        <f>IF('SP5-6'!E11="","",LOOKUP('SP5-6'!E11,{0,70,100},{"0","17","35"}))</f>
        <v/>
      </c>
      <c r="G270" s="63" t="str">
        <f ca="1">IF(F270="","",OFFSET(B270,J127+F270,1))</f>
        <v/>
      </c>
      <c r="H270" s="63" t="str">
        <f ca="1">IF(F270="","",OFFSET(B270,J127+F270,2))</f>
        <v/>
      </c>
    </row>
    <row r="271" spans="1:26" ht="13.8" thickBot="1">
      <c r="A271" s="56" t="s">
        <v>515</v>
      </c>
      <c r="B271" s="55" t="s">
        <v>516</v>
      </c>
      <c r="C271" s="76">
        <v>0.08</v>
      </c>
      <c r="D271" s="76">
        <v>0.92</v>
      </c>
    </row>
    <row r="272" spans="1:26" ht="13.8" thickBot="1">
      <c r="A272" s="56" t="s">
        <v>517</v>
      </c>
      <c r="B272" s="55" t="s">
        <v>478</v>
      </c>
      <c r="C272" s="76">
        <v>0.04</v>
      </c>
      <c r="D272" s="76">
        <v>0.96</v>
      </c>
    </row>
    <row r="273" spans="1:4" ht="34.799999999999997" thickBot="1">
      <c r="A273" s="56" t="s">
        <v>518</v>
      </c>
      <c r="B273" s="55" t="s">
        <v>519</v>
      </c>
      <c r="C273" s="76">
        <v>0.1</v>
      </c>
      <c r="D273" s="76">
        <v>0.9</v>
      </c>
    </row>
    <row r="274" spans="1:4" ht="34.799999999999997" thickBot="1">
      <c r="A274" s="56" t="s">
        <v>520</v>
      </c>
      <c r="B274" s="55" t="s">
        <v>521</v>
      </c>
      <c r="C274" s="76">
        <v>0.04</v>
      </c>
      <c r="D274" s="76">
        <v>0.96</v>
      </c>
    </row>
    <row r="275" spans="1:4" ht="23.4" thickBot="1">
      <c r="A275" s="56" t="s">
        <v>522</v>
      </c>
      <c r="B275" s="55" t="s">
        <v>523</v>
      </c>
      <c r="C275" s="76">
        <v>0.15</v>
      </c>
      <c r="D275" s="76">
        <v>0.85</v>
      </c>
    </row>
    <row r="276" spans="1:4" ht="23.4" thickBot="1">
      <c r="A276" s="56" t="s">
        <v>524</v>
      </c>
      <c r="B276" s="55" t="s">
        <v>525</v>
      </c>
      <c r="C276" s="76">
        <v>0.05</v>
      </c>
      <c r="D276" s="76">
        <v>0.95</v>
      </c>
    </row>
    <row r="277" spans="1:4" ht="13.8" thickBot="1">
      <c r="A277" s="56" t="s">
        <v>526</v>
      </c>
      <c r="B277" s="55" t="s">
        <v>527</v>
      </c>
      <c r="C277" s="76">
        <v>0.08</v>
      </c>
      <c r="D277" s="76">
        <v>0.92</v>
      </c>
    </row>
    <row r="278" spans="1:4" ht="23.4" thickBot="1">
      <c r="A278" s="56" t="s">
        <v>528</v>
      </c>
      <c r="B278" s="55" t="s">
        <v>529</v>
      </c>
      <c r="C278" s="76">
        <v>0.04</v>
      </c>
      <c r="D278" s="76">
        <v>0.96</v>
      </c>
    </row>
    <row r="279" spans="1:4" ht="23.4" thickBot="1">
      <c r="A279" s="56" t="s">
        <v>530</v>
      </c>
      <c r="B279" s="55" t="s">
        <v>531</v>
      </c>
      <c r="C279" s="76">
        <v>0.02</v>
      </c>
      <c r="D279" s="76">
        <v>0.98</v>
      </c>
    </row>
    <row r="280" spans="1:4" ht="34.799999999999997" thickBot="1">
      <c r="A280" s="56" t="s">
        <v>532</v>
      </c>
      <c r="B280" s="55" t="s">
        <v>533</v>
      </c>
      <c r="C280" s="76">
        <v>0.05</v>
      </c>
      <c r="D280" s="76">
        <v>0.95</v>
      </c>
    </row>
    <row r="281" spans="1:4" ht="23.4" thickBot="1">
      <c r="A281" s="56" t="s">
        <v>534</v>
      </c>
      <c r="B281" s="55" t="s">
        <v>535</v>
      </c>
      <c r="C281" s="76">
        <v>0.05</v>
      </c>
      <c r="D281" s="76">
        <v>0.95</v>
      </c>
    </row>
    <row r="282" spans="1:4" ht="23.4" thickBot="1">
      <c r="A282" s="56" t="s">
        <v>536</v>
      </c>
      <c r="B282" s="55" t="s">
        <v>537</v>
      </c>
      <c r="C282" s="76">
        <v>0.03</v>
      </c>
      <c r="D282" s="76">
        <v>0.97</v>
      </c>
    </row>
    <row r="283" spans="1:4" ht="34.799999999999997" thickBot="1">
      <c r="A283" s="56" t="s">
        <v>538</v>
      </c>
      <c r="B283" s="61"/>
      <c r="C283" s="76">
        <v>7.0000000000000007E-2</v>
      </c>
      <c r="D283" s="76">
        <v>0.93</v>
      </c>
    </row>
    <row r="284" spans="1:4">
      <c r="A284" s="62"/>
    </row>
    <row r="285" spans="1:4" ht="13.8" thickBot="1">
      <c r="A285" s="59" t="s">
        <v>539</v>
      </c>
      <c r="B285" s="398" t="s">
        <v>865</v>
      </c>
    </row>
    <row r="286" spans="1:4" ht="13.35" customHeight="1">
      <c r="A286" s="58" t="s">
        <v>438</v>
      </c>
      <c r="B286" s="58" t="s">
        <v>511</v>
      </c>
      <c r="C286" s="395" t="s">
        <v>512</v>
      </c>
      <c r="D286" s="395" t="s">
        <v>513</v>
      </c>
    </row>
    <row r="287" spans="1:4" ht="24" thickBot="1">
      <c r="A287" s="57"/>
      <c r="B287" s="57"/>
      <c r="C287" s="396" t="s">
        <v>514</v>
      </c>
      <c r="D287" s="396" t="s">
        <v>514</v>
      </c>
    </row>
    <row r="288" spans="1:4" ht="13.8" thickBot="1">
      <c r="A288" s="56" t="s">
        <v>515</v>
      </c>
      <c r="B288" s="55" t="s">
        <v>540</v>
      </c>
      <c r="C288" s="76">
        <v>0.25</v>
      </c>
      <c r="D288" s="76">
        <v>0.75</v>
      </c>
    </row>
    <row r="289" spans="1:4" ht="13.8" thickBot="1">
      <c r="A289" s="56" t="s">
        <v>517</v>
      </c>
      <c r="B289" s="55" t="s">
        <v>541</v>
      </c>
      <c r="C289" s="76">
        <v>0.06</v>
      </c>
      <c r="D289" s="76">
        <v>0.94</v>
      </c>
    </row>
    <row r="290" spans="1:4" ht="34.799999999999997" thickBot="1">
      <c r="A290" s="56" t="s">
        <v>542</v>
      </c>
      <c r="B290" s="55" t="s">
        <v>543</v>
      </c>
      <c r="C290" s="76">
        <v>0.16</v>
      </c>
      <c r="D290" s="76">
        <v>0.84</v>
      </c>
    </row>
    <row r="291" spans="1:4" ht="34.799999999999997" thickBot="1">
      <c r="A291" s="56" t="s">
        <v>520</v>
      </c>
      <c r="B291" s="55" t="s">
        <v>544</v>
      </c>
      <c r="C291" s="76">
        <v>0.2</v>
      </c>
      <c r="D291" s="76">
        <v>0.8</v>
      </c>
    </row>
    <row r="292" spans="1:4" ht="23.4" thickBot="1">
      <c r="A292" s="56" t="s">
        <v>522</v>
      </c>
      <c r="B292" s="55" t="s">
        <v>545</v>
      </c>
      <c r="C292" s="76">
        <v>0.28999999999999998</v>
      </c>
      <c r="D292" s="76">
        <v>0.71</v>
      </c>
    </row>
    <row r="293" spans="1:4" ht="23.4" thickBot="1">
      <c r="A293" s="56" t="s">
        <v>524</v>
      </c>
      <c r="B293" s="55" t="s">
        <v>525</v>
      </c>
      <c r="C293" s="76">
        <v>0.08</v>
      </c>
      <c r="D293" s="76">
        <v>0.92</v>
      </c>
    </row>
    <row r="294" spans="1:4" ht="13.8" thickBot="1">
      <c r="A294" s="56" t="s">
        <v>526</v>
      </c>
      <c r="B294" s="55" t="s">
        <v>527</v>
      </c>
      <c r="C294" s="76">
        <v>0.11</v>
      </c>
      <c r="D294" s="76">
        <v>0.89</v>
      </c>
    </row>
    <row r="295" spans="1:4" ht="23.4" thickBot="1">
      <c r="A295" s="56" t="s">
        <v>528</v>
      </c>
      <c r="B295" s="55" t="s">
        <v>529</v>
      </c>
      <c r="C295" s="76">
        <v>0.12</v>
      </c>
      <c r="D295" s="76">
        <v>0.88</v>
      </c>
    </row>
    <row r="296" spans="1:4" ht="23.4" thickBot="1">
      <c r="A296" s="56" t="s">
        <v>530</v>
      </c>
      <c r="B296" s="55" t="s">
        <v>531</v>
      </c>
      <c r="C296" s="76">
        <v>0.04</v>
      </c>
      <c r="D296" s="76">
        <v>0.96</v>
      </c>
    </row>
    <row r="297" spans="1:4" ht="34.799999999999997" thickBot="1">
      <c r="A297" s="56" t="s">
        <v>532</v>
      </c>
      <c r="B297" s="55" t="s">
        <v>533</v>
      </c>
      <c r="C297" s="76">
        <v>0.12</v>
      </c>
      <c r="D297" s="76">
        <v>0.88</v>
      </c>
    </row>
    <row r="298" spans="1:4" ht="23.4" thickBot="1">
      <c r="A298" s="56" t="s">
        <v>534</v>
      </c>
      <c r="B298" s="55" t="s">
        <v>535</v>
      </c>
      <c r="C298" s="76">
        <v>0.13</v>
      </c>
      <c r="D298" s="76">
        <v>0.87</v>
      </c>
    </row>
    <row r="299" spans="1:4" ht="23.4" thickBot="1">
      <c r="A299" s="56" t="s">
        <v>536</v>
      </c>
      <c r="B299" s="55" t="s">
        <v>537</v>
      </c>
      <c r="C299" s="76">
        <v>7.0000000000000007E-2</v>
      </c>
      <c r="D299" s="76">
        <v>0.93</v>
      </c>
    </row>
    <row r="300" spans="1:4" ht="34.799999999999997" thickBot="1">
      <c r="A300" s="56" t="s">
        <v>538</v>
      </c>
      <c r="B300" s="61"/>
      <c r="C300" s="76">
        <v>0.14000000000000001</v>
      </c>
      <c r="D300" s="76">
        <v>0.86</v>
      </c>
    </row>
    <row r="301" spans="1:4" ht="19.8">
      <c r="A301" s="60"/>
    </row>
    <row r="302" spans="1:4" ht="19.8">
      <c r="A302" s="60" t="s">
        <v>509</v>
      </c>
      <c r="B302" s="60"/>
    </row>
    <row r="303" spans="1:4" ht="13.8" thickBot="1">
      <c r="A303" s="59" t="s">
        <v>546</v>
      </c>
      <c r="B303" s="398" t="s">
        <v>866</v>
      </c>
    </row>
    <row r="304" spans="1:4" ht="13.35" customHeight="1">
      <c r="A304" s="58" t="s">
        <v>438</v>
      </c>
      <c r="B304" s="58" t="s">
        <v>511</v>
      </c>
      <c r="C304" s="395" t="s">
        <v>547</v>
      </c>
      <c r="D304" s="395" t="s">
        <v>548</v>
      </c>
    </row>
    <row r="305" spans="1:28" ht="24" thickBot="1">
      <c r="A305" s="57"/>
      <c r="B305" s="57"/>
      <c r="C305" s="396" t="s">
        <v>514</v>
      </c>
      <c r="D305" s="396" t="s">
        <v>514</v>
      </c>
    </row>
    <row r="306" spans="1:28" ht="13.8" thickBot="1">
      <c r="A306" s="56" t="s">
        <v>515</v>
      </c>
      <c r="B306" s="55" t="s">
        <v>516</v>
      </c>
      <c r="C306" s="55">
        <v>0.35</v>
      </c>
      <c r="D306" s="55">
        <v>0.65</v>
      </c>
    </row>
    <row r="307" spans="1:28" ht="13.8" thickBot="1">
      <c r="A307" s="56" t="s">
        <v>517</v>
      </c>
      <c r="B307" s="55" t="s">
        <v>478</v>
      </c>
      <c r="C307" s="55">
        <v>0.12</v>
      </c>
      <c r="D307" s="55">
        <v>0.88</v>
      </c>
    </row>
    <row r="308" spans="1:28" ht="34.799999999999997" thickBot="1">
      <c r="A308" s="56" t="s">
        <v>542</v>
      </c>
      <c r="B308" s="55" t="s">
        <v>519</v>
      </c>
      <c r="C308" s="55">
        <v>0.14000000000000001</v>
      </c>
      <c r="D308" s="55">
        <v>0.86</v>
      </c>
    </row>
    <row r="309" spans="1:28" ht="34.799999999999997" thickBot="1">
      <c r="A309" s="56" t="s">
        <v>520</v>
      </c>
      <c r="B309" s="55" t="s">
        <v>521</v>
      </c>
      <c r="C309" s="55">
        <v>0.08</v>
      </c>
      <c r="D309" s="55">
        <v>0.92</v>
      </c>
    </row>
    <row r="310" spans="1:28" ht="23.4" thickBot="1">
      <c r="A310" s="56" t="s">
        <v>522</v>
      </c>
      <c r="B310" s="55" t="s">
        <v>523</v>
      </c>
      <c r="C310" s="55">
        <v>0.22</v>
      </c>
      <c r="D310" s="55">
        <v>0.78</v>
      </c>
    </row>
    <row r="311" spans="1:28" ht="23.4" thickBot="1">
      <c r="A311" s="56" t="s">
        <v>524</v>
      </c>
      <c r="B311" s="55" t="s">
        <v>549</v>
      </c>
      <c r="C311" s="55">
        <v>0.11</v>
      </c>
      <c r="D311" s="55">
        <v>0.89</v>
      </c>
    </row>
    <row r="312" spans="1:28" ht="13.8" thickBot="1">
      <c r="A312" s="56" t="s">
        <v>526</v>
      </c>
      <c r="B312" s="55" t="s">
        <v>550</v>
      </c>
      <c r="C312" s="55">
        <v>0.37</v>
      </c>
      <c r="D312" s="55">
        <v>0.63</v>
      </c>
    </row>
    <row r="313" spans="1:28" ht="23.4" thickBot="1">
      <c r="A313" s="56" t="s">
        <v>528</v>
      </c>
      <c r="B313" s="55" t="s">
        <v>551</v>
      </c>
      <c r="C313" s="55">
        <v>0.12</v>
      </c>
      <c r="D313" s="55">
        <v>0.88</v>
      </c>
    </row>
    <row r="314" spans="1:28" ht="23.4" thickBot="1">
      <c r="A314" s="56" t="s">
        <v>530</v>
      </c>
      <c r="B314" s="55" t="s">
        <v>552</v>
      </c>
      <c r="C314" s="55">
        <v>0.06</v>
      </c>
      <c r="D314" s="55">
        <v>0.94</v>
      </c>
    </row>
    <row r="315" spans="1:28" ht="34.799999999999997" thickBot="1">
      <c r="A315" s="56" t="s">
        <v>532</v>
      </c>
      <c r="B315" s="55" t="s">
        <v>553</v>
      </c>
      <c r="C315" s="55">
        <v>0.14000000000000001</v>
      </c>
      <c r="D315" s="55">
        <v>0.86</v>
      </c>
    </row>
    <row r="316" spans="1:28" ht="23.4" thickBot="1">
      <c r="A316" s="56" t="s">
        <v>534</v>
      </c>
      <c r="B316" s="55" t="s">
        <v>554</v>
      </c>
      <c r="C316" s="55">
        <v>0.19</v>
      </c>
      <c r="D316" s="55">
        <v>0.81</v>
      </c>
    </row>
    <row r="317" spans="1:28" ht="23.4" thickBot="1">
      <c r="A317" s="56" t="s">
        <v>536</v>
      </c>
      <c r="B317" s="55" t="s">
        <v>555</v>
      </c>
      <c r="C317" s="55">
        <v>0.13</v>
      </c>
      <c r="D317" s="55">
        <v>0.87</v>
      </c>
    </row>
    <row r="318" spans="1:28" ht="34.799999999999997" thickBot="1">
      <c r="A318" s="56" t="s">
        <v>538</v>
      </c>
      <c r="B318" s="55"/>
      <c r="C318" s="55">
        <v>0.18</v>
      </c>
      <c r="D318" s="55">
        <v>0.82</v>
      </c>
      <c r="I318" s="53" t="s">
        <v>417</v>
      </c>
    </row>
    <row r="319" spans="1:28">
      <c r="F319" s="25" t="s">
        <v>821</v>
      </c>
      <c r="I319" s="53">
        <v>1</v>
      </c>
      <c r="J319" s="25" t="s">
        <v>141</v>
      </c>
      <c r="K319" s="25">
        <v>0.98064352657801512</v>
      </c>
      <c r="N319" s="25" t="s">
        <v>822</v>
      </c>
      <c r="R319" s="25" t="s">
        <v>823</v>
      </c>
      <c r="V319" s="25" t="s">
        <v>824</v>
      </c>
      <c r="AA319" s="25" t="s">
        <v>825</v>
      </c>
    </row>
    <row r="320" spans="1:28" ht="13.8" thickBot="1">
      <c r="F320" s="25" t="s">
        <v>687</v>
      </c>
      <c r="H320" s="54">
        <v>0.04</v>
      </c>
      <c r="I320" s="53">
        <v>40</v>
      </c>
      <c r="J320" s="25" t="s">
        <v>142</v>
      </c>
      <c r="K320" s="25">
        <v>20.186041805076712</v>
      </c>
      <c r="N320" s="25" t="s">
        <v>687</v>
      </c>
      <c r="P320" s="54">
        <v>0.04</v>
      </c>
      <c r="R320" s="25" t="s">
        <v>687</v>
      </c>
      <c r="T320" s="54">
        <v>0.04</v>
      </c>
      <c r="V320" s="25" t="s">
        <v>687</v>
      </c>
      <c r="X320" s="54">
        <v>0.04</v>
      </c>
      <c r="AB320" s="25">
        <v>0.04</v>
      </c>
    </row>
    <row r="321" spans="1:28" ht="13.8" thickBot="1">
      <c r="A321" s="52">
        <v>0</v>
      </c>
      <c r="B321" s="25">
        <v>1</v>
      </c>
      <c r="F321" s="25" t="s">
        <v>582</v>
      </c>
      <c r="G321" s="25" t="s">
        <v>583</v>
      </c>
      <c r="H321" s="25" t="s">
        <v>584</v>
      </c>
      <c r="I321" s="53"/>
      <c r="J321" s="25" t="s">
        <v>585</v>
      </c>
      <c r="K321" s="25">
        <v>0.96150000000000002</v>
      </c>
      <c r="N321" s="25" t="s">
        <v>582</v>
      </c>
      <c r="O321" s="25" t="s">
        <v>583</v>
      </c>
      <c r="P321" s="25" t="s">
        <v>584</v>
      </c>
      <c r="R321" s="25" t="s">
        <v>582</v>
      </c>
      <c r="S321" s="25" t="s">
        <v>583</v>
      </c>
      <c r="T321" s="25" t="s">
        <v>584</v>
      </c>
      <c r="V321" s="25" t="s">
        <v>582</v>
      </c>
      <c r="W321" s="25" t="s">
        <v>583</v>
      </c>
      <c r="X321" s="25" t="s">
        <v>584</v>
      </c>
      <c r="Z321" s="25" t="s">
        <v>582</v>
      </c>
      <c r="AA321" s="25" t="s">
        <v>583</v>
      </c>
      <c r="AB321" s="25" t="s">
        <v>584</v>
      </c>
    </row>
    <row r="322" spans="1:28" ht="15.6">
      <c r="A322">
        <v>1</v>
      </c>
      <c r="B322" s="327">
        <v>0.96153846153846145</v>
      </c>
      <c r="D322" s="36" t="s">
        <v>586</v>
      </c>
      <c r="E322" s="25">
        <v>1</v>
      </c>
      <c r="F322" s="25">
        <v>0</v>
      </c>
      <c r="I322" s="53">
        <v>40</v>
      </c>
      <c r="J322" s="25" t="s">
        <v>143</v>
      </c>
      <c r="K322" s="25">
        <v>302.25049636985727</v>
      </c>
      <c r="L322" s="36" t="s">
        <v>586</v>
      </c>
      <c r="M322" s="25">
        <v>1</v>
      </c>
      <c r="N322" s="25">
        <v>0</v>
      </c>
      <c r="R322" s="25">
        <v>0</v>
      </c>
      <c r="V322" s="25">
        <v>0</v>
      </c>
      <c r="Z322" s="25">
        <v>0</v>
      </c>
    </row>
    <row r="323" spans="1:28" ht="15.6">
      <c r="A323">
        <v>2</v>
      </c>
      <c r="B323" s="327">
        <v>0.92455621301775137</v>
      </c>
      <c r="D323" s="36" t="s">
        <v>587</v>
      </c>
      <c r="E323" s="25">
        <v>2</v>
      </c>
      <c r="F323" s="25" t="str">
        <f>IF('SP5-2'!C24="","no number",'SP5-2'!C24)</f>
        <v>no number</v>
      </c>
      <c r="G323" s="25" t="str">
        <f>IF(F323="no number","no number",F323-$F$322)</f>
        <v>no number</v>
      </c>
      <c r="H323" s="117" t="str">
        <f>IF(G323="no number","",(1/((1+$H$320)^(G323))))</f>
        <v/>
      </c>
      <c r="I323" s="53">
        <v>1</v>
      </c>
      <c r="J323" s="25" t="s">
        <v>144</v>
      </c>
      <c r="K323" s="25">
        <v>0.48711671725311589</v>
      </c>
      <c r="L323" s="36" t="s">
        <v>587</v>
      </c>
      <c r="M323" s="25">
        <v>2</v>
      </c>
      <c r="N323" s="25" t="s">
        <v>826</v>
      </c>
      <c r="O323" s="25" t="s">
        <v>826</v>
      </c>
      <c r="P323" s="117" t="s">
        <v>827</v>
      </c>
      <c r="R323" s="25" t="s">
        <v>826</v>
      </c>
      <c r="S323" s="25" t="s">
        <v>826</v>
      </c>
      <c r="T323" s="117" t="s">
        <v>827</v>
      </c>
      <c r="V323" s="25" t="s">
        <v>826</v>
      </c>
      <c r="W323" s="25" t="s">
        <v>826</v>
      </c>
      <c r="X323" s="117" t="s">
        <v>827</v>
      </c>
      <c r="Z323" s="25" t="s">
        <v>826</v>
      </c>
      <c r="AA323" s="25" t="s">
        <v>826</v>
      </c>
      <c r="AB323" s="25" t="s">
        <v>827</v>
      </c>
    </row>
    <row r="324" spans="1:28" ht="15.6">
      <c r="A324">
        <v>3</v>
      </c>
      <c r="B324" s="327">
        <v>0.88899635867091487</v>
      </c>
      <c r="D324" s="36" t="s">
        <v>588</v>
      </c>
      <c r="E324" s="25">
        <v>3</v>
      </c>
      <c r="F324" s="25" t="str">
        <f>IF('SP5-2'!C25="","no number",'SP5-2'!C25)</f>
        <v>no number</v>
      </c>
      <c r="G324" s="25" t="str">
        <f t="shared" ref="G324:G330" si="16">IF(F324="no number","no number",F324-$F$322)</f>
        <v>no number</v>
      </c>
      <c r="H324" s="117" t="str">
        <f t="shared" ref="H324:H331" si="17">IF(G324="no number","",(1/((1+$H$320)^(G324))))</f>
        <v/>
      </c>
      <c r="I324" s="53" t="s">
        <v>589</v>
      </c>
      <c r="L324" s="36" t="s">
        <v>588</v>
      </c>
      <c r="M324" s="25">
        <v>3</v>
      </c>
      <c r="N324" s="25" t="s">
        <v>826</v>
      </c>
      <c r="O324" s="25" t="s">
        <v>826</v>
      </c>
      <c r="P324" s="117" t="s">
        <v>827</v>
      </c>
      <c r="R324" s="25" t="s">
        <v>826</v>
      </c>
      <c r="S324" s="25" t="s">
        <v>826</v>
      </c>
      <c r="T324" s="117" t="s">
        <v>827</v>
      </c>
      <c r="V324" s="25" t="s">
        <v>826</v>
      </c>
      <c r="W324" s="25" t="s">
        <v>826</v>
      </c>
      <c r="X324" s="117" t="s">
        <v>827</v>
      </c>
      <c r="Z324" s="25" t="s">
        <v>826</v>
      </c>
      <c r="AA324" s="25" t="s">
        <v>826</v>
      </c>
      <c r="AB324" s="25" t="s">
        <v>827</v>
      </c>
    </row>
    <row r="325" spans="1:28" ht="15.6">
      <c r="A325">
        <v>4</v>
      </c>
      <c r="B325" s="327">
        <v>0.85480419102972571</v>
      </c>
      <c r="D325" s="36" t="s">
        <v>590</v>
      </c>
      <c r="E325" s="25">
        <v>4</v>
      </c>
      <c r="F325" s="25" t="str">
        <f>IF('SP5-2'!C26="","no number",'SP5-2'!C26)</f>
        <v>no number</v>
      </c>
      <c r="G325" s="25" t="str">
        <f t="shared" si="16"/>
        <v>no number</v>
      </c>
      <c r="H325" s="117" t="str">
        <f t="shared" si="17"/>
        <v/>
      </c>
      <c r="I325" s="53">
        <v>40</v>
      </c>
      <c r="J325" s="25" t="s">
        <v>143</v>
      </c>
      <c r="K325" s="25">
        <v>302.25049636985727</v>
      </c>
      <c r="L325" s="36" t="s">
        <v>590</v>
      </c>
      <c r="M325" s="25">
        <v>4</v>
      </c>
      <c r="N325" s="25" t="s">
        <v>826</v>
      </c>
      <c r="O325" s="25" t="s">
        <v>826</v>
      </c>
      <c r="P325" s="117" t="s">
        <v>827</v>
      </c>
      <c r="R325" s="25" t="s">
        <v>826</v>
      </c>
      <c r="S325" s="25" t="s">
        <v>826</v>
      </c>
      <c r="T325" s="117" t="s">
        <v>827</v>
      </c>
      <c r="V325" s="25" t="s">
        <v>826</v>
      </c>
      <c r="W325" s="25" t="s">
        <v>826</v>
      </c>
      <c r="X325" s="117" t="s">
        <v>827</v>
      </c>
      <c r="Z325" s="25" t="s">
        <v>826</v>
      </c>
      <c r="AA325" s="25" t="s">
        <v>826</v>
      </c>
      <c r="AB325" s="25" t="s">
        <v>827</v>
      </c>
    </row>
    <row r="326" spans="1:28" ht="15.6">
      <c r="A326">
        <v>5</v>
      </c>
      <c r="B326" s="327">
        <v>0.82192710675935154</v>
      </c>
      <c r="D326" s="36" t="s">
        <v>591</v>
      </c>
      <c r="E326" s="25">
        <v>5</v>
      </c>
      <c r="F326" s="25" t="str">
        <f>IF('SP5-2'!C27="","no number",'SP5-2'!C27)</f>
        <v>no number</v>
      </c>
      <c r="G326" s="25" t="str">
        <f t="shared" si="16"/>
        <v>no number</v>
      </c>
      <c r="H326" s="117" t="str">
        <f t="shared" si="17"/>
        <v/>
      </c>
      <c r="L326" s="36" t="s">
        <v>591</v>
      </c>
      <c r="M326" s="25">
        <v>5</v>
      </c>
      <c r="N326" s="25" t="s">
        <v>826</v>
      </c>
      <c r="O326" s="25" t="s">
        <v>826</v>
      </c>
      <c r="P326" s="117" t="s">
        <v>827</v>
      </c>
      <c r="R326" s="25" t="s">
        <v>826</v>
      </c>
      <c r="S326" s="25" t="s">
        <v>826</v>
      </c>
      <c r="T326" s="117" t="s">
        <v>827</v>
      </c>
      <c r="V326" s="25" t="s">
        <v>826</v>
      </c>
      <c r="W326" s="25" t="s">
        <v>826</v>
      </c>
      <c r="X326" s="117" t="s">
        <v>827</v>
      </c>
      <c r="Z326" s="25" t="s">
        <v>826</v>
      </c>
      <c r="AA326" s="25" t="s">
        <v>826</v>
      </c>
      <c r="AB326" s="25" t="s">
        <v>827</v>
      </c>
    </row>
    <row r="327" spans="1:28" ht="15.6">
      <c r="A327">
        <v>6</v>
      </c>
      <c r="B327" s="327">
        <v>0.79031452573014571</v>
      </c>
      <c r="D327" s="36" t="s">
        <v>592</v>
      </c>
      <c r="E327" s="25">
        <v>6</v>
      </c>
      <c r="F327" s="25" t="str">
        <f>IF('SP5-2'!C28="","no number",'SP5-2'!C28)</f>
        <v>no number</v>
      </c>
      <c r="G327" s="25" t="str">
        <f t="shared" si="16"/>
        <v>no number</v>
      </c>
      <c r="H327" s="117" t="str">
        <f t="shared" si="17"/>
        <v/>
      </c>
      <c r="L327" s="36" t="s">
        <v>592</v>
      </c>
      <c r="M327" s="25">
        <v>6</v>
      </c>
      <c r="N327" s="25" t="s">
        <v>826</v>
      </c>
      <c r="O327" s="25" t="s">
        <v>826</v>
      </c>
      <c r="P327" s="117" t="s">
        <v>827</v>
      </c>
      <c r="R327" s="25" t="s">
        <v>826</v>
      </c>
      <c r="S327" s="25" t="s">
        <v>826</v>
      </c>
      <c r="T327" s="117" t="s">
        <v>827</v>
      </c>
      <c r="V327" s="25" t="s">
        <v>826</v>
      </c>
      <c r="W327" s="25" t="s">
        <v>826</v>
      </c>
      <c r="X327" s="117" t="s">
        <v>827</v>
      </c>
      <c r="Z327" s="25" t="s">
        <v>826</v>
      </c>
      <c r="AA327" s="25" t="s">
        <v>826</v>
      </c>
      <c r="AB327" s="25" t="s">
        <v>827</v>
      </c>
    </row>
    <row r="328" spans="1:28" ht="15.6">
      <c r="A328">
        <v>7</v>
      </c>
      <c r="B328" s="327">
        <v>0.75991781320206331</v>
      </c>
      <c r="D328" s="36" t="s">
        <v>593</v>
      </c>
      <c r="E328" s="25">
        <v>7</v>
      </c>
      <c r="F328" s="25" t="str">
        <f>IF('SP5-2'!C29="","no number",'SP5-2'!C29)</f>
        <v>no number</v>
      </c>
      <c r="G328" s="25" t="str">
        <f t="shared" si="16"/>
        <v>no number</v>
      </c>
      <c r="H328" s="117" t="str">
        <f t="shared" si="17"/>
        <v/>
      </c>
      <c r="L328" s="36" t="s">
        <v>593</v>
      </c>
      <c r="M328" s="25">
        <v>7</v>
      </c>
      <c r="N328" s="25" t="s">
        <v>826</v>
      </c>
      <c r="O328" s="25" t="s">
        <v>826</v>
      </c>
      <c r="P328" s="117" t="s">
        <v>827</v>
      </c>
      <c r="R328" s="25" t="s">
        <v>826</v>
      </c>
      <c r="S328" s="25" t="s">
        <v>826</v>
      </c>
      <c r="T328" s="117" t="s">
        <v>827</v>
      </c>
      <c r="V328" s="25" t="s">
        <v>826</v>
      </c>
      <c r="W328" s="25" t="s">
        <v>826</v>
      </c>
      <c r="X328" s="117" t="s">
        <v>827</v>
      </c>
      <c r="Z328" s="25" t="s">
        <v>826</v>
      </c>
      <c r="AA328" s="25" t="s">
        <v>826</v>
      </c>
      <c r="AB328" s="25" t="s">
        <v>827</v>
      </c>
    </row>
    <row r="329" spans="1:28" ht="15.6">
      <c r="A329">
        <v>8</v>
      </c>
      <c r="B329" s="327">
        <v>0.73069020500198378</v>
      </c>
      <c r="D329" s="36" t="s">
        <v>594</v>
      </c>
      <c r="E329" s="25">
        <v>8</v>
      </c>
      <c r="F329" s="25" t="str">
        <f>IF('SP5-2'!C30="","no number",'SP5-2'!C30)</f>
        <v>no number</v>
      </c>
      <c r="G329" s="25" t="str">
        <f t="shared" si="16"/>
        <v>no number</v>
      </c>
      <c r="H329" s="117" t="str">
        <f t="shared" si="17"/>
        <v/>
      </c>
      <c r="L329" s="36" t="s">
        <v>594</v>
      </c>
      <c r="M329" s="25">
        <v>8</v>
      </c>
      <c r="N329" s="25" t="s">
        <v>826</v>
      </c>
      <c r="O329" s="25" t="s">
        <v>826</v>
      </c>
      <c r="P329" s="117" t="s">
        <v>827</v>
      </c>
      <c r="R329" s="25" t="s">
        <v>826</v>
      </c>
      <c r="S329" s="25" t="s">
        <v>826</v>
      </c>
      <c r="T329" s="117" t="s">
        <v>827</v>
      </c>
      <c r="V329" s="25" t="s">
        <v>826</v>
      </c>
      <c r="W329" s="25" t="s">
        <v>826</v>
      </c>
      <c r="X329" s="117" t="s">
        <v>827</v>
      </c>
      <c r="Z329" s="25" t="s">
        <v>826</v>
      </c>
      <c r="AA329" s="25" t="s">
        <v>826</v>
      </c>
      <c r="AB329" s="25" t="s">
        <v>827</v>
      </c>
    </row>
    <row r="330" spans="1:28" ht="15.6">
      <c r="A330">
        <v>9</v>
      </c>
      <c r="B330" s="327">
        <v>0.70258673557883045</v>
      </c>
      <c r="D330" s="36" t="s">
        <v>595</v>
      </c>
      <c r="E330" s="25">
        <v>9</v>
      </c>
      <c r="F330" s="25" t="str">
        <f>IF('SP5-2'!C31="","no number",'SP5-2'!C31)</f>
        <v>no number</v>
      </c>
      <c r="G330" s="25" t="str">
        <f t="shared" si="16"/>
        <v>no number</v>
      </c>
      <c r="H330" s="117" t="str">
        <f t="shared" si="17"/>
        <v/>
      </c>
      <c r="L330" s="36" t="s">
        <v>595</v>
      </c>
      <c r="M330" s="25">
        <v>9</v>
      </c>
      <c r="N330" s="25" t="s">
        <v>826</v>
      </c>
      <c r="O330" s="25" t="s">
        <v>826</v>
      </c>
      <c r="P330" s="117" t="s">
        <v>827</v>
      </c>
      <c r="R330" s="25" t="s">
        <v>826</v>
      </c>
      <c r="S330" s="25" t="s">
        <v>826</v>
      </c>
      <c r="T330" s="117" t="s">
        <v>827</v>
      </c>
      <c r="V330" s="25" t="s">
        <v>826</v>
      </c>
      <c r="W330" s="25" t="s">
        <v>826</v>
      </c>
      <c r="X330" s="117" t="s">
        <v>827</v>
      </c>
      <c r="Z330" s="25" t="s">
        <v>826</v>
      </c>
      <c r="AA330" s="25" t="s">
        <v>826</v>
      </c>
      <c r="AB330" s="25" t="s">
        <v>827</v>
      </c>
    </row>
    <row r="331" spans="1:28" ht="15.6">
      <c r="A331">
        <v>10</v>
      </c>
      <c r="B331" s="327">
        <v>0.67556416882579851</v>
      </c>
      <c r="D331" s="36" t="s">
        <v>596</v>
      </c>
      <c r="E331" s="25">
        <v>10</v>
      </c>
      <c r="F331" s="25" t="str">
        <f>IF('SP5-2'!C32="","no number",'SP5-2'!C32)</f>
        <v>no number</v>
      </c>
      <c r="G331" s="25" t="str">
        <f>IF(F331="no number","no number",F331-$F$322)</f>
        <v>no number</v>
      </c>
      <c r="H331" s="117" t="str">
        <f t="shared" si="17"/>
        <v/>
      </c>
      <c r="L331" s="36" t="s">
        <v>596</v>
      </c>
      <c r="M331" s="25">
        <v>10</v>
      </c>
      <c r="N331" s="25" t="s">
        <v>826</v>
      </c>
      <c r="O331" s="25" t="s">
        <v>826</v>
      </c>
      <c r="P331" s="117" t="s">
        <v>827</v>
      </c>
      <c r="R331" s="25" t="s">
        <v>826</v>
      </c>
      <c r="S331" s="25" t="s">
        <v>826</v>
      </c>
      <c r="T331" s="117" t="s">
        <v>827</v>
      </c>
      <c r="V331" s="25" t="s">
        <v>826</v>
      </c>
      <c r="W331" s="25" t="s">
        <v>826</v>
      </c>
      <c r="X331" s="117" t="s">
        <v>827</v>
      </c>
      <c r="Z331" s="25" t="s">
        <v>826</v>
      </c>
      <c r="AA331" s="25" t="s">
        <v>826</v>
      </c>
      <c r="AB331" s="25" t="s">
        <v>827</v>
      </c>
    </row>
    <row r="332" spans="1:28" ht="15.6">
      <c r="A332">
        <v>11</v>
      </c>
      <c r="B332" s="327">
        <v>0.6495809315632679</v>
      </c>
      <c r="D332" s="36" t="s">
        <v>597</v>
      </c>
      <c r="E332" s="25">
        <v>11</v>
      </c>
      <c r="L332" s="36" t="s">
        <v>597</v>
      </c>
      <c r="M332" s="25">
        <v>11</v>
      </c>
    </row>
    <row r="333" spans="1:28" ht="15.6">
      <c r="A333">
        <v>12</v>
      </c>
      <c r="B333" s="327">
        <v>0.62459704958006512</v>
      </c>
      <c r="D333" s="36" t="s">
        <v>598</v>
      </c>
      <c r="E333" s="25">
        <v>12</v>
      </c>
      <c r="L333" s="36" t="s">
        <v>598</v>
      </c>
      <c r="M333" s="25">
        <v>12</v>
      </c>
    </row>
    <row r="334" spans="1:28" ht="15.6">
      <c r="A334">
        <v>13</v>
      </c>
      <c r="B334" s="327">
        <v>0.600574086134678</v>
      </c>
      <c r="D334" s="36" t="s">
        <v>599</v>
      </c>
      <c r="E334" s="25">
        <v>13</v>
      </c>
      <c r="L334" s="36" t="s">
        <v>599</v>
      </c>
      <c r="M334" s="25">
        <v>13</v>
      </c>
    </row>
    <row r="335" spans="1:28" ht="15.6">
      <c r="A335">
        <v>14</v>
      </c>
      <c r="B335" s="327">
        <v>0.57747508282180582</v>
      </c>
      <c r="D335" s="36" t="s">
        <v>600</v>
      </c>
      <c r="E335" s="25">
        <v>14</v>
      </c>
      <c r="L335" s="36" t="s">
        <v>600</v>
      </c>
      <c r="M335" s="25">
        <v>14</v>
      </c>
    </row>
    <row r="336" spans="1:28" ht="15.6">
      <c r="A336">
        <v>15</v>
      </c>
      <c r="B336" s="327">
        <v>0.55526450271327477</v>
      </c>
      <c r="D336" s="36" t="s">
        <v>601</v>
      </c>
      <c r="E336" s="25">
        <v>15</v>
      </c>
      <c r="F336" s="25" t="s">
        <v>358</v>
      </c>
      <c r="G336" s="25" t="s">
        <v>358</v>
      </c>
      <c r="L336" s="36" t="s">
        <v>601</v>
      </c>
      <c r="M336" s="25">
        <v>15</v>
      </c>
      <c r="N336" s="25" t="s">
        <v>358</v>
      </c>
      <c r="O336" s="25" t="s">
        <v>358</v>
      </c>
    </row>
    <row r="337" spans="1:13" ht="15.6">
      <c r="A337">
        <v>16</v>
      </c>
      <c r="B337" s="327">
        <v>0.53390817568584104</v>
      </c>
      <c r="D337" s="36" t="s">
        <v>602</v>
      </c>
      <c r="E337" s="25">
        <v>16</v>
      </c>
      <c r="L337" s="36" t="s">
        <v>602</v>
      </c>
      <c r="M337" s="25">
        <v>16</v>
      </c>
    </row>
    <row r="338" spans="1:13" ht="15.6">
      <c r="A338">
        <v>17</v>
      </c>
      <c r="B338" s="327">
        <v>0.51337324585177024</v>
      </c>
      <c r="D338" s="36" t="s">
        <v>603</v>
      </c>
      <c r="E338" s="25">
        <v>17</v>
      </c>
      <c r="L338" s="36" t="s">
        <v>603</v>
      </c>
      <c r="M338" s="25">
        <v>17</v>
      </c>
    </row>
    <row r="339" spans="1:13" ht="15.6">
      <c r="A339">
        <v>18</v>
      </c>
      <c r="B339" s="327">
        <v>0.49362812101131748</v>
      </c>
      <c r="D339" s="36" t="s">
        <v>604</v>
      </c>
      <c r="E339" s="25">
        <v>18</v>
      </c>
      <c r="L339" s="36" t="s">
        <v>604</v>
      </c>
      <c r="M339" s="25">
        <v>18</v>
      </c>
    </row>
    <row r="340" spans="1:13" ht="15.6">
      <c r="A340">
        <v>19</v>
      </c>
      <c r="B340" s="327">
        <v>0.47464242404934376</v>
      </c>
      <c r="D340" s="36" t="s">
        <v>605</v>
      </c>
      <c r="E340" s="25">
        <v>19</v>
      </c>
      <c r="L340" s="36" t="s">
        <v>605</v>
      </c>
      <c r="M340" s="25">
        <v>19</v>
      </c>
    </row>
    <row r="341" spans="1:13" ht="15.6">
      <c r="A341">
        <v>20</v>
      </c>
      <c r="B341" s="327">
        <v>0.45638694620129205</v>
      </c>
      <c r="D341" s="36" t="s">
        <v>606</v>
      </c>
      <c r="E341" s="25">
        <v>20</v>
      </c>
      <c r="L341" s="36" t="s">
        <v>606</v>
      </c>
      <c r="M341" s="25">
        <v>20</v>
      </c>
    </row>
    <row r="342" spans="1:13" ht="15.6">
      <c r="A342">
        <v>21</v>
      </c>
      <c r="B342" s="327">
        <v>0.43883360211662686</v>
      </c>
      <c r="D342" s="36" t="s">
        <v>607</v>
      </c>
      <c r="E342" s="25">
        <v>21</v>
      </c>
      <c r="L342" s="36" t="s">
        <v>607</v>
      </c>
      <c r="M342" s="25">
        <v>21</v>
      </c>
    </row>
    <row r="343" spans="1:13" ht="15.6">
      <c r="A343">
        <v>22</v>
      </c>
      <c r="B343" s="327">
        <v>0.42195538665060278</v>
      </c>
      <c r="D343" s="36" t="s">
        <v>608</v>
      </c>
      <c r="E343" s="25">
        <v>22</v>
      </c>
      <c r="L343" s="36" t="s">
        <v>608</v>
      </c>
      <c r="M343" s="25">
        <v>22</v>
      </c>
    </row>
    <row r="344" spans="1:13" ht="15.6">
      <c r="A344">
        <v>23</v>
      </c>
      <c r="B344" s="327">
        <v>0.40572633331788732</v>
      </c>
      <c r="D344" s="36" t="s">
        <v>609</v>
      </c>
      <c r="E344" s="25">
        <v>23</v>
      </c>
      <c r="L344" s="36" t="s">
        <v>609</v>
      </c>
      <c r="M344" s="25">
        <v>23</v>
      </c>
    </row>
    <row r="345" spans="1:13" ht="15.6">
      <c r="A345">
        <v>24</v>
      </c>
      <c r="B345" s="327">
        <v>0.39012147434412242</v>
      </c>
      <c r="D345" s="36" t="s">
        <v>610</v>
      </c>
      <c r="E345" s="25">
        <v>24</v>
      </c>
      <c r="L345" s="36" t="s">
        <v>610</v>
      </c>
      <c r="M345" s="25">
        <v>24</v>
      </c>
    </row>
    <row r="346" spans="1:13" ht="15.6">
      <c r="A346">
        <v>25</v>
      </c>
      <c r="B346" s="327">
        <v>0.37511680225396377</v>
      </c>
      <c r="D346" s="36" t="s">
        <v>611</v>
      </c>
      <c r="E346" s="25">
        <v>25</v>
      </c>
      <c r="L346" s="36" t="s">
        <v>611</v>
      </c>
      <c r="M346" s="25">
        <v>25</v>
      </c>
    </row>
    <row r="347" spans="1:13" ht="15.6">
      <c r="A347">
        <v>26</v>
      </c>
      <c r="B347" s="327">
        <v>0.36068923293650368</v>
      </c>
      <c r="D347" s="36" t="s">
        <v>612</v>
      </c>
      <c r="E347" s="25">
        <v>26</v>
      </c>
      <c r="L347" s="36" t="s">
        <v>612</v>
      </c>
      <c r="M347" s="25">
        <v>26</v>
      </c>
    </row>
    <row r="348" spans="1:13" ht="15.6">
      <c r="A348">
        <v>27</v>
      </c>
      <c r="B348" s="327">
        <v>0.3468165701312535</v>
      </c>
      <c r="D348" s="36" t="s">
        <v>613</v>
      </c>
      <c r="E348" s="25">
        <v>27</v>
      </c>
      <c r="L348" s="36" t="s">
        <v>613</v>
      </c>
      <c r="M348" s="25">
        <v>27</v>
      </c>
    </row>
    <row r="349" spans="1:13" ht="15.6">
      <c r="A349">
        <v>28</v>
      </c>
      <c r="B349" s="327">
        <v>0.3334774712800514</v>
      </c>
      <c r="D349" s="36" t="s">
        <v>614</v>
      </c>
      <c r="E349" s="25">
        <v>28</v>
      </c>
      <c r="L349" s="36" t="s">
        <v>614</v>
      </c>
      <c r="M349" s="25">
        <v>28</v>
      </c>
    </row>
    <row r="350" spans="1:13" ht="15.6">
      <c r="A350">
        <v>29</v>
      </c>
      <c r="B350" s="327">
        <v>0.32065141469235708</v>
      </c>
      <c r="D350" s="36" t="s">
        <v>615</v>
      </c>
      <c r="E350" s="25">
        <v>29</v>
      </c>
      <c r="L350" s="36" t="s">
        <v>615</v>
      </c>
      <c r="M350" s="25">
        <v>29</v>
      </c>
    </row>
    <row r="351" spans="1:13" ht="15.6">
      <c r="A351">
        <v>30</v>
      </c>
      <c r="B351" s="327">
        <v>0.30831866797342034</v>
      </c>
      <c r="D351" s="36" t="s">
        <v>616</v>
      </c>
      <c r="E351" s="25">
        <v>30</v>
      </c>
      <c r="L351" s="36" t="s">
        <v>616</v>
      </c>
      <c r="M351" s="25">
        <v>30</v>
      </c>
    </row>
    <row r="352" spans="1:13" ht="15.6">
      <c r="A352">
        <v>31</v>
      </c>
      <c r="B352" s="327">
        <v>0.29646025766675027</v>
      </c>
      <c r="D352" s="36" t="s">
        <v>617</v>
      </c>
      <c r="E352" s="25">
        <v>31</v>
      </c>
      <c r="L352" s="36" t="s">
        <v>617</v>
      </c>
      <c r="M352" s="25">
        <v>31</v>
      </c>
    </row>
    <row r="353" spans="1:13" ht="15.6">
      <c r="A353">
        <v>32</v>
      </c>
      <c r="B353" s="327">
        <v>0.28505794006418295</v>
      </c>
      <c r="D353" s="36" t="s">
        <v>618</v>
      </c>
      <c r="E353" s="25">
        <v>32</v>
      </c>
      <c r="L353" s="36" t="s">
        <v>618</v>
      </c>
      <c r="M353" s="25">
        <v>32</v>
      </c>
    </row>
    <row r="354" spans="1:13" ht="15.6">
      <c r="A354">
        <v>33</v>
      </c>
      <c r="B354" s="327">
        <v>0.27409417313863743</v>
      </c>
      <c r="D354" s="36" t="s">
        <v>619</v>
      </c>
      <c r="E354" s="25">
        <v>33</v>
      </c>
      <c r="L354" s="36" t="s">
        <v>619</v>
      </c>
      <c r="M354" s="25">
        <v>33</v>
      </c>
    </row>
    <row r="355" spans="1:13" ht="15.6">
      <c r="A355">
        <v>34</v>
      </c>
      <c r="B355" s="327">
        <v>0.26355208955638215</v>
      </c>
      <c r="D355" s="36" t="s">
        <v>620</v>
      </c>
      <c r="E355" s="25">
        <v>34</v>
      </c>
      <c r="L355" s="36" t="s">
        <v>620</v>
      </c>
      <c r="M355" s="25">
        <v>34</v>
      </c>
    </row>
    <row r="356" spans="1:13" ht="15.6">
      <c r="A356">
        <v>35</v>
      </c>
      <c r="B356" s="327">
        <v>0.25341547072729048</v>
      </c>
      <c r="D356" s="36" t="s">
        <v>621</v>
      </c>
      <c r="E356" s="25">
        <v>35</v>
      </c>
      <c r="L356" s="36" t="s">
        <v>621</v>
      </c>
      <c r="M356" s="25">
        <v>35</v>
      </c>
    </row>
    <row r="357" spans="1:13" ht="15.6">
      <c r="A357">
        <v>36</v>
      </c>
      <c r="B357" s="327">
        <v>0.24366872185316396</v>
      </c>
      <c r="D357" s="36" t="s">
        <v>622</v>
      </c>
      <c r="E357" s="25">
        <v>36</v>
      </c>
      <c r="L357" s="36" t="s">
        <v>622</v>
      </c>
      <c r="M357" s="25">
        <v>36</v>
      </c>
    </row>
    <row r="358" spans="1:13" ht="15.6">
      <c r="A358">
        <v>37</v>
      </c>
      <c r="B358" s="327">
        <v>0.23429684793573452</v>
      </c>
      <c r="D358" s="36" t="s">
        <v>623</v>
      </c>
      <c r="E358" s="25">
        <v>37</v>
      </c>
      <c r="L358" s="36" t="s">
        <v>623</v>
      </c>
      <c r="M358" s="25">
        <v>37</v>
      </c>
    </row>
    <row r="359" spans="1:13" ht="15.6">
      <c r="A359">
        <v>38</v>
      </c>
      <c r="B359" s="327">
        <v>0.22528543070743706</v>
      </c>
      <c r="D359" s="36" t="s">
        <v>624</v>
      </c>
      <c r="E359" s="25">
        <v>38</v>
      </c>
      <c r="L359" s="36" t="s">
        <v>624</v>
      </c>
      <c r="M359" s="25">
        <v>38</v>
      </c>
    </row>
    <row r="360" spans="1:13" ht="15.6">
      <c r="A360">
        <v>39</v>
      </c>
      <c r="B360" s="327">
        <v>0.21662060644945874</v>
      </c>
      <c r="D360" s="36" t="s">
        <v>625</v>
      </c>
      <c r="E360" s="25">
        <v>39</v>
      </c>
      <c r="L360" s="36" t="s">
        <v>625</v>
      </c>
      <c r="M360" s="25">
        <v>39</v>
      </c>
    </row>
    <row r="361" spans="1:13" ht="15.6">
      <c r="A361">
        <v>40</v>
      </c>
      <c r="B361" s="327">
        <v>0.20828904466294101</v>
      </c>
      <c r="D361" s="36" t="s">
        <v>626</v>
      </c>
      <c r="E361" s="25">
        <v>40</v>
      </c>
      <c r="L361" s="36" t="s">
        <v>626</v>
      </c>
      <c r="M361" s="25">
        <v>40</v>
      </c>
    </row>
    <row r="362" spans="1:13" ht="15.6">
      <c r="A362">
        <v>41</v>
      </c>
      <c r="B362" s="327">
        <v>0.20027792756052021</v>
      </c>
      <c r="D362" s="36" t="s">
        <v>627</v>
      </c>
      <c r="E362" s="25">
        <v>41</v>
      </c>
      <c r="L362" s="36" t="s">
        <v>627</v>
      </c>
      <c r="M362" s="25">
        <v>41</v>
      </c>
    </row>
    <row r="363" spans="1:13" ht="15.6">
      <c r="A363">
        <v>42</v>
      </c>
      <c r="B363" s="327">
        <v>0.19257493034665407</v>
      </c>
      <c r="D363" s="36" t="s">
        <v>628</v>
      </c>
      <c r="E363" s="25">
        <v>42</v>
      </c>
      <c r="L363" s="36" t="s">
        <v>628</v>
      </c>
      <c r="M363" s="25">
        <v>42</v>
      </c>
    </row>
    <row r="364" spans="1:13" ht="15.6">
      <c r="A364">
        <v>43</v>
      </c>
      <c r="B364" s="327">
        <v>0.18516820225639813</v>
      </c>
      <c r="D364" s="36" t="s">
        <v>629</v>
      </c>
      <c r="E364" s="25">
        <v>43</v>
      </c>
      <c r="L364" s="36" t="s">
        <v>629</v>
      </c>
      <c r="M364" s="25">
        <v>43</v>
      </c>
    </row>
    <row r="365" spans="1:13" ht="15.6">
      <c r="A365">
        <v>44</v>
      </c>
      <c r="B365" s="327">
        <v>0.17804634832345972</v>
      </c>
      <c r="D365" s="36" t="s">
        <v>630</v>
      </c>
      <c r="E365" s="25">
        <v>44</v>
      </c>
      <c r="L365" s="36" t="s">
        <v>630</v>
      </c>
      <c r="M365" s="25">
        <v>44</v>
      </c>
    </row>
    <row r="366" spans="1:13" ht="15.6">
      <c r="A366">
        <v>45</v>
      </c>
      <c r="B366" s="327">
        <v>0.17119841184948048</v>
      </c>
      <c r="D366" s="36" t="s">
        <v>631</v>
      </c>
      <c r="E366" s="25">
        <v>45</v>
      </c>
      <c r="L366" s="36" t="s">
        <v>631</v>
      </c>
      <c r="M366" s="25">
        <v>45</v>
      </c>
    </row>
    <row r="367" spans="1:13" ht="15.6">
      <c r="A367">
        <v>46</v>
      </c>
      <c r="B367" s="327">
        <v>0.1646138575475774</v>
      </c>
      <c r="D367" s="36" t="s">
        <v>632</v>
      </c>
      <c r="E367" s="25">
        <v>46</v>
      </c>
      <c r="L367" s="36" t="s">
        <v>632</v>
      </c>
      <c r="M367" s="25">
        <v>46</v>
      </c>
    </row>
    <row r="368" spans="1:13" ht="15.6">
      <c r="A368">
        <v>47</v>
      </c>
      <c r="B368" s="327">
        <v>0.15828255533420904</v>
      </c>
      <c r="D368" s="36" t="s">
        <v>633</v>
      </c>
      <c r="E368" s="25">
        <v>47</v>
      </c>
      <c r="L368" s="36" t="s">
        <v>633</v>
      </c>
      <c r="M368" s="25">
        <v>47</v>
      </c>
    </row>
    <row r="369" spans="1:13" ht="15.6">
      <c r="A369">
        <v>48</v>
      </c>
      <c r="B369" s="327">
        <v>0.15219476474443175</v>
      </c>
      <c r="D369" s="36" t="s">
        <v>634</v>
      </c>
      <c r="E369" s="25">
        <v>48</v>
      </c>
      <c r="L369" s="36" t="s">
        <v>634</v>
      </c>
      <c r="M369" s="25">
        <v>48</v>
      </c>
    </row>
    <row r="370" spans="1:13" ht="15.6">
      <c r="A370">
        <v>49</v>
      </c>
      <c r="B370" s="327">
        <v>0.14634111994656898</v>
      </c>
      <c r="D370" s="36" t="s">
        <v>635</v>
      </c>
      <c r="E370" s="25">
        <v>49</v>
      </c>
      <c r="L370" s="36" t="s">
        <v>635</v>
      </c>
      <c r="M370" s="25">
        <v>49</v>
      </c>
    </row>
    <row r="371" spans="1:13" ht="15.6">
      <c r="A371">
        <v>50</v>
      </c>
      <c r="B371" s="327">
        <v>0.14071261533323939</v>
      </c>
      <c r="D371" s="36" t="s">
        <v>636</v>
      </c>
      <c r="E371" s="25">
        <v>50</v>
      </c>
      <c r="L371" s="36" t="s">
        <v>636</v>
      </c>
      <c r="M371" s="25">
        <v>50</v>
      </c>
    </row>
    <row r="372" spans="1:13" ht="15.6">
      <c r="A372">
        <v>50</v>
      </c>
      <c r="B372" s="327">
        <f t="shared" ref="B372" si="18">1/((1+$H$320)^A372)</f>
        <v>0.14071261533323939</v>
      </c>
    </row>
    <row r="373" spans="1:13" ht="13.8" thickBot="1">
      <c r="A373" s="50"/>
      <c r="B373" s="50"/>
    </row>
    <row r="374" spans="1:13" ht="13.8" thickBot="1">
      <c r="A374" s="50"/>
      <c r="B374" s="50"/>
    </row>
    <row r="375" spans="1:13" ht="13.8" thickBot="1">
      <c r="A375" s="50"/>
      <c r="B375" s="50"/>
    </row>
    <row r="376" spans="1:13" ht="13.8" thickBot="1">
      <c r="A376" s="50"/>
      <c r="B376" s="50"/>
    </row>
    <row r="377" spans="1:13" ht="13.8" thickBot="1">
      <c r="A377" s="50"/>
      <c r="B377" s="50"/>
    </row>
    <row r="378" spans="1:13" ht="13.8" thickBot="1">
      <c r="A378" s="50"/>
      <c r="B378" s="50"/>
    </row>
    <row r="379" spans="1:13" ht="13.8" thickBot="1">
      <c r="A379" s="50"/>
      <c r="B379" s="50"/>
    </row>
    <row r="380" spans="1:13" ht="13.8" thickBot="1">
      <c r="A380" s="50"/>
      <c r="B380" s="50"/>
    </row>
    <row r="381" spans="1:13" ht="13.8" thickBot="1">
      <c r="A381" s="50"/>
      <c r="B381" s="50"/>
    </row>
    <row r="382" spans="1:13" ht="13.8" thickBot="1">
      <c r="B382" s="50"/>
    </row>
  </sheetData>
  <sheetProtection selectLockedCells="1"/>
  <mergeCells count="54">
    <mergeCell ref="Z153:AA153"/>
    <mergeCell ref="Z154:AA154"/>
    <mergeCell ref="Z155:AA155"/>
    <mergeCell ref="Z156:AA156"/>
    <mergeCell ref="Z148:AA148"/>
    <mergeCell ref="Z149:AA149"/>
    <mergeCell ref="Z150:AA150"/>
    <mergeCell ref="Z151:AA151"/>
    <mergeCell ref="Z152:AA152"/>
    <mergeCell ref="Z143:AA143"/>
    <mergeCell ref="Z144:AA144"/>
    <mergeCell ref="Z145:AA145"/>
    <mergeCell ref="Z146:AA146"/>
    <mergeCell ref="Z147:AA147"/>
    <mergeCell ref="S124:Y124"/>
    <mergeCell ref="S125:T125"/>
    <mergeCell ref="U125:Z125"/>
    <mergeCell ref="S141:Z141"/>
    <mergeCell ref="S142:T142"/>
    <mergeCell ref="U142:AA142"/>
    <mergeCell ref="A93:A94"/>
    <mergeCell ref="B93:B94"/>
    <mergeCell ref="A110:A111"/>
    <mergeCell ref="C110:C111"/>
    <mergeCell ref="D110:D111"/>
    <mergeCell ref="B3:F3"/>
    <mergeCell ref="B40:I40"/>
    <mergeCell ref="A58:A59"/>
    <mergeCell ref="B58:B59"/>
    <mergeCell ref="A75:A76"/>
    <mergeCell ref="B75:B76"/>
    <mergeCell ref="A112:A113"/>
    <mergeCell ref="C112:C113"/>
    <mergeCell ref="D112:D113"/>
    <mergeCell ref="C124:H124"/>
    <mergeCell ref="A114:A115"/>
    <mergeCell ref="C114:C115"/>
    <mergeCell ref="D114:D115"/>
    <mergeCell ref="A124:B124"/>
    <mergeCell ref="C142:H142"/>
    <mergeCell ref="A160:B160"/>
    <mergeCell ref="C160:H161"/>
    <mergeCell ref="A161:B161"/>
    <mergeCell ref="A248:B248"/>
    <mergeCell ref="C248:H248"/>
    <mergeCell ref="A196:B196"/>
    <mergeCell ref="C196:H196"/>
    <mergeCell ref="A213:B213"/>
    <mergeCell ref="C213:H213"/>
    <mergeCell ref="A231:B231"/>
    <mergeCell ref="C231:H231"/>
    <mergeCell ref="A178:B178"/>
    <mergeCell ref="C178:H178"/>
    <mergeCell ref="A142:B142"/>
  </mergeCells>
  <pageMargins left="0.75" right="0.75" top="1" bottom="1" header="0.5" footer="0.5"/>
  <pageSetup paperSize="9" orientation="portrait"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4AB9FA-A96B-4820-83EA-A0F08941EBA8}">
  <sheetPr codeName="Sheet15"/>
  <dimension ref="A1"/>
  <sheetViews>
    <sheetView zoomScaleNormal="100" workbookViewId="0">
      <selection activeCell="F41" sqref="F41"/>
    </sheetView>
  </sheetViews>
  <sheetFormatPr defaultColWidth="9" defaultRowHeight="11.4"/>
  <cols>
    <col min="1" max="16384" width="9" style="37"/>
  </cols>
  <sheetData/>
  <pageMargins left="1.1811023622047245" right="0.78740157480314965" top="0.78740157480314965" bottom="0.78740157480314965" header="0.51181102362204722" footer="0.51181102362204722"/>
  <pageSetup paperSize="9" orientation="portrait" verticalDpi="0"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E6EF73-E000-4F40-9528-0F6164141E6D}">
  <sheetPr codeName="Sheet16"/>
  <dimension ref="A1"/>
  <sheetViews>
    <sheetView zoomScaleNormal="100" workbookViewId="0">
      <selection activeCell="F41" sqref="F41"/>
    </sheetView>
  </sheetViews>
  <sheetFormatPr defaultColWidth="9" defaultRowHeight="11.4"/>
  <cols>
    <col min="1" max="16384" width="9" style="37"/>
  </cols>
  <sheetData/>
  <pageMargins left="1.1811023622047245" right="0.78740157480314965" top="0.78740157480314965" bottom="0.78740157480314965" header="0.51181102362204722" footer="0.51181102362204722"/>
  <pageSetup paperSize="9" orientation="portrait" verticalDpi="0"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A3712C-4223-4A3B-BD81-2B44E516A367}">
  <sheetPr codeName="Sheet17"/>
  <dimension ref="A1"/>
  <sheetViews>
    <sheetView zoomScaleNormal="100" workbookViewId="0">
      <selection activeCell="F41" sqref="F41"/>
    </sheetView>
  </sheetViews>
  <sheetFormatPr defaultColWidth="9" defaultRowHeight="11.4"/>
  <cols>
    <col min="1" max="16384" width="9" style="37"/>
  </cols>
  <sheetData/>
  <pageMargins left="1.1811023622047245" right="0.78740157480314965" top="0.78740157480314965" bottom="0.78740157480314965" header="0.51181102362204722" footer="0.51181102362204722"/>
  <pageSetup paperSize="9" orientation="portrait" verticalDpi="0"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E69D0C-04F9-4277-98FD-2CF7D6EA6C39}">
  <sheetPr codeName="Sheet18"/>
  <dimension ref="A1"/>
  <sheetViews>
    <sheetView zoomScaleNormal="100" workbookViewId="0">
      <selection activeCell="F41" sqref="F41"/>
    </sheetView>
  </sheetViews>
  <sheetFormatPr defaultColWidth="9" defaultRowHeight="11.4"/>
  <cols>
    <col min="1" max="16384" width="9" style="37"/>
  </cols>
  <sheetData/>
  <pageMargins left="1.1811023622047245" right="0.78740157480314965" top="0.78740157480314965" bottom="0.78740157480314965" header="0.51181102362204722" footer="0.51181102362204722"/>
  <pageSetup paperSize="9" orientation="portrait" verticalDpi="0"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1280997FB197D439016D66643BF045C" ma:contentTypeVersion="17" ma:contentTypeDescription="Create a new document." ma:contentTypeScope="" ma:versionID="0a51b0c77653501b02f08d7398b58bb9">
  <xsd:schema xmlns:xsd="http://www.w3.org/2001/XMLSchema" xmlns:xs="http://www.w3.org/2001/XMLSchema" xmlns:p="http://schemas.microsoft.com/office/2006/metadata/properties" xmlns:ns2="610edd1d-c37b-469a-931b-7a7fbdbef28d" xmlns:ns3="fe711059-3473-4d0a-bf90-08974e90274a" targetNamespace="http://schemas.microsoft.com/office/2006/metadata/properties" ma:root="true" ma:fieldsID="24d195a3041fb1f794033f441f033a9a" ns2:_="" ns3:_="">
    <xsd:import namespace="610edd1d-c37b-469a-931b-7a7fbdbef28d"/>
    <xsd:import namespace="fe711059-3473-4d0a-bf90-08974e90274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Archive"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10edd1d-c37b-469a-931b-7a7fbdbef28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db08afcf-b03d-4cde-ac2f-5a995d139700"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Archive" ma:index="20" nillable="true" ma:displayName="Archive" ma:list="UserInfo" ma:SharePointGroup="0" ma:internalName="Archive"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e711059-3473-4d0a-bf90-08974e90274a"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f870b2c0-bd8f-42f3-84a3-714cde1d916b}" ma:internalName="TaxCatchAll" ma:showField="CatchAllData" ma:web="fe711059-3473-4d0a-bf90-08974e90274a">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fe711059-3473-4d0a-bf90-08974e90274a" xsi:nil="true"/>
    <Archive xmlns="610edd1d-c37b-469a-931b-7a7fbdbef28d">
      <UserInfo>
        <DisplayName/>
        <AccountId xsi:nil="true"/>
        <AccountType/>
      </UserInfo>
    </Archive>
    <lcf76f155ced4ddcb4097134ff3c332f xmlns="610edd1d-c37b-469a-931b-7a7fbdbef28d">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40D52B73-92AE-4FE2-B99E-B1591E7B50B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10edd1d-c37b-469a-931b-7a7fbdbef28d"/>
    <ds:schemaRef ds:uri="fe711059-3473-4d0a-bf90-08974e90274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EFF9A4A-192A-41BC-82F7-99847D46638E}">
  <ds:schemaRefs>
    <ds:schemaRef ds:uri="http://schemas.microsoft.com/sharepoint/v3/contenttype/forms"/>
  </ds:schemaRefs>
</ds:datastoreItem>
</file>

<file path=customXml/itemProps3.xml><?xml version="1.0" encoding="utf-8"?>
<ds:datastoreItem xmlns:ds="http://schemas.openxmlformats.org/officeDocument/2006/customXml" ds:itemID="{4385102F-2536-46FF-9ECB-709E87AFDB07}">
  <ds:schemaRefs>
    <ds:schemaRef ds:uri="http://schemas.microsoft.com/office/infopath/2007/PartnerControls"/>
    <ds:schemaRef ds:uri="http://purl.org/dc/dcmitype/"/>
    <ds:schemaRef ds:uri="http://www.w3.org/XML/1998/namespace"/>
    <ds:schemaRef ds:uri="http://purl.org/dc/elements/1.1/"/>
    <ds:schemaRef ds:uri="610edd1d-c37b-469a-931b-7a7fbdbef28d"/>
    <ds:schemaRef ds:uri="http://schemas.microsoft.com/office/2006/documentManagement/types"/>
    <ds:schemaRef ds:uri="http://schemas.openxmlformats.org/package/2006/metadata/core-properties"/>
    <ds:schemaRef ds:uri="fe711059-3473-4d0a-bf90-08974e90274a"/>
    <ds:schemaRef ds:uri="http://schemas.microsoft.com/office/2006/metadata/properties"/>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18</vt:i4>
      </vt:variant>
      <vt:variant>
        <vt:lpstr>Named Ranges</vt:lpstr>
      </vt:variant>
      <vt:variant>
        <vt:i4>36</vt:i4>
      </vt:variant>
    </vt:vector>
  </HeadingPairs>
  <TitlesOfParts>
    <vt:vector size="54" baseType="lpstr">
      <vt:lpstr>AST</vt:lpstr>
      <vt:lpstr>Benefits Framework</vt:lpstr>
      <vt:lpstr>W1 - Summary_Upload</vt:lpstr>
      <vt:lpstr>overview &amp; guide</vt:lpstr>
      <vt:lpstr>SP5-1</vt:lpstr>
      <vt:lpstr>SP5-2</vt:lpstr>
      <vt:lpstr>SP5-3 (1)</vt:lpstr>
      <vt:lpstr>SP5-3 (2)</vt:lpstr>
      <vt:lpstr>SP5-3 (3)</vt:lpstr>
      <vt:lpstr>SP5-4</vt:lpstr>
      <vt:lpstr>SP5-5</vt:lpstr>
      <vt:lpstr>SP5-6</vt:lpstr>
      <vt:lpstr>SP5-7</vt:lpstr>
      <vt:lpstr>Tables</vt:lpstr>
      <vt:lpstr>Cost Estimates</vt:lpstr>
      <vt:lpstr>Sensitivity</vt:lpstr>
      <vt:lpstr>Working</vt:lpstr>
      <vt:lpstr>Notes</vt:lpstr>
      <vt:lpstr>_sp51</vt:lpstr>
      <vt:lpstr>_sp52</vt:lpstr>
      <vt:lpstr>'SP5-3 (2)'!_sp531</vt:lpstr>
      <vt:lpstr>'SP5-3 (3)'!_sp531</vt:lpstr>
      <vt:lpstr>_sp531</vt:lpstr>
      <vt:lpstr>_sp54</vt:lpstr>
      <vt:lpstr>_sp55</vt:lpstr>
      <vt:lpstr>_sp56</vt:lpstr>
      <vt:lpstr>_sp57</vt:lpstr>
      <vt:lpstr>Tables!_Toc149723404</vt:lpstr>
      <vt:lpstr>Tables!_Toc149723405</vt:lpstr>
      <vt:lpstr>Tables!_Toc149723406</vt:lpstr>
      <vt:lpstr>Tables!_Toc149723407</vt:lpstr>
      <vt:lpstr>Tables!_Toc149723408</vt:lpstr>
      <vt:lpstr>Tables!_Toc149723409</vt:lpstr>
      <vt:lpstr>Tables!_Toc18127489</vt:lpstr>
      <vt:lpstr>Tables!_Toc18207243</vt:lpstr>
      <vt:lpstr>Tables!_Toc18207244</vt:lpstr>
      <vt:lpstr>Tables!_Toc18207246</vt:lpstr>
      <vt:lpstr>Tables!_Toc18207247</vt:lpstr>
      <vt:lpstr>Tables!_Toc18207248</vt:lpstr>
      <vt:lpstr>Tables!_Toc18207249</vt:lpstr>
      <vt:lpstr>Tables!_Toc18207251</vt:lpstr>
      <vt:lpstr>Tables!_Toc18207253</vt:lpstr>
      <vt:lpstr>Tables!_Toc18207255</vt:lpstr>
      <vt:lpstr>'overview &amp; guide'!Print_Area</vt:lpstr>
      <vt:lpstr>'SP5-1'!Print_Area</vt:lpstr>
      <vt:lpstr>'SP5-2'!Print_Area</vt:lpstr>
      <vt:lpstr>'SP5-3 (1)'!Print_Area</vt:lpstr>
      <vt:lpstr>'SP5-3 (2)'!Print_Area</vt:lpstr>
      <vt:lpstr>'SP5-3 (3)'!Print_Area</vt:lpstr>
      <vt:lpstr>'SP5-4'!Print_Area</vt:lpstr>
      <vt:lpstr>'SP5-5'!Print_Area</vt:lpstr>
      <vt:lpstr>'SP5-6'!Print_Area</vt:lpstr>
      <vt:lpstr>'SP5-7'!Print_Area</vt:lpstr>
      <vt:lpstr>'W1 - Summary_Upload'!Print_Area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Sara Kilonback</dc:creator>
  <cp:keywords/>
  <dc:description/>
  <cp:lastModifiedBy>Wentao Yang</cp:lastModifiedBy>
  <cp:revision/>
  <dcterms:created xsi:type="dcterms:W3CDTF">2020-05-25T00:37:33Z</dcterms:created>
  <dcterms:modified xsi:type="dcterms:W3CDTF">2025-05-07T23:19:09Z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0x010100D1280997FB197D439016D66643BF045C</vt:lpwstr>
  </property>
  <property fmtid="{D5CDD505-2E9C-101B-9397-08002B2CF9AE}" pid="3" name="MediaServiceImageTags">
    <vt:lpwstr/>
  </property>
</Properties>
</file>