
<file path=[Content_Types].xml><?xml version="1.0" encoding="utf-8"?>
<Types xmlns="http://schemas.openxmlformats.org/package/2006/content-types">
  <Default Extension="bin" ContentType="application/vnd.openxmlformats-officedocument.spreadsheetml.printerSettings"/>
  <Default Extension="png" ContentType="image/png"/>
  <Default Extension="rels" ContentType="application/vnd.openxmlformats-package.relationships+xml"/>
  <Default Extension="vml" ContentType="application/vnd.openxmlformats-officedocument.vmlDrawing"/>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Override PartName="/xl/worksheets/sheet10.xml" ContentType="application/vnd.openxmlformats-officedocument.spreadsheetml.worksheet+xml"/>
  <Override PartName="/xl/worksheets/sheet11.xml" ContentType="application/vnd.openxmlformats-officedocument.spreadsheetml.worksheet+xml"/>
  <Override PartName="/xl/worksheets/sheet12.xml" ContentType="application/vnd.openxmlformats-officedocument.spreadsheetml.worksheet+xml"/>
  <Override PartName="/xl/worksheets/sheet13.xml" ContentType="application/vnd.openxmlformats-officedocument.spreadsheetml.worksheet+xml"/>
  <Override PartName="/xl/worksheets/sheet14.xml" ContentType="application/vnd.openxmlformats-officedocument.spreadsheetml.worksheet+xml"/>
  <Override PartName="/xl/worksheets/sheet15.xml" ContentType="application/vnd.openxmlformats-officedocument.spreadsheetml.worksheet+xml"/>
  <Override PartName="/xl/worksheets/sheet16.xml" ContentType="application/vnd.openxmlformats-officedocument.spreadsheetml.worksheet+xml"/>
  <Override PartName="/xl/worksheets/sheet17.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metadata.xml" ContentType="application/vnd.openxmlformats-officedocument.spreadsheetml.sheetMetadata+xml"/>
  <Override PartName="/xl/drawings/drawing1.xml" ContentType="application/vnd.openxmlformats-officedocument.drawing+xml"/>
  <Override PartName="/xl/ctrlProps/ctrlProp1.xml" ContentType="application/vnd.ms-excel.controlproperties+xml"/>
  <Override PartName="/xl/comments1.xml" ContentType="application/vnd.openxmlformats-officedocument.spreadsheetml.comments+xml"/>
  <Override PartName="/xl/tables/table1.xml" ContentType="application/vnd.openxmlformats-officedocument.spreadsheetml.table+xml"/>
  <Override PartName="/xl/tables/table2.xml" ContentType="application/vnd.openxmlformats-officedocument.spreadsheetml.table+xml"/>
  <Override PartName="/xl/tables/table3.xml" ContentType="application/vnd.openxmlformats-officedocument.spreadsheetml.table+xml"/>
  <Override PartName="/xl/tables/table4.xml" ContentType="application/vnd.openxmlformats-officedocument.spreadsheetml.table+xml"/>
  <Override PartName="/xl/tables/table5.xml" ContentType="application/vnd.openxmlformats-officedocument.spreadsheetml.table+xml"/>
  <Override PartName="/xl/tables/table6.xml" ContentType="application/vnd.openxmlformats-officedocument.spreadsheetml.table+xml"/>
  <Override PartName="/xl/tables/table7.xml" ContentType="application/vnd.openxmlformats-officedocument.spreadsheetml.table+xml"/>
  <Override PartName="/xl/comments2.xml" ContentType="application/vnd.openxmlformats-officedocument.spreadsheetml.comments+xml"/>
  <Override PartName="/xl/comments3.xml" ContentType="application/vnd.openxmlformats-officedocument.spreadsheetml.comments+xml"/>
  <Override PartName="/xl/drawings/drawing2.xml" ContentType="application/vnd.openxmlformats-officedocument.drawing+xml"/>
  <Override PartName="/xl/comments4.xml" ContentType="application/vnd.openxmlformats-officedocument.spreadsheetml.comments+xml"/>
  <Override PartName="/xl/drawings/drawing3.xml" ContentType="application/vnd.openxmlformats-officedocument.drawing+xml"/>
  <Override PartName="/xl/comments5.xml" ContentType="application/vnd.openxmlformats-officedocument.spreadsheetml.comments+xml"/>
  <Override PartName="/xl/comments6.xml" ContentType="application/vnd.openxmlformats-officedocument.spreadsheetml.comments+xml"/>
  <Override PartName="/xl/drawings/drawing4.xml" ContentType="application/vnd.openxmlformats-officedocument.drawing+xml"/>
  <Override PartName="/xl/comments7.xml" ContentType="application/vnd.openxmlformats-officedocument.spreadsheetml.comments+xml"/>
  <Override PartName="/xl/comments8.xml" ContentType="application/vnd.openxmlformats-officedocument.spreadsheetml.comments+xml"/>
  <Override PartName="/xl/comments9.xml" ContentType="application/vnd.openxmlformats-officedocument.spreadsheetml.comments+xml"/>
  <Override PartName="/xl/calcChain.xml" ContentType="application/vnd.openxmlformats-officedocument.spreadsheetml.calcChain+xml"/>
  <Override PartName="/customXml/itemProps1.xml" ContentType="application/vnd.openxmlformats-officedocument.customXmlProperties+xml"/>
  <Override PartName="/customXml/itemProps2.xml" ContentType="application/vnd.openxmlformats-officedocument.customXmlProperties+xml"/>
  <Override PartName="/customXml/itemProps3.xml" ContentType="application/vnd.openxmlformats-officedocument.customXmlProperties+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7928"/>
  <workbookPr showInkAnnotation="0" codeName="ThisWorkbook" autoCompressPictures="0"/>
  <mc:AlternateContent xmlns:mc="http://schemas.openxmlformats.org/markup-compatibility/2006">
    <mc:Choice Requires="x15">
      <x15ac:absPath xmlns:x15ac="http://schemas.microsoft.com/office/spreadsheetml/2010/11/ac" url="C:\Users\wentaoy\AppData\Roaming\OpenText\OTEdit\EC_infohub\c49222404\"/>
    </mc:Choice>
  </mc:AlternateContent>
  <xr:revisionPtr revIDLastSave="0" documentId="13_ncr:1_{7BCD321F-E3B1-45F8-AD3F-0BF8E715200F}" xr6:coauthVersionLast="47" xr6:coauthVersionMax="47" xr10:uidLastSave="{00000000-0000-0000-0000-000000000000}"/>
  <workbookProtection workbookAlgorithmName="SHA-512" workbookHashValue="bT8+RUkpeU7c5fKgctv7J/ybKkOrdblU33YGvdrPQXOmdZi/DXYTyx/Y7jip2q5qvWPyXSEG6w5uqIiidhodsw==" workbookSaltValue="VE53OcCbRzjmiQ83nA46Xg==" workbookSpinCount="100000" lockStructure="1"/>
  <bookViews>
    <workbookView xWindow="-108" yWindow="-108" windowWidth="30936" windowHeight="16776" tabRatio="733" activeTab="4" xr2:uid="{00000000-000D-0000-FFFF-FFFF00000000}"/>
  </bookViews>
  <sheets>
    <sheet name="AST" sheetId="2" r:id="rId1"/>
    <sheet name="Benefits Framework" sheetId="3" state="hidden" r:id="rId2"/>
    <sheet name="W1 - Summary_Upload" sheetId="92" state="hidden" r:id="rId3"/>
    <sheet name="Overview and guide" sheetId="93" r:id="rId4"/>
    <sheet name="SP4-1" sheetId="94" r:id="rId5"/>
    <sheet name="SP4-2" sheetId="95" r:id="rId6"/>
    <sheet name="SP4-3 (1)" sheetId="96" r:id="rId7"/>
    <sheet name="SP4-3 (2)" sheetId="97" r:id="rId8"/>
    <sheet name="SP4-4" sheetId="98" r:id="rId9"/>
    <sheet name="SP4-5" sheetId="99" r:id="rId10"/>
    <sheet name="SP4-6" sheetId="100" r:id="rId11"/>
    <sheet name="SP4-7" sheetId="101" r:id="rId12"/>
    <sheet name="Tables" sheetId="102" state="hidden" r:id="rId13"/>
    <sheet name="Cost Estimates" sheetId="103" r:id="rId14"/>
    <sheet name="Sensitivity" sheetId="104" r:id="rId15"/>
    <sheet name="Working" sheetId="105" r:id="rId16"/>
    <sheet name="Notes" sheetId="106" r:id="rId17"/>
  </sheets>
  <definedNames>
    <definedName name="__sp12">#REF!</definedName>
    <definedName name="__sp131">#REF!</definedName>
    <definedName name="__sp132">#REF!</definedName>
    <definedName name="__sp133">#REF!</definedName>
    <definedName name="__sp134">#REF!</definedName>
    <definedName name="_sp11">#REF!</definedName>
    <definedName name="_sp111">#REF!</definedName>
    <definedName name="_sp112">#REF!</definedName>
    <definedName name="_sp1131">#REF!</definedName>
    <definedName name="_sp1132">#REF!</definedName>
    <definedName name="_sp1133">#REF!</definedName>
    <definedName name="_sp114">#REF!</definedName>
    <definedName name="_sp115">#REF!</definedName>
    <definedName name="_sp116">#REF!</definedName>
    <definedName name="_sp117">#REF!</definedName>
    <definedName name="_sp118">#REF!</definedName>
    <definedName name="_sp12">#REF!</definedName>
    <definedName name="_sp131">#REF!</definedName>
    <definedName name="_sp132">#REF!</definedName>
    <definedName name="_sp133">#REF!</definedName>
    <definedName name="_sp134">#REF!</definedName>
    <definedName name="_sp31">#REF!</definedName>
    <definedName name="_sp32">#REF!</definedName>
    <definedName name="_sp331">#REF!</definedName>
    <definedName name="_sp332">#REF!</definedName>
    <definedName name="_sp333">#REF!</definedName>
    <definedName name="_sp34">#REF!</definedName>
    <definedName name="_sp35">#REF!</definedName>
    <definedName name="_sp36">#REF!</definedName>
    <definedName name="_sp37">#REF!</definedName>
    <definedName name="_Toc149723404" localSheetId="12">Tables!$A$55</definedName>
    <definedName name="_Toc149723405" localSheetId="12">Tables!$A$91</definedName>
    <definedName name="_Toc149723406" localSheetId="12">Tables!$A$122</definedName>
    <definedName name="_Toc149723407" localSheetId="12">Tables!$A$158</definedName>
    <definedName name="_Toc149723408" localSheetId="12">Tables!$A$194</definedName>
    <definedName name="_Toc149723409" localSheetId="12">Tables!$A$229</definedName>
    <definedName name="_Toc18127489" localSheetId="12">Tables!$A$56</definedName>
    <definedName name="_Toc18207243" localSheetId="12">Tables!$B$56</definedName>
    <definedName name="_Toc18207244" localSheetId="12">Tables!$A$73</definedName>
    <definedName name="_Toc18207246" localSheetId="12">Tables!$A$108</definedName>
    <definedName name="_Toc18207247" localSheetId="12">Tables!$A$109</definedName>
    <definedName name="_Toc18207248" localSheetId="12">Tables!$A$123</definedName>
    <definedName name="_Toc18207249" localSheetId="12">Tables!$A$140</definedName>
    <definedName name="_Toc18207251" localSheetId="12">Tables!$A$176</definedName>
    <definedName name="_Toc18207253" localSheetId="12">Tables!$A$211</definedName>
    <definedName name="_Toc18207255" localSheetId="12">Tables!$A$246</definedName>
    <definedName name="OG">#REF!</definedName>
    <definedName name="_xlnm.Print_Area" localSheetId="4">'SP4-1'!$A$2:$O$60</definedName>
    <definedName name="_xlnm.Print_Area" localSheetId="5">'SP4-2'!$A$2:$U$37</definedName>
    <definedName name="_xlnm.Print_Area" localSheetId="6">'SP4-3 (1)'!$A$2:$T$35</definedName>
    <definedName name="_xlnm.Print_Area" localSheetId="7">'SP4-3 (2)'!$A$2:$T$35</definedName>
    <definedName name="_xlnm.Print_Area" localSheetId="8">'SP4-4'!$A$2:$S$39</definedName>
    <definedName name="_xlnm.Print_Area" localSheetId="9">'SP4-5'!$A$2:$S$32</definedName>
    <definedName name="_xlnm.Print_Area" localSheetId="10">'SP4-6'!$A$2:$R$42</definedName>
    <definedName name="_xlnm.Print_Area" localSheetId="11">'SP4-7'!$A$2:$I$29</definedName>
    <definedName name="_xlnm.Print_Area" localSheetId="2">'W1 - Summary_Upload'!$D$1:$J$92</definedName>
  </definedNames>
  <calcPr calcId="191028"/>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 xmlns:mx="http://schemas.microsoft.com/office/mac/excel/2008/main" uri="{7523E5D3-25F3-A5E0-1632-64F254C22452}">
      <mx:ArchID Flags="2"/>
    </ext>
  </extLst>
</workbook>
</file>

<file path=xl/calcChain.xml><?xml version="1.0" encoding="utf-8"?>
<calcChain xmlns="http://schemas.openxmlformats.org/spreadsheetml/2006/main">
  <c r="E70" i="100" l="1"/>
  <c r="D70" i="100"/>
  <c r="C70" i="100"/>
  <c r="B70" i="100"/>
  <c r="H37" i="99"/>
  <c r="G37" i="99"/>
  <c r="F37" i="99"/>
  <c r="E37" i="99"/>
  <c r="J44" i="98"/>
  <c r="I44" i="98"/>
  <c r="H44" i="98"/>
  <c r="G44" i="98"/>
  <c r="N23" i="97"/>
  <c r="N24" i="97"/>
  <c r="N26" i="97"/>
  <c r="N27" i="97"/>
  <c r="N28" i="97"/>
  <c r="N29" i="97"/>
  <c r="N22" i="97"/>
  <c r="Q25" i="102"/>
  <c r="Q26" i="102"/>
  <c r="Q27" i="102"/>
  <c r="N25" i="97" s="1"/>
  <c r="Q28" i="102"/>
  <c r="Q29" i="102"/>
  <c r="Q30" i="102"/>
  <c r="Q31" i="102"/>
  <c r="Q32" i="102"/>
  <c r="N30" i="97" s="1"/>
  <c r="Q24" i="102"/>
  <c r="O16" i="97"/>
  <c r="O8" i="97"/>
  <c r="N24" i="96"/>
  <c r="N25" i="96"/>
  <c r="N26" i="96"/>
  <c r="N27" i="96"/>
  <c r="N28" i="96"/>
  <c r="N29" i="96"/>
  <c r="P25" i="102"/>
  <c r="N23" i="96" s="1"/>
  <c r="P26" i="102"/>
  <c r="P27" i="102"/>
  <c r="P28" i="102"/>
  <c r="P29" i="102"/>
  <c r="P30" i="102"/>
  <c r="P31" i="102"/>
  <c r="P32" i="102"/>
  <c r="N30" i="96" s="1"/>
  <c r="P24" i="102"/>
  <c r="N22" i="96" s="1"/>
  <c r="O8" i="96"/>
  <c r="O26" i="95"/>
  <c r="O27" i="95"/>
  <c r="O28" i="95"/>
  <c r="O29" i="95"/>
  <c r="O31" i="95"/>
  <c r="O25" i="102"/>
  <c r="O25" i="95" s="1"/>
  <c r="O26" i="102"/>
  <c r="O27" i="102"/>
  <c r="O28" i="102"/>
  <c r="O29" i="102"/>
  <c r="O30" i="102"/>
  <c r="O30" i="95" s="1"/>
  <c r="O31" i="102"/>
  <c r="O32" i="102"/>
  <c r="O32" i="95" s="1"/>
  <c r="O24" i="102"/>
  <c r="O24" i="95" s="1"/>
  <c r="O16" i="102"/>
  <c r="O14" i="102"/>
  <c r="O13" i="102"/>
  <c r="O12" i="102"/>
  <c r="O16" i="96" s="1"/>
  <c r="O11" i="102"/>
  <c r="O6" i="102"/>
  <c r="O15" i="102" s="1"/>
  <c r="O5" i="102"/>
  <c r="P18" i="95" l="1"/>
  <c r="O7" i="102"/>
  <c r="O8" i="102"/>
  <c r="H262" i="102" l="1"/>
  <c r="G262" i="102"/>
  <c r="F262" i="102"/>
  <c r="E262" i="102"/>
  <c r="D262" i="102"/>
  <c r="C262" i="102"/>
  <c r="H261" i="102"/>
  <c r="G261" i="102"/>
  <c r="F261" i="102"/>
  <c r="E261" i="102"/>
  <c r="D261" i="102"/>
  <c r="C261" i="102"/>
  <c r="H260" i="102"/>
  <c r="G260" i="102"/>
  <c r="F260" i="102"/>
  <c r="E260" i="102"/>
  <c r="D260" i="102"/>
  <c r="C260" i="102"/>
  <c r="H259" i="102"/>
  <c r="G259" i="102"/>
  <c r="F259" i="102"/>
  <c r="E259" i="102"/>
  <c r="D259" i="102"/>
  <c r="C259" i="102"/>
  <c r="H258" i="102"/>
  <c r="G258" i="102"/>
  <c r="F258" i="102"/>
  <c r="E258" i="102"/>
  <c r="D258" i="102"/>
  <c r="C258" i="102"/>
  <c r="H257" i="102"/>
  <c r="G257" i="102"/>
  <c r="F257" i="102"/>
  <c r="E257" i="102"/>
  <c r="D257" i="102"/>
  <c r="C257" i="102"/>
  <c r="H256" i="102"/>
  <c r="G256" i="102"/>
  <c r="F256" i="102"/>
  <c r="E256" i="102"/>
  <c r="D256" i="102"/>
  <c r="C256" i="102"/>
  <c r="H255" i="102"/>
  <c r="G255" i="102"/>
  <c r="F255" i="102"/>
  <c r="E255" i="102"/>
  <c r="D255" i="102"/>
  <c r="C255" i="102"/>
  <c r="H254" i="102"/>
  <c r="G254" i="102"/>
  <c r="F254" i="102"/>
  <c r="E254" i="102"/>
  <c r="D254" i="102"/>
  <c r="C254" i="102"/>
  <c r="H253" i="102"/>
  <c r="G253" i="102"/>
  <c r="F253" i="102"/>
  <c r="E253" i="102"/>
  <c r="D253" i="102"/>
  <c r="C253" i="102"/>
  <c r="H252" i="102"/>
  <c r="G252" i="102"/>
  <c r="F252" i="102"/>
  <c r="E252" i="102"/>
  <c r="D252" i="102"/>
  <c r="C252" i="102"/>
  <c r="H251" i="102"/>
  <c r="G251" i="102"/>
  <c r="F251" i="102"/>
  <c r="E251" i="102"/>
  <c r="D251" i="102"/>
  <c r="C251" i="102"/>
  <c r="H250" i="102"/>
  <c r="G250" i="102"/>
  <c r="F250" i="102"/>
  <c r="E250" i="102"/>
  <c r="D250" i="102"/>
  <c r="C250" i="102"/>
  <c r="A250" i="102" a="1"/>
  <c r="A250" i="102" s="1"/>
  <c r="A249" i="102" a="1"/>
  <c r="A249" i="102" s="1"/>
  <c r="A248" i="102"/>
  <c r="B247" i="102"/>
  <c r="H245" i="102"/>
  <c r="G245" i="102"/>
  <c r="F245" i="102"/>
  <c r="E245" i="102"/>
  <c r="D245" i="102"/>
  <c r="C245" i="102"/>
  <c r="H244" i="102"/>
  <c r="G244" i="102"/>
  <c r="F244" i="102"/>
  <c r="E244" i="102"/>
  <c r="D244" i="102"/>
  <c r="C244" i="102"/>
  <c r="H243" i="102"/>
  <c r="G243" i="102"/>
  <c r="F243" i="102"/>
  <c r="E243" i="102"/>
  <c r="D243" i="102"/>
  <c r="C243" i="102"/>
  <c r="H242" i="102"/>
  <c r="G242" i="102"/>
  <c r="F242" i="102"/>
  <c r="E242" i="102"/>
  <c r="D242" i="102"/>
  <c r="C242" i="102"/>
  <c r="H241" i="102"/>
  <c r="G241" i="102"/>
  <c r="F241" i="102"/>
  <c r="E241" i="102"/>
  <c r="D241" i="102"/>
  <c r="C241" i="102"/>
  <c r="H240" i="102"/>
  <c r="G240" i="102"/>
  <c r="F240" i="102"/>
  <c r="E240" i="102"/>
  <c r="D240" i="102"/>
  <c r="C240" i="102"/>
  <c r="H239" i="102"/>
  <c r="G239" i="102"/>
  <c r="F239" i="102"/>
  <c r="E239" i="102"/>
  <c r="D239" i="102"/>
  <c r="C239" i="102"/>
  <c r="H238" i="102"/>
  <c r="G238" i="102"/>
  <c r="F238" i="102"/>
  <c r="E238" i="102"/>
  <c r="D238" i="102"/>
  <c r="C238" i="102"/>
  <c r="H237" i="102"/>
  <c r="G237" i="102"/>
  <c r="F237" i="102"/>
  <c r="E237" i="102"/>
  <c r="D237" i="102"/>
  <c r="C237" i="102"/>
  <c r="H236" i="102"/>
  <c r="G236" i="102"/>
  <c r="F236" i="102"/>
  <c r="E236" i="102"/>
  <c r="D236" i="102"/>
  <c r="C236" i="102"/>
  <c r="H235" i="102"/>
  <c r="G235" i="102"/>
  <c r="F235" i="102"/>
  <c r="E235" i="102"/>
  <c r="D235" i="102"/>
  <c r="C235" i="102"/>
  <c r="H234" i="102"/>
  <c r="G234" i="102"/>
  <c r="F234" i="102"/>
  <c r="E234" i="102"/>
  <c r="D234" i="102"/>
  <c r="C234" i="102"/>
  <c r="H233" i="102"/>
  <c r="G233" i="102"/>
  <c r="F233" i="102"/>
  <c r="E233" i="102"/>
  <c r="D233" i="102"/>
  <c r="C233" i="102"/>
  <c r="A233" i="102" a="1"/>
  <c r="A233" i="102" s="1"/>
  <c r="A232" i="102" a="1"/>
  <c r="A232" i="102" s="1"/>
  <c r="A231" i="102"/>
  <c r="B230" i="102"/>
  <c r="H227" i="102"/>
  <c r="G227" i="102"/>
  <c r="F227" i="102"/>
  <c r="E227" i="102"/>
  <c r="D227" i="102"/>
  <c r="C227" i="102"/>
  <c r="H226" i="102"/>
  <c r="G226" i="102"/>
  <c r="F226" i="102"/>
  <c r="E226" i="102"/>
  <c r="D226" i="102"/>
  <c r="C226" i="102"/>
  <c r="H225" i="102"/>
  <c r="G225" i="102"/>
  <c r="F225" i="102"/>
  <c r="E225" i="102"/>
  <c r="D225" i="102"/>
  <c r="C225" i="102"/>
  <c r="H224" i="102"/>
  <c r="G224" i="102"/>
  <c r="F224" i="102"/>
  <c r="E224" i="102"/>
  <c r="D224" i="102"/>
  <c r="C224" i="102"/>
  <c r="H223" i="102"/>
  <c r="G223" i="102"/>
  <c r="F223" i="102"/>
  <c r="E223" i="102"/>
  <c r="D223" i="102"/>
  <c r="C223" i="102"/>
  <c r="H222" i="102"/>
  <c r="G222" i="102"/>
  <c r="F222" i="102"/>
  <c r="E222" i="102"/>
  <c r="D222" i="102"/>
  <c r="C222" i="102"/>
  <c r="H221" i="102"/>
  <c r="G221" i="102"/>
  <c r="F221" i="102"/>
  <c r="E221" i="102"/>
  <c r="D221" i="102"/>
  <c r="C221" i="102"/>
  <c r="H220" i="102"/>
  <c r="G220" i="102"/>
  <c r="F220" i="102"/>
  <c r="E220" i="102"/>
  <c r="D220" i="102"/>
  <c r="C220" i="102"/>
  <c r="H219" i="102"/>
  <c r="G219" i="102"/>
  <c r="F219" i="102"/>
  <c r="E219" i="102"/>
  <c r="D219" i="102"/>
  <c r="C219" i="102"/>
  <c r="H218" i="102"/>
  <c r="G218" i="102"/>
  <c r="F218" i="102"/>
  <c r="E218" i="102"/>
  <c r="D218" i="102"/>
  <c r="C218" i="102"/>
  <c r="H217" i="102"/>
  <c r="G217" i="102"/>
  <c r="F217" i="102"/>
  <c r="E217" i="102"/>
  <c r="D217" i="102"/>
  <c r="C217" i="102"/>
  <c r="H216" i="102"/>
  <c r="G216" i="102"/>
  <c r="F216" i="102"/>
  <c r="E216" i="102"/>
  <c r="D216" i="102"/>
  <c r="C216" i="102"/>
  <c r="H215" i="102"/>
  <c r="G215" i="102"/>
  <c r="F215" i="102"/>
  <c r="E215" i="102"/>
  <c r="D215" i="102"/>
  <c r="C215" i="102"/>
  <c r="A215" i="102" a="1"/>
  <c r="A215" i="102" s="1"/>
  <c r="A214" i="102" a="1"/>
  <c r="A214" i="102" s="1"/>
  <c r="A213" i="102"/>
  <c r="B212" i="102"/>
  <c r="H210" i="102"/>
  <c r="G210" i="102"/>
  <c r="F210" i="102"/>
  <c r="E210" i="102"/>
  <c r="D210" i="102"/>
  <c r="C210" i="102"/>
  <c r="H209" i="102"/>
  <c r="G209" i="102"/>
  <c r="F209" i="102"/>
  <c r="E209" i="102"/>
  <c r="D209" i="102"/>
  <c r="C209" i="102"/>
  <c r="H208" i="102"/>
  <c r="G208" i="102"/>
  <c r="F208" i="102"/>
  <c r="E208" i="102"/>
  <c r="D208" i="102"/>
  <c r="C208" i="102"/>
  <c r="H207" i="102"/>
  <c r="G207" i="102"/>
  <c r="F207" i="102"/>
  <c r="E207" i="102"/>
  <c r="D207" i="102"/>
  <c r="C207" i="102"/>
  <c r="H206" i="102"/>
  <c r="G206" i="102"/>
  <c r="F206" i="102"/>
  <c r="E206" i="102"/>
  <c r="D206" i="102"/>
  <c r="C206" i="102"/>
  <c r="H205" i="102"/>
  <c r="G205" i="102"/>
  <c r="F205" i="102"/>
  <c r="E205" i="102"/>
  <c r="D205" i="102"/>
  <c r="C205" i="102"/>
  <c r="H204" i="102"/>
  <c r="G204" i="102"/>
  <c r="F204" i="102"/>
  <c r="E204" i="102"/>
  <c r="D204" i="102"/>
  <c r="C204" i="102"/>
  <c r="H203" i="102"/>
  <c r="G203" i="102"/>
  <c r="F203" i="102"/>
  <c r="E203" i="102"/>
  <c r="D203" i="102"/>
  <c r="C203" i="102"/>
  <c r="H202" i="102"/>
  <c r="G202" i="102"/>
  <c r="F202" i="102"/>
  <c r="E202" i="102"/>
  <c r="D202" i="102"/>
  <c r="C202" i="102"/>
  <c r="H201" i="102"/>
  <c r="G201" i="102"/>
  <c r="F201" i="102"/>
  <c r="E201" i="102"/>
  <c r="D201" i="102"/>
  <c r="C201" i="102"/>
  <c r="H200" i="102"/>
  <c r="G200" i="102"/>
  <c r="F200" i="102"/>
  <c r="E200" i="102"/>
  <c r="D200" i="102"/>
  <c r="C200" i="102"/>
  <c r="H199" i="102"/>
  <c r="G199" i="102"/>
  <c r="F199" i="102"/>
  <c r="E199" i="102"/>
  <c r="D199" i="102"/>
  <c r="C199" i="102"/>
  <c r="H198" i="102"/>
  <c r="G198" i="102"/>
  <c r="F198" i="102"/>
  <c r="E198" i="102"/>
  <c r="D198" i="102"/>
  <c r="C198" i="102"/>
  <c r="A198" i="102" a="1"/>
  <c r="A198" i="102" s="1"/>
  <c r="A197" i="102" a="1"/>
  <c r="A197" i="102" s="1"/>
  <c r="A196" i="102"/>
  <c r="B195" i="102"/>
  <c r="H192" i="102"/>
  <c r="G192" i="102"/>
  <c r="F192" i="102"/>
  <c r="E192" i="102"/>
  <c r="D192" i="102"/>
  <c r="C192" i="102"/>
  <c r="H191" i="102"/>
  <c r="G191" i="102"/>
  <c r="F191" i="102"/>
  <c r="E191" i="102"/>
  <c r="D191" i="102"/>
  <c r="C191" i="102"/>
  <c r="H190" i="102"/>
  <c r="G190" i="102"/>
  <c r="F190" i="102"/>
  <c r="E190" i="102"/>
  <c r="D190" i="102"/>
  <c r="C190" i="102"/>
  <c r="H189" i="102"/>
  <c r="G189" i="102"/>
  <c r="F189" i="102"/>
  <c r="E189" i="102"/>
  <c r="D189" i="102"/>
  <c r="C189" i="102"/>
  <c r="H188" i="102"/>
  <c r="G188" i="102"/>
  <c r="F188" i="102"/>
  <c r="E188" i="102"/>
  <c r="D188" i="102"/>
  <c r="C188" i="102"/>
  <c r="H187" i="102"/>
  <c r="G187" i="102"/>
  <c r="F187" i="102"/>
  <c r="E187" i="102"/>
  <c r="D187" i="102"/>
  <c r="C187" i="102"/>
  <c r="H186" i="102"/>
  <c r="G186" i="102"/>
  <c r="F186" i="102"/>
  <c r="E186" i="102"/>
  <c r="D186" i="102"/>
  <c r="C186" i="102"/>
  <c r="H185" i="102"/>
  <c r="G185" i="102"/>
  <c r="F185" i="102"/>
  <c r="E185" i="102"/>
  <c r="D185" i="102"/>
  <c r="C185" i="102"/>
  <c r="H184" i="102"/>
  <c r="G184" i="102"/>
  <c r="F184" i="102"/>
  <c r="E184" i="102"/>
  <c r="D184" i="102"/>
  <c r="C184" i="102"/>
  <c r="H183" i="102"/>
  <c r="G183" i="102"/>
  <c r="F183" i="102"/>
  <c r="E183" i="102"/>
  <c r="D183" i="102"/>
  <c r="C183" i="102"/>
  <c r="H182" i="102"/>
  <c r="G182" i="102"/>
  <c r="F182" i="102"/>
  <c r="E182" i="102"/>
  <c r="D182" i="102"/>
  <c r="C182" i="102"/>
  <c r="H181" i="102"/>
  <c r="G181" i="102"/>
  <c r="F181" i="102"/>
  <c r="E181" i="102"/>
  <c r="D181" i="102"/>
  <c r="C181" i="102"/>
  <c r="H180" i="102"/>
  <c r="G180" i="102"/>
  <c r="F180" i="102"/>
  <c r="E180" i="102"/>
  <c r="D180" i="102"/>
  <c r="C180" i="102"/>
  <c r="A180" i="102" a="1"/>
  <c r="A180" i="102" s="1"/>
  <c r="A179" i="102" a="1"/>
  <c r="A179" i="102" s="1"/>
  <c r="A178" i="102"/>
  <c r="B177" i="102"/>
  <c r="H175" i="102"/>
  <c r="G175" i="102"/>
  <c r="F175" i="102"/>
  <c r="E175" i="102"/>
  <c r="D175" i="102"/>
  <c r="C175" i="102"/>
  <c r="H174" i="102"/>
  <c r="G174" i="102"/>
  <c r="F174" i="102"/>
  <c r="E174" i="102"/>
  <c r="D174" i="102"/>
  <c r="C174" i="102"/>
  <c r="H173" i="102"/>
  <c r="G173" i="102"/>
  <c r="F173" i="102"/>
  <c r="E173" i="102"/>
  <c r="D173" i="102"/>
  <c r="C173" i="102"/>
  <c r="H172" i="102"/>
  <c r="G172" i="102"/>
  <c r="F172" i="102"/>
  <c r="E172" i="102"/>
  <c r="D172" i="102"/>
  <c r="C172" i="102"/>
  <c r="H171" i="102"/>
  <c r="G171" i="102"/>
  <c r="F171" i="102"/>
  <c r="E171" i="102"/>
  <c r="D171" i="102"/>
  <c r="C171" i="102"/>
  <c r="H170" i="102"/>
  <c r="G170" i="102"/>
  <c r="F170" i="102"/>
  <c r="E170" i="102"/>
  <c r="D170" i="102"/>
  <c r="C170" i="102"/>
  <c r="H169" i="102"/>
  <c r="G169" i="102"/>
  <c r="F169" i="102"/>
  <c r="E169" i="102"/>
  <c r="D169" i="102"/>
  <c r="C169" i="102"/>
  <c r="H168" i="102"/>
  <c r="G168" i="102"/>
  <c r="F168" i="102"/>
  <c r="E168" i="102"/>
  <c r="D168" i="102"/>
  <c r="C168" i="102"/>
  <c r="H167" i="102"/>
  <c r="G167" i="102"/>
  <c r="F167" i="102"/>
  <c r="E167" i="102"/>
  <c r="D167" i="102"/>
  <c r="C167" i="102"/>
  <c r="H166" i="102"/>
  <c r="G166" i="102"/>
  <c r="F166" i="102"/>
  <c r="E166" i="102"/>
  <c r="D166" i="102"/>
  <c r="C166" i="102"/>
  <c r="H165" i="102"/>
  <c r="G165" i="102"/>
  <c r="F165" i="102"/>
  <c r="E165" i="102"/>
  <c r="D165" i="102"/>
  <c r="C165" i="102"/>
  <c r="H164" i="102"/>
  <c r="G164" i="102"/>
  <c r="F164" i="102"/>
  <c r="E164" i="102"/>
  <c r="D164" i="102"/>
  <c r="C164" i="102"/>
  <c r="H163" i="102"/>
  <c r="G163" i="102"/>
  <c r="F163" i="102"/>
  <c r="E163" i="102"/>
  <c r="D163" i="102"/>
  <c r="C163" i="102"/>
  <c r="A163" i="102" a="1"/>
  <c r="A163" i="102" s="1"/>
  <c r="A162" i="102" a="1"/>
  <c r="A162" i="102" s="1"/>
  <c r="A160" i="102"/>
  <c r="B159" i="102"/>
  <c r="H156" i="102"/>
  <c r="G156" i="102"/>
  <c r="F156" i="102"/>
  <c r="E156" i="102"/>
  <c r="D156" i="102"/>
  <c r="C156" i="102"/>
  <c r="H155" i="102"/>
  <c r="G155" i="102"/>
  <c r="F155" i="102"/>
  <c r="E155" i="102"/>
  <c r="D155" i="102"/>
  <c r="C155" i="102"/>
  <c r="H154" i="102"/>
  <c r="G154" i="102"/>
  <c r="F154" i="102"/>
  <c r="E154" i="102"/>
  <c r="D154" i="102"/>
  <c r="C154" i="102"/>
  <c r="H153" i="102"/>
  <c r="G153" i="102"/>
  <c r="F153" i="102"/>
  <c r="E153" i="102"/>
  <c r="D153" i="102"/>
  <c r="C153" i="102"/>
  <c r="H152" i="102"/>
  <c r="G152" i="102"/>
  <c r="F152" i="102"/>
  <c r="E152" i="102"/>
  <c r="D152" i="102"/>
  <c r="C152" i="102"/>
  <c r="H151" i="102"/>
  <c r="G151" i="102"/>
  <c r="F151" i="102"/>
  <c r="E151" i="102"/>
  <c r="D151" i="102"/>
  <c r="C151" i="102"/>
  <c r="H150" i="102"/>
  <c r="G150" i="102"/>
  <c r="F150" i="102"/>
  <c r="E150" i="102"/>
  <c r="D150" i="102"/>
  <c r="C150" i="102"/>
  <c r="H149" i="102"/>
  <c r="G149" i="102"/>
  <c r="F149" i="102"/>
  <c r="E149" i="102"/>
  <c r="D149" i="102"/>
  <c r="C149" i="102"/>
  <c r="H148" i="102"/>
  <c r="G148" i="102"/>
  <c r="F148" i="102"/>
  <c r="E148" i="102"/>
  <c r="D148" i="102"/>
  <c r="C148" i="102"/>
  <c r="H147" i="102"/>
  <c r="G147" i="102"/>
  <c r="F147" i="102"/>
  <c r="E147" i="102"/>
  <c r="D147" i="102"/>
  <c r="C147" i="102"/>
  <c r="H146" i="102"/>
  <c r="G146" i="102"/>
  <c r="F146" i="102"/>
  <c r="E146" i="102"/>
  <c r="D146" i="102"/>
  <c r="C146" i="102"/>
  <c r="H145" i="102"/>
  <c r="G145" i="102"/>
  <c r="F145" i="102"/>
  <c r="E145" i="102"/>
  <c r="D145" i="102"/>
  <c r="C145" i="102"/>
  <c r="H144" i="102"/>
  <c r="G144" i="102"/>
  <c r="F144" i="102"/>
  <c r="E144" i="102"/>
  <c r="D144" i="102"/>
  <c r="C144" i="102"/>
  <c r="A144" i="102" a="1"/>
  <c r="A144" i="102" s="1"/>
  <c r="A143" i="102" a="1"/>
  <c r="A143" i="102" s="1"/>
  <c r="A142" i="102"/>
  <c r="B141" i="102"/>
  <c r="H139" i="102"/>
  <c r="G139" i="102"/>
  <c r="F139" i="102"/>
  <c r="E139" i="102"/>
  <c r="D139" i="102"/>
  <c r="C139" i="102"/>
  <c r="H138" i="102"/>
  <c r="G138" i="102"/>
  <c r="F138" i="102"/>
  <c r="E138" i="102"/>
  <c r="D138" i="102"/>
  <c r="C138" i="102"/>
  <c r="H137" i="102"/>
  <c r="G137" i="102"/>
  <c r="F137" i="102"/>
  <c r="E137" i="102"/>
  <c r="D137" i="102"/>
  <c r="C137" i="102"/>
  <c r="H136" i="102"/>
  <c r="G136" i="102"/>
  <c r="F136" i="102"/>
  <c r="E136" i="102"/>
  <c r="D136" i="102"/>
  <c r="C136" i="102"/>
  <c r="H135" i="102"/>
  <c r="G135" i="102"/>
  <c r="F135" i="102"/>
  <c r="E135" i="102"/>
  <c r="D135" i="102"/>
  <c r="C135" i="102"/>
  <c r="H134" i="102"/>
  <c r="G134" i="102"/>
  <c r="F134" i="102"/>
  <c r="E134" i="102"/>
  <c r="D134" i="102"/>
  <c r="C134" i="102"/>
  <c r="H133" i="102"/>
  <c r="G133" i="102"/>
  <c r="F133" i="102"/>
  <c r="E133" i="102"/>
  <c r="D133" i="102"/>
  <c r="C133" i="102"/>
  <c r="H132" i="102"/>
  <c r="G132" i="102"/>
  <c r="F132" i="102"/>
  <c r="E132" i="102"/>
  <c r="D132" i="102"/>
  <c r="C132" i="102"/>
  <c r="H131" i="102"/>
  <c r="G131" i="102"/>
  <c r="F131" i="102"/>
  <c r="E131" i="102"/>
  <c r="D131" i="102"/>
  <c r="C131" i="102"/>
  <c r="H130" i="102"/>
  <c r="G130" i="102"/>
  <c r="F130" i="102"/>
  <c r="E130" i="102"/>
  <c r="D130" i="102"/>
  <c r="C130" i="102"/>
  <c r="H129" i="102"/>
  <c r="G129" i="102"/>
  <c r="F129" i="102"/>
  <c r="E129" i="102"/>
  <c r="D129" i="102"/>
  <c r="C129" i="102"/>
  <c r="H128" i="102"/>
  <c r="G128" i="102"/>
  <c r="F128" i="102"/>
  <c r="E128" i="102"/>
  <c r="D128" i="102"/>
  <c r="C128" i="102"/>
  <c r="H127" i="102"/>
  <c r="G127" i="102"/>
  <c r="F127" i="102"/>
  <c r="E127" i="102"/>
  <c r="D127" i="102"/>
  <c r="C127" i="102"/>
  <c r="A127" i="102" a="1"/>
  <c r="A127" i="102" s="1"/>
  <c r="A125" i="102" a="1"/>
  <c r="A125" i="102" s="1"/>
  <c r="A124" i="102"/>
  <c r="B123" i="102"/>
  <c r="J36" i="100" l="1"/>
  <c r="J26" i="100"/>
  <c r="L32" i="100"/>
  <c r="N32" i="100"/>
  <c r="P32" i="100"/>
  <c r="J32" i="100"/>
  <c r="N10" i="100"/>
  <c r="C67" i="100" s="1"/>
  <c r="J20" i="100" l="1"/>
  <c r="C66" i="100" l="1"/>
  <c r="B67" i="100"/>
  <c r="B66" i="100"/>
  <c r="C64" i="100"/>
  <c r="F10" i="2" l="1"/>
  <c r="F8" i="2"/>
  <c r="F323" i="102"/>
  <c r="G323" i="102" s="1"/>
  <c r="F12" i="2"/>
  <c r="E3" i="2"/>
  <c r="J127" i="102" l="1"/>
  <c r="O23" i="98"/>
  <c r="O19" i="98"/>
  <c r="R331" i="102"/>
  <c r="S331" i="102" s="1"/>
  <c r="N331" i="102"/>
  <c r="O331" i="102" s="1"/>
  <c r="P331" i="102" s="1"/>
  <c r="Q30" i="96" s="1"/>
  <c r="F331" i="102"/>
  <c r="G331" i="102" s="1"/>
  <c r="H331" i="102" s="1"/>
  <c r="R32" i="95" s="1"/>
  <c r="R330" i="102"/>
  <c r="S330" i="102" s="1"/>
  <c r="T330" i="102" s="1"/>
  <c r="Q29" i="97" s="1"/>
  <c r="N330" i="102"/>
  <c r="O330" i="102" s="1"/>
  <c r="P330" i="102" s="1"/>
  <c r="Q29" i="96" s="1"/>
  <c r="F330" i="102"/>
  <c r="G330" i="102" s="1"/>
  <c r="H330" i="102" s="1"/>
  <c r="R31" i="95" s="1"/>
  <c r="R329" i="102"/>
  <c r="S329" i="102" s="1"/>
  <c r="T329" i="102" s="1"/>
  <c r="Q28" i="97" s="1"/>
  <c r="N329" i="102"/>
  <c r="O329" i="102" s="1"/>
  <c r="P329" i="102" s="1"/>
  <c r="Q28" i="96" s="1"/>
  <c r="F329" i="102"/>
  <c r="G329" i="102" s="1"/>
  <c r="R328" i="102"/>
  <c r="S328" i="102" s="1"/>
  <c r="T328" i="102" s="1"/>
  <c r="Q27" i="97" s="1"/>
  <c r="N328" i="102"/>
  <c r="O328" i="102" s="1"/>
  <c r="P328" i="102" s="1"/>
  <c r="Q27" i="96" s="1"/>
  <c r="F328" i="102"/>
  <c r="G328" i="102" s="1"/>
  <c r="H328" i="102" s="1"/>
  <c r="R29" i="95" s="1"/>
  <c r="R327" i="102"/>
  <c r="S327" i="102" s="1"/>
  <c r="T327" i="102" s="1"/>
  <c r="Q26" i="97" s="1"/>
  <c r="N327" i="102"/>
  <c r="O327" i="102" s="1"/>
  <c r="P327" i="102" s="1"/>
  <c r="Q26" i="96" s="1"/>
  <c r="F327" i="102"/>
  <c r="G327" i="102" s="1"/>
  <c r="H327" i="102" s="1"/>
  <c r="R28" i="95" s="1"/>
  <c r="R326" i="102"/>
  <c r="S326" i="102" s="1"/>
  <c r="N326" i="102"/>
  <c r="O326" i="102" s="1"/>
  <c r="P326" i="102" s="1"/>
  <c r="Q25" i="96" s="1"/>
  <c r="F326" i="102"/>
  <c r="G326" i="102" s="1"/>
  <c r="H326" i="102" s="1"/>
  <c r="R27" i="95" s="1"/>
  <c r="R325" i="102"/>
  <c r="S325" i="102" s="1"/>
  <c r="T325" i="102" s="1"/>
  <c r="Q24" i="97" s="1"/>
  <c r="N325" i="102"/>
  <c r="O325" i="102" s="1"/>
  <c r="P325" i="102" s="1"/>
  <c r="Q24" i="96" s="1"/>
  <c r="I325" i="102"/>
  <c r="F325" i="102"/>
  <c r="G325" i="102" s="1"/>
  <c r="H325" i="102" s="1"/>
  <c r="R26" i="95" s="1"/>
  <c r="R324" i="102"/>
  <c r="S324" i="102" s="1"/>
  <c r="T324" i="102" s="1"/>
  <c r="N324" i="102"/>
  <c r="O324" i="102" s="1"/>
  <c r="F324" i="102"/>
  <c r="G324" i="102" s="1"/>
  <c r="R323" i="102"/>
  <c r="S323" i="102" s="1"/>
  <c r="T323" i="102" s="1"/>
  <c r="N323" i="102"/>
  <c r="O323" i="102" s="1"/>
  <c r="P323" i="102" s="1"/>
  <c r="Q22" i="96" s="1"/>
  <c r="R24" i="95"/>
  <c r="I322" i="102"/>
  <c r="X320" i="102"/>
  <c r="T320" i="102"/>
  <c r="P320" i="102"/>
  <c r="I320" i="102"/>
  <c r="K327" i="102" s="1"/>
  <c r="H320" i="102"/>
  <c r="K323" i="102" s="1"/>
  <c r="F270" i="102"/>
  <c r="I128" i="102"/>
  <c r="M127" i="102"/>
  <c r="I127" i="102"/>
  <c r="B52" i="102"/>
  <c r="A52" i="102"/>
  <c r="A46" i="102"/>
  <c r="A32" i="102"/>
  <c r="B12" i="102"/>
  <c r="A12" i="102"/>
  <c r="B11" i="102"/>
  <c r="A11" i="102"/>
  <c r="H28" i="101"/>
  <c r="G28" i="101"/>
  <c r="I28" i="101" s="1"/>
  <c r="H27" i="101"/>
  <c r="G27" i="101"/>
  <c r="I27" i="101" s="1"/>
  <c r="I26" i="101"/>
  <c r="H26" i="101"/>
  <c r="G26" i="101"/>
  <c r="H25" i="101"/>
  <c r="G25" i="101"/>
  <c r="I25" i="101" s="1"/>
  <c r="I17" i="101"/>
  <c r="H17" i="101"/>
  <c r="G17" i="101"/>
  <c r="F17" i="101"/>
  <c r="E17" i="101"/>
  <c r="I19" i="101" s="1"/>
  <c r="I13" i="101"/>
  <c r="H13" i="101"/>
  <c r="G13" i="101"/>
  <c r="F13" i="101"/>
  <c r="E13" i="101"/>
  <c r="D6" i="101"/>
  <c r="D5" i="101"/>
  <c r="H2" i="101"/>
  <c r="P18" i="100"/>
  <c r="P19" i="100" s="1"/>
  <c r="P21" i="100" s="1"/>
  <c r="P23" i="100" s="1"/>
  <c r="P33" i="100" s="1"/>
  <c r="N18" i="100"/>
  <c r="N19" i="100" s="1"/>
  <c r="N21" i="100" s="1"/>
  <c r="N23" i="100" s="1"/>
  <c r="N33" i="100" s="1"/>
  <c r="N9" i="100"/>
  <c r="O2" i="100"/>
  <c r="O9" i="99"/>
  <c r="O8" i="99"/>
  <c r="P2" i="99"/>
  <c r="O35" i="98"/>
  <c r="O11" i="98"/>
  <c r="O44" i="98" s="1"/>
  <c r="O10" i="98"/>
  <c r="O34" i="98" s="1"/>
  <c r="O2" i="98"/>
  <c r="Q23" i="97"/>
  <c r="Q22" i="97"/>
  <c r="Q19" i="97"/>
  <c r="Q8" i="97"/>
  <c r="Q2" i="97"/>
  <c r="Q19" i="96"/>
  <c r="G16" i="96"/>
  <c r="Q8" i="96"/>
  <c r="Q2" i="96"/>
  <c r="R21" i="95"/>
  <c r="R15" i="95"/>
  <c r="J12" i="95"/>
  <c r="D12" i="95"/>
  <c r="R12" i="95" s="1"/>
  <c r="R2" i="95"/>
  <c r="L2" i="93"/>
  <c r="C111" i="92"/>
  <c r="C110" i="92"/>
  <c r="C109" i="92"/>
  <c r="C108" i="92"/>
  <c r="C107" i="92"/>
  <c r="C106" i="92"/>
  <c r="C105" i="92"/>
  <c r="C104" i="92"/>
  <c r="C103" i="92"/>
  <c r="C102" i="92"/>
  <c r="C101" i="92"/>
  <c r="C100" i="92"/>
  <c r="C99" i="92"/>
  <c r="C98" i="92"/>
  <c r="C93" i="92"/>
  <c r="C92" i="92"/>
  <c r="C91" i="92"/>
  <c r="C90" i="92"/>
  <c r="C89" i="92"/>
  <c r="C87" i="92"/>
  <c r="C84" i="92"/>
  <c r="C83" i="92"/>
  <c r="C82" i="92"/>
  <c r="C81" i="92"/>
  <c r="C80" i="92"/>
  <c r="C79" i="92"/>
  <c r="C78" i="92"/>
  <c r="C77" i="92"/>
  <c r="C76" i="92"/>
  <c r="C75" i="92"/>
  <c r="C74" i="92"/>
  <c r="C73" i="92"/>
  <c r="C72" i="92"/>
  <c r="C71" i="92"/>
  <c r="C66" i="92"/>
  <c r="C65" i="92"/>
  <c r="C59" i="92"/>
  <c r="C57" i="92"/>
  <c r="G56" i="92"/>
  <c r="C58" i="92" s="1"/>
  <c r="C54" i="92"/>
  <c r="I47" i="92"/>
  <c r="C45" i="92" s="1"/>
  <c r="H47" i="92"/>
  <c r="C44" i="92" s="1"/>
  <c r="G47" i="92"/>
  <c r="C43" i="92" s="1"/>
  <c r="F47" i="92"/>
  <c r="C42" i="92" s="1"/>
  <c r="C41" i="92"/>
  <c r="C40" i="92"/>
  <c r="C39" i="92"/>
  <c r="C38" i="92"/>
  <c r="G37" i="92"/>
  <c r="C34" i="92" s="1"/>
  <c r="F37" i="92"/>
  <c r="C33" i="92" s="1"/>
  <c r="C37" i="92"/>
  <c r="G36" i="92"/>
  <c r="C32" i="92" s="1"/>
  <c r="F36" i="92"/>
  <c r="C31" i="92" s="1"/>
  <c r="C36" i="92"/>
  <c r="G35" i="92"/>
  <c r="C30" i="92" s="1"/>
  <c r="F35" i="92"/>
  <c r="C29" i="92" s="1"/>
  <c r="C35" i="92"/>
  <c r="F34" i="92"/>
  <c r="C27" i="92" s="1"/>
  <c r="G33" i="92"/>
  <c r="C26" i="92" s="1"/>
  <c r="F33" i="92"/>
  <c r="C25" i="92" s="1"/>
  <c r="F30" i="92"/>
  <c r="C24" i="92" s="1"/>
  <c r="C28" i="92"/>
  <c r="C23" i="92"/>
  <c r="G22" i="92"/>
  <c r="C6" i="92" s="1"/>
  <c r="F22" i="92"/>
  <c r="C5" i="92" s="1"/>
  <c r="C22" i="92"/>
  <c r="C21" i="92"/>
  <c r="C20" i="92"/>
  <c r="F19" i="92"/>
  <c r="C19" i="92"/>
  <c r="F18" i="92"/>
  <c r="C18" i="92"/>
  <c r="C17" i="92"/>
  <c r="F16" i="92"/>
  <c r="C16" i="92"/>
  <c r="F15" i="92"/>
  <c r="C15" i="92"/>
  <c r="F14" i="92"/>
  <c r="C14" i="92"/>
  <c r="C13" i="92"/>
  <c r="F12" i="92"/>
  <c r="C4" i="92" s="1"/>
  <c r="C12" i="92"/>
  <c r="F11" i="92"/>
  <c r="C11" i="92"/>
  <c r="F10" i="92"/>
  <c r="C3" i="92" s="1"/>
  <c r="C10" i="92"/>
  <c r="C9" i="92"/>
  <c r="F8" i="92"/>
  <c r="C2" i="92" s="1"/>
  <c r="C8" i="92"/>
  <c r="F7" i="92"/>
  <c r="C7" i="92"/>
  <c r="F6" i="92"/>
  <c r="F4" i="92"/>
  <c r="F3" i="92"/>
  <c r="H324" i="102" l="1"/>
  <c r="R25" i="95" s="1"/>
  <c r="H329" i="102"/>
  <c r="R30" i="95" s="1"/>
  <c r="R33" i="95" s="1"/>
  <c r="T331" i="102"/>
  <c r="Q30" i="97" s="1"/>
  <c r="P324" i="102"/>
  <c r="Q23" i="96" s="1"/>
  <c r="T326" i="102"/>
  <c r="Q25" i="97" s="1"/>
  <c r="Q31" i="97" s="1"/>
  <c r="H323" i="102"/>
  <c r="H270" i="102"/>
  <c r="L17" i="100" s="1"/>
  <c r="L18" i="100" s="1"/>
  <c r="L19" i="100" s="1"/>
  <c r="L21" i="100" s="1"/>
  <c r="L23" i="100" s="1"/>
  <c r="L33" i="100" s="1"/>
  <c r="G49" i="92" s="1"/>
  <c r="C51" i="92" s="1"/>
  <c r="H19" i="101"/>
  <c r="F19" i="101"/>
  <c r="C11" i="102"/>
  <c r="I17" i="99" s="1"/>
  <c r="O20" i="99" s="1"/>
  <c r="O27" i="98"/>
  <c r="I21" i="2" s="1"/>
  <c r="A37" i="102"/>
  <c r="B37" i="102" s="1"/>
  <c r="M37" i="99"/>
  <c r="K320" i="102"/>
  <c r="C52" i="102"/>
  <c r="C12" i="102"/>
  <c r="O17" i="99" s="1"/>
  <c r="O24" i="99" s="1"/>
  <c r="I129" i="102"/>
  <c r="J251" i="102" s="1"/>
  <c r="P24" i="100" s="1"/>
  <c r="B46" i="102"/>
  <c r="C46" i="102" s="1"/>
  <c r="G58" i="92"/>
  <c r="C60" i="92" s="1"/>
  <c r="H49" i="92"/>
  <c r="C52" i="92" s="1"/>
  <c r="H48" i="92"/>
  <c r="C48" i="92" s="1"/>
  <c r="Q31" i="96"/>
  <c r="I48" i="92"/>
  <c r="C49" i="92" s="1"/>
  <c r="I49" i="92"/>
  <c r="C53" i="92" s="1"/>
  <c r="G270" i="102"/>
  <c r="J17" i="100" s="1"/>
  <c r="J18" i="100" s="1"/>
  <c r="J19" i="100" s="1"/>
  <c r="J21" i="100" s="1"/>
  <c r="K319" i="102"/>
  <c r="F70" i="100" s="1"/>
  <c r="K322" i="102"/>
  <c r="K325" i="102"/>
  <c r="G19" i="101"/>
  <c r="G48" i="92" l="1"/>
  <c r="C47" i="92" s="1"/>
  <c r="J23" i="100"/>
  <c r="J33" i="100" s="1"/>
  <c r="F49" i="92" s="1"/>
  <c r="C50" i="92" s="1"/>
  <c r="F53" i="92"/>
  <c r="C56" i="92" s="1"/>
  <c r="O28" i="99"/>
  <c r="J145" i="102"/>
  <c r="L25" i="100" s="1"/>
  <c r="L35" i="100" s="1"/>
  <c r="P34" i="100"/>
  <c r="J199" i="102"/>
  <c r="J24" i="100" s="1"/>
  <c r="J216" i="102"/>
  <c r="L24" i="100" s="1"/>
  <c r="J164" i="102"/>
  <c r="N25" i="100" s="1"/>
  <c r="N35" i="100" s="1"/>
  <c r="J181" i="102"/>
  <c r="P25" i="100" s="1"/>
  <c r="P27" i="100" s="1"/>
  <c r="J234" i="102"/>
  <c r="N24" i="100" s="1"/>
  <c r="J128" i="102"/>
  <c r="J25" i="100" s="1"/>
  <c r="R18" i="95"/>
  <c r="R36" i="95" s="1"/>
  <c r="Q16" i="96"/>
  <c r="G59" i="92" s="1"/>
  <c r="C62" i="92" s="1"/>
  <c r="Q16" i="97"/>
  <c r="Q34" i="97" s="1"/>
  <c r="T47" i="94" s="1"/>
  <c r="J37" i="99" l="1"/>
  <c r="O31" i="99" s="1"/>
  <c r="E50" i="94" s="1"/>
  <c r="M50" i="94" s="1"/>
  <c r="F67" i="92" s="1"/>
  <c r="J27" i="100"/>
  <c r="L27" i="100"/>
  <c r="N27" i="100"/>
  <c r="F48" i="92"/>
  <c r="C46" i="92" s="1"/>
  <c r="I22" i="2"/>
  <c r="F52" i="92"/>
  <c r="C55" i="92" s="1"/>
  <c r="P35" i="100"/>
  <c r="P37" i="100" s="1"/>
  <c r="J35" i="100"/>
  <c r="L44" i="98"/>
  <c r="O38" i="98" s="1"/>
  <c r="I26" i="2" s="1"/>
  <c r="N34" i="100"/>
  <c r="N37" i="100" s="1"/>
  <c r="N28" i="100"/>
  <c r="L28" i="100"/>
  <c r="L34" i="100"/>
  <c r="L37" i="100" s="1"/>
  <c r="J34" i="100"/>
  <c r="P28" i="100"/>
  <c r="F59" i="92"/>
  <c r="C61" i="92" s="1"/>
  <c r="T41" i="94"/>
  <c r="Q34" i="96"/>
  <c r="J37" i="100" l="1"/>
  <c r="J38" i="100" s="1"/>
  <c r="P38" i="100"/>
  <c r="L38" i="100"/>
  <c r="N38" i="100"/>
  <c r="T44" i="94"/>
  <c r="M44" i="94"/>
  <c r="M41" i="94"/>
  <c r="J28" i="100"/>
  <c r="J29" i="100" s="1"/>
  <c r="E49" i="94"/>
  <c r="M49" i="94" s="1"/>
  <c r="F69" i="92" s="1"/>
  <c r="C70" i="92" s="1"/>
  <c r="O30" i="98"/>
  <c r="E48" i="94" s="1"/>
  <c r="M48" i="94" s="1"/>
  <c r="F66" i="92" s="1"/>
  <c r="H67" i="92"/>
  <c r="C95" i="92" s="1"/>
  <c r="C68" i="92"/>
  <c r="J39" i="100" l="1"/>
  <c r="J40" i="100" s="1"/>
  <c r="J41" i="100" s="1"/>
  <c r="J55" i="94"/>
  <c r="I10" i="2" s="1"/>
  <c r="G60" i="92"/>
  <c r="C64" i="92" s="1"/>
  <c r="F60" i="92"/>
  <c r="C63" i="92" s="1"/>
  <c r="H69" i="92"/>
  <c r="C97" i="92" s="1"/>
  <c r="H66" i="92"/>
  <c r="C67" i="92"/>
  <c r="E51" i="94" l="1"/>
  <c r="M51" i="94" s="1"/>
  <c r="F68" i="92" s="1"/>
  <c r="C69" i="92" s="1"/>
  <c r="C94" i="92"/>
  <c r="I17" i="2" l="1"/>
  <c r="H68" i="92"/>
  <c r="C96" i="92" s="1"/>
  <c r="J54" i="94"/>
  <c r="F84" i="92"/>
  <c r="C85" i="92" s="1"/>
  <c r="I8" i="2" l="1"/>
  <c r="M54" i="94"/>
  <c r="M58" i="94" s="1"/>
  <c r="H84" i="92"/>
  <c r="C112" i="92" s="1"/>
  <c r="C3" i="2"/>
  <c r="I11" i="2" l="1"/>
  <c r="F88" i="92"/>
  <c r="C86" i="92" s="1"/>
  <c r="F90" i="92"/>
  <c r="C88" i="92" s="1"/>
</calcChain>
</file>

<file path=xl/comments1.xml><?xml version="1.0" encoding="utf-8"?>
<comments xmlns="http://schemas.openxmlformats.org/spreadsheetml/2006/main" xmlns:mc="http://schemas.openxmlformats.org/markup-compatibility/2006" xmlns:xr="http://schemas.microsoft.com/office/spreadsheetml/2014/revision" mc:Ignorable="xr">
  <authors>
    <author>Sara Kilonback</author>
    <author>Shan Lu</author>
  </authors>
  <commentList>
    <comment ref="B4" authorId="0" shapeId="0" xr:uid="{00000000-0006-0000-0000-000001000000}">
      <text>
        <r>
          <rPr>
            <sz val="10"/>
            <color indexed="9"/>
            <rFont val="Calibri"/>
            <family val="2"/>
          </rPr>
          <t>Problem/opportunity statement as defined by the business case.</t>
        </r>
      </text>
    </comment>
    <comment ref="D4" authorId="0" shapeId="0" xr:uid="{00000000-0006-0000-0000-000002000000}">
      <text>
        <r>
          <rPr>
            <sz val="10"/>
            <color indexed="9"/>
            <rFont val="Calibri"/>
            <family val="2"/>
          </rPr>
          <t>The intended outcomes or goals of an investment.</t>
        </r>
      </text>
    </comment>
    <comment ref="F4" authorId="0" shapeId="0" xr:uid="{00000000-0006-0000-0000-000003000000}">
      <text>
        <r>
          <rPr>
            <sz val="10"/>
            <color indexed="9"/>
            <rFont val="Calibri"/>
            <family val="2"/>
          </rPr>
          <t>Summary of how a project gives effect to GPS priorities (high level outcome).</t>
        </r>
      </text>
    </comment>
    <comment ref="H4" authorId="0" shapeId="0" xr:uid="{00000000-0006-0000-0000-000004000000}">
      <text>
        <r>
          <rPr>
            <sz val="10"/>
            <color indexed="9"/>
            <rFont val="Calibri"/>
            <family val="2"/>
          </rPr>
          <t>Summary of how a project gives effect to local community outcomes.</t>
        </r>
      </text>
    </comment>
    <comment ref="B7" authorId="0" shapeId="0" xr:uid="{00000000-0006-0000-0000-000014000000}">
      <text>
        <r>
          <rPr>
            <sz val="10"/>
            <color theme="0"/>
            <rFont val="Calibri"/>
            <family val="2"/>
          </rPr>
          <t>Aggregate description of non-monetised impacts of this option, including quantative and qualitative description.</t>
        </r>
        <r>
          <rPr>
            <sz val="11"/>
            <color theme="0"/>
            <rFont val="Calibri"/>
            <family val="2"/>
          </rPr>
          <t xml:space="preserve">
</t>
        </r>
      </text>
    </comment>
    <comment ref="E7" authorId="0" shapeId="0" xr:uid="{00000000-0006-0000-0000-000015000000}">
      <text>
        <r>
          <rPr>
            <sz val="10"/>
            <color indexed="9"/>
            <rFont val="Calibri"/>
            <family val="2"/>
          </rPr>
          <t xml:space="preserve">Total dollars in nominal, non-discounted terms provided for context only ahead of financial case.
</t>
        </r>
      </text>
    </comment>
    <comment ref="G7" authorId="0" shapeId="0" xr:uid="{00000000-0006-0000-0000-000016000000}">
      <text>
        <r>
          <rPr>
            <sz val="10"/>
            <color indexed="9"/>
            <rFont val="Calibri"/>
            <family val="2"/>
          </rPr>
          <t>Summary of monetised option benefits to provide context for economic case. Total dollars in discounted terms Figures should be consistent with information within the main body of the table.</t>
        </r>
      </text>
    </comment>
    <comment ref="E8" authorId="0" shapeId="0" xr:uid="{00000000-0006-0000-0000-000017000000}">
      <text>
        <r>
          <rPr>
            <sz val="10"/>
            <color indexed="9"/>
            <rFont val="Calibri"/>
            <family val="2"/>
          </rPr>
          <t>Costs of building / developing the asset. They include all costs incurred from the project planning phase until the implementation phase. Typically, investigation costs prior to planning are not capitalised, and neither are the costs incurred after implementation (e.g. training).</t>
        </r>
      </text>
    </comment>
    <comment ref="G8" authorId="0" shapeId="0" xr:uid="{00000000-0006-0000-0000-000018000000}">
      <text>
        <r>
          <rPr>
            <sz val="10"/>
            <color indexed="9"/>
            <rFont val="Calibri"/>
            <family val="2"/>
          </rPr>
          <t xml:space="preserve">Total Monetised benefits are the standard monetised benefits as per the MBCM. </t>
        </r>
      </text>
    </comment>
    <comment ref="E10" authorId="0" shapeId="0" xr:uid="{00000000-0006-0000-0000-000019000000}">
      <text>
        <r>
          <rPr>
            <sz val="10"/>
            <color theme="0"/>
            <rFont val="Calibri"/>
            <family val="2"/>
          </rPr>
          <t xml:space="preserve"> In the life-cycle of an asset, they are the costs that precede the project planning, design and  “build” (e.g. investigation costs) and those that are incurred after implementation (training, operating and / or maintenance costs). </t>
        </r>
        <r>
          <rPr>
            <sz val="11"/>
            <color theme="0"/>
            <rFont val="Calibri"/>
            <family val="2"/>
          </rPr>
          <t xml:space="preserve">
</t>
        </r>
      </text>
    </comment>
    <comment ref="G11" authorId="0" shapeId="0" xr:uid="{00000000-0006-0000-0000-00001A000000}">
      <text>
        <r>
          <rPr>
            <sz val="10"/>
            <color theme="0"/>
            <rFont val="Calibri"/>
            <family val="2"/>
          </rPr>
          <t>Benefit Cost Ratios (BCRs) represent present value of total benefits divided by present value of total costs.</t>
        </r>
        <r>
          <rPr>
            <sz val="11"/>
            <color theme="0"/>
            <rFont val="Calibri"/>
            <family val="2"/>
          </rPr>
          <t xml:space="preserve">  
</t>
        </r>
      </text>
    </comment>
    <comment ref="E12" authorId="0" shapeId="0" xr:uid="{00000000-0006-0000-0000-00001B000000}">
      <text>
        <r>
          <rPr>
            <sz val="10"/>
            <color theme="0"/>
            <rFont val="Calibri"/>
            <family val="2"/>
          </rPr>
          <t>Total Costs of the summation of Capital and Operating costs.</t>
        </r>
        <r>
          <rPr>
            <sz val="11"/>
            <color theme="0"/>
            <rFont val="Calibri"/>
            <family val="2"/>
          </rPr>
          <t xml:space="preserve">
</t>
        </r>
      </text>
    </comment>
    <comment ref="B14" authorId="0" shapeId="0" xr:uid="{00000000-0006-0000-0000-000005000000}">
      <text>
        <r>
          <rPr>
            <sz val="10"/>
            <color indexed="9"/>
            <rFont val="Calibri"/>
            <family val="2"/>
          </rPr>
          <t xml:space="preserve">The Waka Kotahi benefits framework is constructed around five key outcomes for transport, as identified in the Ministry of Transport's Outcomes Framework, that is: healthy and safe people, resilience and security, economic prosperity, environmental sustainability and inclusive access.  The transport sector outcomes are the first level of the benefit framework structure.  
</t>
        </r>
      </text>
    </comment>
    <comment ref="B15" authorId="0" shapeId="0" xr:uid="{00000000-0006-0000-0000-000006000000}">
      <text>
        <r>
          <rPr>
            <sz val="10"/>
            <color indexed="9"/>
            <rFont val="Calibri"/>
            <family val="2"/>
          </rPr>
          <t xml:space="preserve">Name of benefit as per the benefits framework.  Each benefit begins with the word ‘impact’ to reflect the multi-directional flow of benefits which could be positive or negative.  Benefits outside of the benefits framework should have previously been agreed by Waka Kotahi. 
</t>
        </r>
      </text>
    </comment>
    <comment ref="D15" authorId="0" shapeId="0" xr:uid="{00000000-0006-0000-0000-000007000000}">
      <text>
        <r>
          <rPr>
            <sz val="10"/>
            <color indexed="9"/>
            <rFont val="Calibri"/>
            <family val="2"/>
          </rPr>
          <t xml:space="preserve">Number and name of the quantitative or qualitative measure as per the Benefits Framework.   Waka Kotahi will accept measures outside the benefits framework with good explanation and evidence to support these being included.  
</t>
        </r>
      </text>
    </comment>
    <comment ref="E15" authorId="0" shapeId="0" xr:uid="{00000000-0006-0000-0000-000008000000}">
      <text>
        <r>
          <rPr>
            <sz val="10"/>
            <color indexed="9"/>
            <rFont val="Calibri"/>
            <family val="2"/>
          </rPr>
          <t xml:space="preserve">Baseline quantitative result, using the latest data available, or qualitative description of measure at year zero of the assessment period. 
</t>
        </r>
      </text>
    </comment>
    <comment ref="F15" authorId="0" shapeId="0" xr:uid="{00000000-0006-0000-0000-000009000000}">
      <text>
        <r>
          <rPr>
            <sz val="10"/>
            <color indexed="9"/>
            <rFont val="Calibri"/>
            <family val="2"/>
          </rPr>
          <t xml:space="preserve">Forecast expected change over time if there was no intervention or investment beyond the do minimum.  Using forecast data or qualitative description.
</t>
        </r>
      </text>
    </comment>
    <comment ref="G15" authorId="0" shapeId="0" xr:uid="{00000000-0006-0000-0000-00000A000000}">
      <text>
        <r>
          <rPr>
            <sz val="10"/>
            <color indexed="9"/>
            <rFont val="Calibri"/>
            <family val="2"/>
          </rPr>
          <t>Forecast of expected change over time, should the option be implemented.  Using forecast data or qualitative description.  
Accumulated impacts</t>
        </r>
      </text>
    </comment>
    <comment ref="H15" authorId="0" shapeId="0" xr:uid="{00000000-0006-0000-0000-00000B000000}">
      <text>
        <r>
          <rPr>
            <sz val="10"/>
            <color indexed="9"/>
            <rFont val="Calibri"/>
            <family val="2"/>
          </rPr>
          <t xml:space="preserve">Forecast expected change of monetised impacts over time if there was no intervention or investment beyond the do minimum.   
</t>
        </r>
      </text>
    </comment>
    <comment ref="I15" authorId="0" shapeId="0" xr:uid="{00000000-0006-0000-0000-00000C000000}">
      <text>
        <r>
          <rPr>
            <sz val="10"/>
            <color indexed="9"/>
            <rFont val="Calibri"/>
            <family val="2"/>
          </rPr>
          <t xml:space="preserve">Positive or negative benefit in dollar terms, non-discounted to allow comparison with the do minimum.  
</t>
        </r>
      </text>
    </comment>
    <comment ref="B17" authorId="1" shapeId="0" xr:uid="{C85D740D-6FE4-43F3-9BB1-E4789620A299}">
      <text>
        <r>
          <rPr>
            <sz val="10"/>
            <color indexed="9"/>
            <rFont val="Calibri"/>
            <family val="2"/>
          </rPr>
          <t>1.1 Impact on spcial cost and incidents of crashes measure 1.1.3 Deaths and serious injuries is mandatory</t>
        </r>
        <r>
          <rPr>
            <sz val="12"/>
            <color indexed="9"/>
            <rFont val="Calibri"/>
            <family val="2"/>
          </rPr>
          <t>.</t>
        </r>
      </text>
    </comment>
    <comment ref="D19" authorId="0" shapeId="0" xr:uid="{F9D5B861-87A8-46E1-9FE0-CB07AE28E388}">
      <text>
        <r>
          <rPr>
            <sz val="10"/>
            <color indexed="9"/>
            <rFont val="Calibri"/>
            <family val="2"/>
          </rPr>
          <t>Measures can be selected from anywhere in the benefits framework.</t>
        </r>
        <r>
          <rPr>
            <b/>
            <sz val="12"/>
            <color indexed="9"/>
            <rFont val="Calibri"/>
            <family val="2"/>
          </rPr>
          <t xml:space="preserve">
</t>
        </r>
      </text>
    </comment>
    <comment ref="D21" authorId="0" shapeId="0" xr:uid="{7FD248A2-2BF2-414E-93D7-F4F7DE6C46A4}">
      <text>
        <r>
          <rPr>
            <sz val="10"/>
            <color indexed="9"/>
            <rFont val="Calibri"/>
            <family val="2"/>
          </rPr>
          <t>Measures can be selected from anywhere in the benefits framework.</t>
        </r>
        <r>
          <rPr>
            <b/>
            <sz val="12"/>
            <color indexed="9"/>
            <rFont val="Calibri"/>
            <family val="2"/>
          </rPr>
          <t xml:space="preserve">
</t>
        </r>
      </text>
    </comment>
    <comment ref="D22" authorId="0" shapeId="0" xr:uid="{1B6508C4-2C19-49B2-A2A3-7A43362E073B}">
      <text>
        <r>
          <rPr>
            <sz val="10"/>
            <color indexed="9"/>
            <rFont val="Calibri"/>
            <family val="2"/>
          </rPr>
          <t>Measures can be selected from anywhere in the benefits framework.</t>
        </r>
        <r>
          <rPr>
            <b/>
            <sz val="12"/>
            <color indexed="9"/>
            <rFont val="Calibri"/>
            <family val="2"/>
          </rPr>
          <t xml:space="preserve">
</t>
        </r>
      </text>
    </comment>
    <comment ref="B24" authorId="1" shapeId="0" xr:uid="{F866F04F-A570-4505-903F-F2DD3373F2BE}">
      <text>
        <r>
          <rPr>
            <sz val="10"/>
            <color indexed="9"/>
            <rFont val="Calibri"/>
            <family val="2"/>
          </rPr>
          <t>8.1 Impact on greenhouse gas emissions measure 8.1.1 CO2 emissions is mandatory</t>
        </r>
        <r>
          <rPr>
            <sz val="12"/>
            <color indexed="9"/>
            <rFont val="Calibri"/>
            <family val="2"/>
          </rPr>
          <t>.</t>
        </r>
      </text>
    </comment>
    <comment ref="D26" authorId="0" shapeId="0" xr:uid="{A9746198-6617-4B1D-A72F-28C36FB9BF39}">
      <text>
        <r>
          <rPr>
            <sz val="10"/>
            <color indexed="9"/>
            <rFont val="Calibri"/>
            <family val="2"/>
          </rPr>
          <t>Measures can be selected from anywhere in the benefits framework.</t>
        </r>
      </text>
    </comment>
    <comment ref="B27" authorId="1" shapeId="0" xr:uid="{6EEF9DF9-28CE-4D78-B346-03510045CCA1}">
      <text>
        <r>
          <rPr>
            <sz val="10"/>
            <color indexed="9"/>
            <rFont val="Calibri"/>
            <family val="2"/>
          </rPr>
          <t>12.1 Impact on Te Ao Māori benefit / name of benefit measure 12.1.1 Te Ao Māori is mandatory.</t>
        </r>
      </text>
    </comment>
    <comment ref="D28" authorId="0" shapeId="0" xr:uid="{87CBD3EA-DBA7-4F48-8312-12C64C7BEB7E}">
      <text>
        <r>
          <rPr>
            <sz val="10"/>
            <color indexed="9"/>
            <rFont val="Calibri"/>
            <family val="2"/>
          </rPr>
          <t>Measures can be selected from anywhere in the benefits framework.</t>
        </r>
      </text>
    </comment>
    <comment ref="B30" authorId="0" shapeId="0" xr:uid="{00000000-0006-0000-0000-00001D000000}">
      <text>
        <r>
          <rPr>
            <sz val="10"/>
            <color theme="0"/>
            <rFont val="Calibri"/>
            <family val="2"/>
          </rPr>
          <t>Reason why the option was not selected or why preferred option was chosen. i.e. consideration of non-monetised impacts reasons for best performing. Groups or individuals impacted by positive and negative externalities. Include results of incremental analysis and first year rate of return.</t>
        </r>
        <r>
          <rPr>
            <sz val="11"/>
            <color theme="0"/>
            <rFont val="Calibri"/>
            <family val="2"/>
          </rPr>
          <t xml:space="preserve">
</t>
        </r>
      </text>
    </comment>
  </commentList>
</comments>
</file>

<file path=xl/comments2.xml><?xml version="1.0" encoding="utf-8"?>
<comments xmlns="http://schemas.openxmlformats.org/spreadsheetml/2006/main" xmlns:mc="http://schemas.openxmlformats.org/markup-compatibility/2006" xmlns:xr="http://schemas.microsoft.com/office/spreadsheetml/2014/revision" mc:Ignorable="xr">
  <authors>
    <author>Infrastructural Services</author>
  </authors>
  <commentList>
    <comment ref="B7" authorId="0" shapeId="0" xr:uid="{06C556C3-A8DD-423F-843D-7E5DED585F63}">
      <text>
        <r>
          <rPr>
            <sz val="8"/>
            <color indexed="81"/>
            <rFont val="Verdana"/>
            <family val="2"/>
          </rPr>
          <t>1. Enter the full name, contact details, name of organisation, office location of the evaluator(s) and reviewer(s).</t>
        </r>
      </text>
    </comment>
    <comment ref="B10" authorId="0" shapeId="0" xr:uid="{437A2DEF-CC39-4CCF-81C0-E2BC54986DD8}">
      <text>
        <r>
          <rPr>
            <sz val="8"/>
            <color indexed="81"/>
            <rFont val="Verdana"/>
            <family val="2"/>
          </rPr>
          <t>2. Provide a general description of the activity and package/programme (where relevant). Describe the issues with the existing road section.</t>
        </r>
      </text>
    </comment>
    <comment ref="B17" authorId="0" shapeId="0" xr:uid="{3FF33C08-FC6B-4259-B8A7-2066E5130C5B}">
      <text>
        <r>
          <rPr>
            <sz val="8"/>
            <color indexed="81"/>
            <rFont val="Verdana"/>
            <family val="2"/>
          </rPr>
          <t>3. Provide a brief description of the activity location including page references to route map and layout plan within the documentation, used as the foundation of the economics.</t>
        </r>
      </text>
    </comment>
    <comment ref="B20" authorId="0" shapeId="0" xr:uid="{6D39C0A5-7814-42A1-BC6B-8F94CAC38DB7}">
      <text>
        <r>
          <rPr>
            <sz val="8"/>
            <color indexed="81"/>
            <rFont val="Verdana"/>
            <family val="2"/>
          </rPr>
          <t>4. Describe the do-minimum. This is to maintain the road in an unimproved state. Describe the options assessed and how the preferred option will improve the road section.</t>
        </r>
      </text>
    </comment>
    <comment ref="B24" authorId="0" shapeId="0" xr:uid="{EEE94D5D-C478-47FF-AAC0-815F89D51539}">
      <text>
        <r>
          <rPr>
            <sz val="8"/>
            <color indexed="81"/>
            <rFont val="Verdana"/>
            <family val="2"/>
          </rPr>
          <t>5. For purposes of economic evaluation the construction start is assumed to be 1 July of the financial year in which the activity is submitted for a commitment to funding.</t>
        </r>
      </text>
    </comment>
    <comment ref="B30" authorId="0" shapeId="0" xr:uid="{C7F37306-BEA4-4BF8-A17A-E3DD0BDDC7DE}">
      <text>
        <r>
          <rPr>
            <sz val="8"/>
            <color indexed="81"/>
            <rFont val="Verdana"/>
            <family val="2"/>
          </rPr>
          <t>6. Enter the timeframe information, the road and traffic data, identify the existing and predicted traffic speed, the existing and predicted roughness (IRI or NAASRA), the length and width of road before and after works.</t>
        </r>
      </text>
    </comment>
    <comment ref="B41" authorId="0" shapeId="0" xr:uid="{12925301-BFB8-4EA7-AF86-50060FD5F55C}">
      <text>
        <r>
          <rPr>
            <sz val="8"/>
            <color indexed="81"/>
            <rFont val="Verdana"/>
            <family val="2"/>
          </rPr>
          <t>7. Use worksheet 2 to calculate the PV cost of the do-minimum. This should be the lowest cost option that will keep the road in service. It will provide no improvements.</t>
        </r>
      </text>
    </comment>
    <comment ref="B44" authorId="0" shapeId="0" xr:uid="{1BA1DDDD-1239-4B8C-BDBC-FC23E8AE516E}">
      <text>
        <r>
          <rPr>
            <sz val="8"/>
            <color indexed="81"/>
            <rFont val="Verdana"/>
            <family val="2"/>
          </rPr>
          <t>8. Use worksheet 3 to estimate the preferred option PV cost.</t>
        </r>
      </text>
    </comment>
    <comment ref="B47" authorId="0" shapeId="0" xr:uid="{80CCF3B9-F1ED-460E-A230-1F8AADB17A80}">
      <text>
        <r>
          <rPr>
            <sz val="8"/>
            <color indexed="81"/>
            <rFont val="Verdana"/>
            <family val="2"/>
          </rPr>
          <t>9. Enter the benefits values from worksheet 4 (travel time cost savings and seal extension benefits), worksheet 5 (vehicle operating cost savings) and worksheet 6 (crash cost savings). To bring the benefits up to the base date values, use the appropriate update factors supplied on the MBCM web page. The base VOC incorporates the CO</t>
        </r>
        <r>
          <rPr>
            <vertAlign val="subscript"/>
            <sz val="8"/>
            <color indexed="81"/>
            <rFont val="Verdana"/>
            <family val="2"/>
          </rPr>
          <t>2</t>
        </r>
        <r>
          <rPr>
            <sz val="8"/>
            <color indexed="81"/>
            <rFont val="Verdana"/>
            <family val="2"/>
          </rPr>
          <t xml:space="preserve"> costs and no separate adjustment is required.</t>
        </r>
      </text>
    </comment>
    <comment ref="B54" authorId="0" shapeId="0" xr:uid="{F5D7A3C3-8853-43A6-A2DD-82C7A123428A}">
      <text>
        <r>
          <rPr>
            <sz val="8"/>
            <color indexed="81"/>
            <rFont val="Verdana"/>
            <family val="2"/>
          </rPr>
          <t>10. The BCR</t>
        </r>
        <r>
          <rPr>
            <vertAlign val="subscript"/>
            <sz val="8"/>
            <color indexed="81"/>
            <rFont val="Verdana"/>
            <family val="2"/>
          </rPr>
          <t>N</t>
        </r>
        <r>
          <rPr>
            <sz val="8"/>
            <color indexed="81"/>
            <rFont val="Verdana"/>
            <family val="2"/>
          </rPr>
          <t xml:space="preserve"> is calculated by dividing the PV of the net benefits (PV benefits of the do-minimum subtracted from the PV benefits of the option) by PV of the net costs (PV costs of the do-minimum subtracted from the PV costs of the option).</t>
        </r>
      </text>
    </comment>
    <comment ref="B58" authorId="0" shapeId="0" xr:uid="{0F79C346-63AB-4963-A445-1F42BA923746}">
      <text>
        <r>
          <rPr>
            <sz val="8"/>
            <color indexed="81"/>
            <rFont val="Verdana"/>
            <family val="2"/>
          </rPr>
          <t xml:space="preserve">11. First year rate of return is calculated as the benefits in the first full year following completion divided by the activity costs. The first year benefits are calculated by dividing the totals at </t>
        </r>
        <r>
          <rPr>
            <b/>
            <sz val="8"/>
            <color indexed="81"/>
            <rFont val="Verdana"/>
            <family val="2"/>
          </rPr>
          <t>W</t>
        </r>
        <r>
          <rPr>
            <sz val="8"/>
            <color indexed="81"/>
            <rFont val="Verdana"/>
            <family val="2"/>
          </rPr>
          <t xml:space="preserve">, </t>
        </r>
        <r>
          <rPr>
            <b/>
            <sz val="8"/>
            <color indexed="81"/>
            <rFont val="Verdana"/>
            <family val="2"/>
          </rPr>
          <t>Y</t>
        </r>
        <r>
          <rPr>
            <sz val="8"/>
            <color indexed="81"/>
            <rFont val="Verdana"/>
            <family val="2"/>
          </rPr>
          <t xml:space="preserve"> and </t>
        </r>
        <r>
          <rPr>
            <b/>
            <sz val="8"/>
            <color indexed="81"/>
            <rFont val="Verdana"/>
            <family val="2"/>
          </rPr>
          <t>Z</t>
        </r>
        <r>
          <rPr>
            <sz val="8"/>
            <color indexed="81"/>
            <rFont val="Verdana"/>
            <family val="2"/>
          </rPr>
          <t xml:space="preserve"> by the discount factors used on worksheets 4, 5 and 6 respectively then multiplying by the discount factor to get the PV. 
</t>
        </r>
        <r>
          <rPr>
            <b/>
            <sz val="8"/>
            <color indexed="81"/>
            <rFont val="Verdana"/>
            <family val="2"/>
          </rPr>
          <t xml:space="preserve">Note: </t>
        </r>
        <r>
          <rPr>
            <sz val="8"/>
            <color indexed="81"/>
            <rFont val="Verdana"/>
            <family val="2"/>
          </rPr>
          <t>The discount factor for crash cost savings (see explanation for worksheet 6) is different to the discount factor for the other benefits (see explanation for worksheets 4 and 5).</t>
        </r>
      </text>
    </comment>
  </commentList>
</comments>
</file>

<file path=xl/comments3.xml><?xml version="1.0" encoding="utf-8"?>
<comments xmlns="http://schemas.openxmlformats.org/spreadsheetml/2006/main" xmlns:mc="http://schemas.openxmlformats.org/markup-compatibility/2006" xmlns:xr="http://schemas.microsoft.com/office/spreadsheetml/2014/revision" mc:Ignorable="xr">
  <authors>
    <author>Infrastructural Services</author>
  </authors>
  <commentList>
    <comment ref="C7" authorId="0" shapeId="0" xr:uid="{AF6F0DA2-3380-420B-9A39-E796D8FC829D}">
      <text>
        <r>
          <rPr>
            <sz val="8"/>
            <color indexed="81"/>
            <rFont val="Verdana"/>
            <family val="2"/>
          </rPr>
          <t>1. Enter the length of the work in km and the number of gradings per year.</t>
        </r>
      </text>
    </comment>
    <comment ref="C11" authorId="0" shapeId="0" xr:uid="{C90C6B14-D25F-44CC-B6E1-27499AEDB267}">
      <text>
        <r>
          <rPr>
            <sz val="8"/>
            <color indexed="81"/>
            <rFont val="Verdana"/>
            <family val="2"/>
          </rPr>
          <t xml:space="preserve">2. Enter the cost of grading per km and calculate the annual cost of maintenance grading </t>
        </r>
        <r>
          <rPr>
            <b/>
            <sz val="8"/>
            <color indexed="81"/>
            <rFont val="Verdana"/>
            <family val="2"/>
          </rPr>
          <t>(a)</t>
        </r>
        <r>
          <rPr>
            <sz val="8"/>
            <color indexed="81"/>
            <rFont val="Verdana"/>
            <family val="2"/>
          </rPr>
          <t>.</t>
        </r>
      </text>
    </comment>
    <comment ref="C14" authorId="0" shapeId="0" xr:uid="{BC1E5943-3618-4498-9F35-43B933910E05}">
      <text>
        <r>
          <rPr>
            <sz val="8"/>
            <color indexed="81"/>
            <rFont val="Verdana"/>
            <family val="2"/>
          </rPr>
          <t>3. Estimate the quantity in m</t>
        </r>
        <r>
          <rPr>
            <vertAlign val="superscript"/>
            <sz val="8"/>
            <color indexed="81"/>
            <rFont val="Verdana"/>
            <family val="2"/>
          </rPr>
          <t>3</t>
        </r>
        <r>
          <rPr>
            <sz val="8"/>
            <color indexed="81"/>
            <rFont val="Verdana"/>
            <family val="2"/>
          </rPr>
          <t xml:space="preserve"> and the cost/m</t>
        </r>
        <r>
          <rPr>
            <vertAlign val="superscript"/>
            <sz val="8"/>
            <color indexed="81"/>
            <rFont val="Verdana"/>
            <family val="2"/>
          </rPr>
          <t>3</t>
        </r>
        <r>
          <rPr>
            <sz val="8"/>
            <color indexed="81"/>
            <rFont val="Verdana"/>
            <family val="2"/>
          </rPr>
          <t xml:space="preserve"> for metal dressing and calculate the annual costs </t>
        </r>
        <r>
          <rPr>
            <b/>
            <sz val="8"/>
            <color indexed="81"/>
            <rFont val="Verdana"/>
            <family val="2"/>
          </rPr>
          <t>(b)</t>
        </r>
        <r>
          <rPr>
            <sz val="8"/>
            <color indexed="81"/>
            <rFont val="Verdana"/>
            <family val="2"/>
          </rPr>
          <t>.</t>
        </r>
      </text>
    </comment>
    <comment ref="C17" authorId="0" shapeId="0" xr:uid="{48DDD711-BDC5-4EF8-A582-BFBE28735EC1}">
      <text>
        <r>
          <rPr>
            <sz val="8"/>
            <color indexed="81"/>
            <rFont val="Verdana"/>
            <family val="2"/>
          </rPr>
          <t xml:space="preserve">4. Add </t>
        </r>
        <r>
          <rPr>
            <b/>
            <sz val="8"/>
            <color indexed="81"/>
            <rFont val="Verdana"/>
            <family val="2"/>
          </rPr>
          <t>(a)</t>
        </r>
        <r>
          <rPr>
            <sz val="8"/>
            <color indexed="81"/>
            <rFont val="Verdana"/>
            <family val="2"/>
          </rPr>
          <t xml:space="preserve"> and </t>
        </r>
        <r>
          <rPr>
            <b/>
            <sz val="8"/>
            <color indexed="81"/>
            <rFont val="Verdana"/>
            <family val="2"/>
          </rPr>
          <t>(b)</t>
        </r>
        <r>
          <rPr>
            <sz val="8"/>
            <color indexed="81"/>
            <rFont val="Verdana"/>
            <family val="2"/>
          </rPr>
          <t xml:space="preserve"> together, then multiply by the present worth factor to calculate the PV of the do-minimum maintenance costs</t>
        </r>
        <r>
          <rPr>
            <b/>
            <sz val="8"/>
            <color indexed="81"/>
            <rFont val="Verdana"/>
            <family val="2"/>
          </rPr>
          <t xml:space="preserve"> (c)</t>
        </r>
        <r>
          <rPr>
            <sz val="8"/>
            <color indexed="81"/>
            <rFont val="Verdana"/>
            <family val="2"/>
          </rPr>
          <t>.</t>
        </r>
      </text>
    </comment>
    <comment ref="C20" authorId="0" shapeId="0" xr:uid="{EF5C3C67-B60E-4429-95DD-849E12B715FB}">
      <text>
        <r>
          <rPr>
            <sz val="8"/>
            <color indexed="81"/>
            <rFont val="Verdana"/>
            <family val="2"/>
          </rPr>
          <t xml:space="preserve">5. Schedule any periodic heavy maintenance, according to the year in which this work is expected to be undertaken. Apply the appropriate single payment present worth factor (SPPWF) and determine the PV at time zero. Sum the PV of the periodic costs to determine the PV of total periodic maintenance costs </t>
        </r>
        <r>
          <rPr>
            <b/>
            <sz val="8"/>
            <color indexed="81"/>
            <rFont val="Verdana"/>
            <family val="2"/>
          </rPr>
          <t>(d)</t>
        </r>
        <r>
          <rPr>
            <sz val="8"/>
            <color indexed="81"/>
            <rFont val="Verdana"/>
            <family val="2"/>
          </rPr>
          <t xml:space="preserve">. </t>
        </r>
      </text>
    </comment>
    <comment ref="C35" authorId="0" shapeId="0" xr:uid="{F0E28AAD-FCED-4A85-8022-7F5702681007}">
      <text>
        <r>
          <rPr>
            <sz val="8"/>
            <color indexed="81"/>
            <rFont val="Verdana"/>
            <family val="2"/>
          </rPr>
          <t xml:space="preserve">6. Calculate the PV cost of do minimum by adding </t>
        </r>
        <r>
          <rPr>
            <b/>
            <sz val="8"/>
            <color indexed="81"/>
            <rFont val="Verdana"/>
            <family val="2"/>
          </rPr>
          <t>(c)</t>
        </r>
        <r>
          <rPr>
            <sz val="8"/>
            <color indexed="81"/>
            <rFont val="Verdana"/>
            <family val="2"/>
          </rPr>
          <t xml:space="preserve"> + </t>
        </r>
        <r>
          <rPr>
            <b/>
            <sz val="8"/>
            <color indexed="81"/>
            <rFont val="Verdana"/>
            <family val="2"/>
          </rPr>
          <t>(d)</t>
        </r>
        <r>
          <rPr>
            <sz val="8"/>
            <color indexed="81"/>
            <rFont val="Verdana"/>
            <family val="2"/>
          </rPr>
          <t xml:space="preserve">. Transfer the PV cost of do minimum </t>
        </r>
        <r>
          <rPr>
            <b/>
            <sz val="8"/>
            <color indexed="81"/>
            <rFont val="Verdana"/>
            <family val="2"/>
          </rPr>
          <t>A</t>
        </r>
        <r>
          <rPr>
            <sz val="8"/>
            <color indexed="81"/>
            <rFont val="Verdana"/>
            <family val="2"/>
          </rPr>
          <t xml:space="preserve">, to </t>
        </r>
        <r>
          <rPr>
            <b/>
            <sz val="8"/>
            <color indexed="81"/>
            <rFont val="Verdana"/>
            <family val="2"/>
          </rPr>
          <t>A</t>
        </r>
        <r>
          <rPr>
            <sz val="8"/>
            <color indexed="81"/>
            <rFont val="Verdana"/>
            <family val="2"/>
          </rPr>
          <t xml:space="preserve"> on worksheet 1</t>
        </r>
      </text>
    </comment>
  </commentList>
</comments>
</file>

<file path=xl/comments4.xml><?xml version="1.0" encoding="utf-8"?>
<comments xmlns="http://schemas.openxmlformats.org/spreadsheetml/2006/main" xmlns:mc="http://schemas.openxmlformats.org/markup-compatibility/2006" xmlns:xr="http://schemas.microsoft.com/office/spreadsheetml/2014/revision" mc:Ignorable="xr">
  <authors>
    <author>Infrastructural Services</author>
  </authors>
  <commentList>
    <comment ref="B7" authorId="0" shapeId="0" xr:uid="{07952CC7-4550-4EA8-90F3-9E2D5B920320}">
      <text>
        <r>
          <rPr>
            <sz val="8"/>
            <color indexed="81"/>
            <rFont val="Verdana"/>
            <family val="2"/>
          </rPr>
          <t xml:space="preserve">1. Enter the capital cost (including professional services for design and supervision) of the proposed option. The cost is estimated separately on an estimate sheet, which should be attached to this worksheet. Multiply the cost by the discount factor and enter at </t>
        </r>
        <r>
          <rPr>
            <b/>
            <sz val="8"/>
            <color indexed="81"/>
            <rFont val="Verdana"/>
            <family val="2"/>
          </rPr>
          <t>(a)</t>
        </r>
        <r>
          <rPr>
            <sz val="8"/>
            <color indexed="81"/>
            <rFont val="Verdana"/>
            <family val="2"/>
          </rPr>
          <t>.</t>
        </r>
      </text>
    </comment>
    <comment ref="B13" authorId="0" shapeId="0" xr:uid="{219213BF-E6F1-4AC6-995F-40C172F2374F}">
      <text>
        <r>
          <rPr>
            <sz val="8"/>
            <color indexed="81"/>
            <rFont val="Verdana"/>
            <family val="2"/>
          </rPr>
          <t xml:space="preserve">2. Enter the cost of maintenance for year one at </t>
        </r>
        <r>
          <rPr>
            <b/>
            <sz val="8"/>
            <color indexed="81"/>
            <rFont val="Verdana"/>
            <family val="2"/>
          </rPr>
          <t>(b)</t>
        </r>
        <r>
          <rPr>
            <sz val="8"/>
            <color indexed="81"/>
            <rFont val="Verdana"/>
            <family val="2"/>
          </rPr>
          <t>. As this is assumed to be the year that the proposed option works are carried out, this cost will commonly be the same as that for the existing maintenance strategy, as per step 2 on worksheet 2.</t>
        </r>
      </text>
    </comment>
    <comment ref="B15" authorId="0" shapeId="0" xr:uid="{2EF05FFE-31C1-4005-BEBA-C455239F012A}">
      <text>
        <r>
          <rPr>
            <sz val="8"/>
            <color indexed="81"/>
            <rFont val="Verdana"/>
            <family val="2"/>
          </rPr>
          <t xml:space="preserve">3. Enter the cost for annual maintenance and inspections following completion of the works. Multiply by the present worth factor to get the PV of annual maintenance costs </t>
        </r>
        <r>
          <rPr>
            <b/>
            <sz val="8"/>
            <color indexed="81"/>
            <rFont val="Verdana"/>
            <family val="2"/>
          </rPr>
          <t>(c)</t>
        </r>
        <r>
          <rPr>
            <sz val="8"/>
            <color indexed="81"/>
            <rFont val="Verdana"/>
            <family val="2"/>
          </rPr>
          <t xml:space="preserve"> for years 2 to 40 inclusive.</t>
        </r>
      </text>
    </comment>
    <comment ref="B18" authorId="0" shapeId="0" xr:uid="{37EA1479-FEF3-4099-B2A1-694AAE7BA885}">
      <text>
        <r>
          <rPr>
            <sz val="8"/>
            <color indexed="81"/>
            <rFont val="Verdana"/>
            <family val="2"/>
          </rPr>
          <t xml:space="preserve">4. Enter the costs of periodic maintenance (including second coat seal; heavy maintenance prior to resealing; and the cost of future reseals as appropriate). Determine which years this maintenance will be required (if at all) and enter the year, estimated cost and SPPWF. Calculate the PV (estimated cost x SPPWF) for each type of cost and sum these to obtain the PV of the total periodic maintenance cost </t>
        </r>
        <r>
          <rPr>
            <b/>
            <sz val="8"/>
            <color indexed="81"/>
            <rFont val="Verdana"/>
            <family val="2"/>
          </rPr>
          <t>(d)</t>
        </r>
        <r>
          <rPr>
            <sz val="8"/>
            <color indexed="81"/>
            <rFont val="Verdana"/>
            <family val="2"/>
          </rPr>
          <t>.</t>
        </r>
      </text>
    </comment>
    <comment ref="B33" authorId="0" shapeId="0" xr:uid="{89587DA4-44D2-4AD3-A478-D879748072D4}">
      <text>
        <r>
          <rPr>
            <sz val="8"/>
            <color indexed="81"/>
            <rFont val="Verdana"/>
            <family val="2"/>
          </rPr>
          <t xml:space="preserve">5. The sum of </t>
        </r>
        <r>
          <rPr>
            <b/>
            <sz val="8"/>
            <color indexed="81"/>
            <rFont val="Verdana"/>
            <family val="2"/>
          </rPr>
          <t>(a)</t>
        </r>
        <r>
          <rPr>
            <sz val="8"/>
            <color indexed="81"/>
            <rFont val="Verdana"/>
            <family val="2"/>
          </rPr>
          <t xml:space="preserve"> + </t>
        </r>
        <r>
          <rPr>
            <b/>
            <sz val="8"/>
            <color indexed="81"/>
            <rFont val="Verdana"/>
            <family val="2"/>
          </rPr>
          <t>(b)</t>
        </r>
        <r>
          <rPr>
            <sz val="8"/>
            <color indexed="81"/>
            <rFont val="Verdana"/>
            <family val="2"/>
          </rPr>
          <t xml:space="preserve"> + </t>
        </r>
        <r>
          <rPr>
            <b/>
            <sz val="8"/>
            <color indexed="81"/>
            <rFont val="Verdana"/>
            <family val="2"/>
          </rPr>
          <t>(c)</t>
        </r>
        <r>
          <rPr>
            <sz val="8"/>
            <color indexed="81"/>
            <rFont val="Verdana"/>
            <family val="2"/>
          </rPr>
          <t xml:space="preserve"> + </t>
        </r>
        <r>
          <rPr>
            <b/>
            <sz val="8"/>
            <color indexed="81"/>
            <rFont val="Verdana"/>
            <family val="2"/>
          </rPr>
          <t>(d)</t>
        </r>
        <r>
          <rPr>
            <sz val="8"/>
            <color indexed="81"/>
            <rFont val="Verdana"/>
            <family val="2"/>
          </rPr>
          <t xml:space="preserve"> gives the PV total cost of the option, </t>
        </r>
        <r>
          <rPr>
            <b/>
            <sz val="8"/>
            <color indexed="81"/>
            <rFont val="Verdana"/>
            <family val="2"/>
          </rPr>
          <t>B</t>
        </r>
        <r>
          <rPr>
            <sz val="8"/>
            <color indexed="81"/>
            <rFont val="Verdana"/>
            <family val="2"/>
          </rPr>
          <t xml:space="preserve">. Transfer the PV total costs for the preferred option to </t>
        </r>
        <r>
          <rPr>
            <b/>
            <sz val="8"/>
            <color indexed="81"/>
            <rFont val="Verdana"/>
            <family val="2"/>
          </rPr>
          <t xml:space="preserve">B </t>
        </r>
        <r>
          <rPr>
            <sz val="8"/>
            <color indexed="81"/>
            <rFont val="Verdana"/>
            <family val="2"/>
          </rPr>
          <t>on worksheet 1</t>
        </r>
      </text>
    </comment>
  </commentList>
</comments>
</file>

<file path=xl/comments5.xml><?xml version="1.0" encoding="utf-8"?>
<comments xmlns="http://schemas.openxmlformats.org/spreadsheetml/2006/main" xmlns:mc="http://schemas.openxmlformats.org/markup-compatibility/2006" xmlns:xr="http://schemas.microsoft.com/office/spreadsheetml/2014/revision" mc:Ignorable="xr">
  <authors>
    <author>Infrastructural Services</author>
  </authors>
  <commentList>
    <comment ref="B7" authorId="0" shapeId="0" xr:uid="{414DF16E-6332-4803-804A-20A860248C85}">
      <text>
        <r>
          <rPr>
            <sz val="8"/>
            <color indexed="81"/>
            <rFont val="Verdana"/>
            <family val="2"/>
          </rPr>
          <t xml:space="preserve">1. Enter the capital cost (including professional services for design and supervision) of the proposed option. The cost is estimated separately on an estimate sheet, which should be attached to this worksheet. Multiply the cost by the discount factor and enter at </t>
        </r>
        <r>
          <rPr>
            <b/>
            <sz val="8"/>
            <color indexed="81"/>
            <rFont val="Verdana"/>
            <family val="2"/>
          </rPr>
          <t>(a)</t>
        </r>
        <r>
          <rPr>
            <sz val="8"/>
            <color indexed="81"/>
            <rFont val="Verdana"/>
            <family val="2"/>
          </rPr>
          <t>.</t>
        </r>
      </text>
    </comment>
    <comment ref="B13" authorId="0" shapeId="0" xr:uid="{3F753476-9277-4885-8F53-CF901A28757E}">
      <text>
        <r>
          <rPr>
            <sz val="8"/>
            <color indexed="81"/>
            <rFont val="Verdana"/>
            <family val="2"/>
          </rPr>
          <t xml:space="preserve">2. Enter the cost of maintenance for year one at </t>
        </r>
        <r>
          <rPr>
            <b/>
            <sz val="8"/>
            <color indexed="81"/>
            <rFont val="Verdana"/>
            <family val="2"/>
          </rPr>
          <t>(b)</t>
        </r>
        <r>
          <rPr>
            <sz val="8"/>
            <color indexed="81"/>
            <rFont val="Verdana"/>
            <family val="2"/>
          </rPr>
          <t>. As this is assumed to be the year that the proposed option works are carried out, this cost will commonly be the same as that for the existing maintenance strategy, as per step 2 on worksheet 2.</t>
        </r>
      </text>
    </comment>
    <comment ref="B15" authorId="0" shapeId="0" xr:uid="{0B4FAD65-D1BC-4C99-9382-A1C9097489AD}">
      <text>
        <r>
          <rPr>
            <sz val="8"/>
            <color indexed="81"/>
            <rFont val="Verdana"/>
            <family val="2"/>
          </rPr>
          <t xml:space="preserve">3. Enter the cost for annual maintenance and inspections following completion of the works. Multiply by the present worth factor to get the PV of annual maintenance costs </t>
        </r>
        <r>
          <rPr>
            <b/>
            <sz val="8"/>
            <color indexed="81"/>
            <rFont val="Verdana"/>
            <family val="2"/>
          </rPr>
          <t>(c)</t>
        </r>
        <r>
          <rPr>
            <sz val="8"/>
            <color indexed="81"/>
            <rFont val="Verdana"/>
            <family val="2"/>
          </rPr>
          <t xml:space="preserve"> for years 2 to 40 inclusive.</t>
        </r>
      </text>
    </comment>
    <comment ref="B18" authorId="0" shapeId="0" xr:uid="{D7285CD5-F622-418F-BF71-98B9EE199FCB}">
      <text>
        <r>
          <rPr>
            <sz val="8"/>
            <color indexed="81"/>
            <rFont val="Verdana"/>
            <family val="2"/>
          </rPr>
          <t xml:space="preserve">4. Enter the costs of periodic maintenance (including second coat seal; heavy maintenance prior to resealing; and the cost of future reseals as appropriate). Determine which years this maintenance will be required (if at all) and enter the year, estimated cost and SPPWF. Calculate the PV (estimated cost x SPPWF) for each type of cost and sum these to obtain the PV of the total periodic maintenance cost </t>
        </r>
        <r>
          <rPr>
            <b/>
            <sz val="8"/>
            <color indexed="81"/>
            <rFont val="Verdana"/>
            <family val="2"/>
          </rPr>
          <t>(d)</t>
        </r>
        <r>
          <rPr>
            <sz val="8"/>
            <color indexed="81"/>
            <rFont val="Verdana"/>
            <family val="2"/>
          </rPr>
          <t>.</t>
        </r>
      </text>
    </comment>
    <comment ref="B33" authorId="0" shapeId="0" xr:uid="{08717986-6C2A-4D5E-ACDB-F9039F76F286}">
      <text>
        <r>
          <rPr>
            <sz val="8"/>
            <color indexed="81"/>
            <rFont val="Verdana"/>
            <family val="2"/>
          </rPr>
          <t xml:space="preserve">5. The sum of </t>
        </r>
        <r>
          <rPr>
            <b/>
            <sz val="8"/>
            <color indexed="81"/>
            <rFont val="Verdana"/>
            <family val="2"/>
          </rPr>
          <t>(a)</t>
        </r>
        <r>
          <rPr>
            <sz val="8"/>
            <color indexed="81"/>
            <rFont val="Verdana"/>
            <family val="2"/>
          </rPr>
          <t xml:space="preserve"> + </t>
        </r>
        <r>
          <rPr>
            <b/>
            <sz val="8"/>
            <color indexed="81"/>
            <rFont val="Verdana"/>
            <family val="2"/>
          </rPr>
          <t>(b)</t>
        </r>
        <r>
          <rPr>
            <sz val="8"/>
            <color indexed="81"/>
            <rFont val="Verdana"/>
            <family val="2"/>
          </rPr>
          <t xml:space="preserve"> + </t>
        </r>
        <r>
          <rPr>
            <b/>
            <sz val="8"/>
            <color indexed="81"/>
            <rFont val="Verdana"/>
            <family val="2"/>
          </rPr>
          <t>(c)</t>
        </r>
        <r>
          <rPr>
            <sz val="8"/>
            <color indexed="81"/>
            <rFont val="Verdana"/>
            <family val="2"/>
          </rPr>
          <t xml:space="preserve"> + </t>
        </r>
        <r>
          <rPr>
            <b/>
            <sz val="8"/>
            <color indexed="81"/>
            <rFont val="Verdana"/>
            <family val="2"/>
          </rPr>
          <t>(d)</t>
        </r>
        <r>
          <rPr>
            <sz val="8"/>
            <color indexed="81"/>
            <rFont val="Verdana"/>
            <family val="2"/>
          </rPr>
          <t xml:space="preserve"> gives the PV total cost of the option, </t>
        </r>
        <r>
          <rPr>
            <b/>
            <sz val="8"/>
            <color indexed="81"/>
            <rFont val="Verdana"/>
            <family val="2"/>
          </rPr>
          <t>B</t>
        </r>
        <r>
          <rPr>
            <sz val="8"/>
            <color indexed="81"/>
            <rFont val="Verdana"/>
            <family val="2"/>
          </rPr>
          <t xml:space="preserve">. Transfer the PV total costs for the preferred option to </t>
        </r>
        <r>
          <rPr>
            <b/>
            <sz val="8"/>
            <color indexed="81"/>
            <rFont val="Verdana"/>
            <family val="2"/>
          </rPr>
          <t xml:space="preserve">B </t>
        </r>
        <r>
          <rPr>
            <sz val="8"/>
            <color indexed="81"/>
            <rFont val="Verdana"/>
            <family val="2"/>
          </rPr>
          <t>on worksheet 1</t>
        </r>
      </text>
    </comment>
  </commentList>
</comments>
</file>

<file path=xl/comments6.xml><?xml version="1.0" encoding="utf-8"?>
<comments xmlns="http://schemas.openxmlformats.org/spreadsheetml/2006/main" xmlns:mc="http://schemas.openxmlformats.org/markup-compatibility/2006" xmlns:xr="http://schemas.microsoft.com/office/spreadsheetml/2014/revision" mc:Ignorable="xr">
  <authors>
    <author>Infrastructural Services</author>
  </authors>
  <commentList>
    <comment ref="C7" authorId="0" shapeId="0" xr:uid="{066863CA-F1F0-453C-8862-FC7BBF76C26E}">
      <text>
        <r>
          <rPr>
            <sz val="8"/>
            <color indexed="81"/>
            <rFont val="Verdana"/>
            <family val="2"/>
          </rPr>
          <t>1. Select the road category.</t>
        </r>
      </text>
    </comment>
    <comment ref="C9" authorId="0" shapeId="0" xr:uid="{D958FAAC-458F-4397-AE58-C9C39ED18FCC}">
      <text>
        <r>
          <rPr>
            <sz val="8"/>
            <color indexed="81"/>
            <rFont val="Verdana"/>
            <family val="2"/>
          </rPr>
          <t>2. Enter the data required to complete the travel time savings and comfort benefits calculations. The increase in mean vehicle speeds and travel time costs for the do-minimum and options can be obtained from table SP4.1.</t>
        </r>
      </text>
    </comment>
    <comment ref="C18" authorId="0" shapeId="0" xr:uid="{4D16AB0B-70EB-4830-8B1A-DC6961DD3F86}">
      <text>
        <r>
          <rPr>
            <sz val="8"/>
            <color indexed="81"/>
            <rFont val="Verdana"/>
            <family val="2"/>
          </rPr>
          <t xml:space="preserve">3. Calculate the annual travel time costs for the do-minimum </t>
        </r>
        <r>
          <rPr>
            <b/>
            <sz val="8"/>
            <color indexed="81"/>
            <rFont val="Verdana"/>
            <family val="2"/>
          </rPr>
          <t>(a)</t>
        </r>
        <r>
          <rPr>
            <sz val="8"/>
            <color indexed="81"/>
            <rFont val="Verdana"/>
            <family val="2"/>
          </rPr>
          <t xml:space="preserve"> using the formula provided.</t>
        </r>
      </text>
    </comment>
    <comment ref="C22" authorId="0" shapeId="0" xr:uid="{508D48A1-7BAD-4EA2-8092-A4E99F3D5324}">
      <text>
        <r>
          <rPr>
            <sz val="8"/>
            <color indexed="81"/>
            <rFont val="Verdana"/>
            <family val="2"/>
          </rPr>
          <t xml:space="preserve">4. Calculate the annual travel time costs for the option </t>
        </r>
        <r>
          <rPr>
            <b/>
            <sz val="8"/>
            <color indexed="81"/>
            <rFont val="Verdana"/>
            <family val="2"/>
          </rPr>
          <t>(b)</t>
        </r>
        <r>
          <rPr>
            <sz val="8"/>
            <color indexed="81"/>
            <rFont val="Verdana"/>
            <family val="2"/>
          </rPr>
          <t xml:space="preserve"> using the formula provided.</t>
        </r>
      </text>
    </comment>
    <comment ref="C27" authorId="0" shapeId="0" xr:uid="{180A677A-188A-44B4-BE55-B497514F2249}">
      <text>
        <r>
          <rPr>
            <sz val="8"/>
            <color indexed="81"/>
            <rFont val="Verdana"/>
            <family val="2"/>
          </rPr>
          <t xml:space="preserve">5. Calculate the annual travel time cost savings by subtracting the travel time costs for the option </t>
        </r>
        <r>
          <rPr>
            <b/>
            <sz val="8"/>
            <color indexed="81"/>
            <rFont val="Verdana"/>
            <family val="2"/>
          </rPr>
          <t>(b)</t>
        </r>
        <r>
          <rPr>
            <sz val="8"/>
            <color indexed="81"/>
            <rFont val="Verdana"/>
            <family val="2"/>
          </rPr>
          <t xml:space="preserve"> from the do-minimum travel time costs </t>
        </r>
        <r>
          <rPr>
            <b/>
            <sz val="8"/>
            <color indexed="81"/>
            <rFont val="Verdana"/>
            <family val="2"/>
          </rPr>
          <t>(a)</t>
        </r>
        <r>
          <rPr>
            <sz val="8"/>
            <color indexed="81"/>
            <rFont val="Verdana"/>
            <family val="2"/>
          </rPr>
          <t xml:space="preserve"> to get </t>
        </r>
        <r>
          <rPr>
            <b/>
            <sz val="8"/>
            <color indexed="81"/>
            <rFont val="Verdana"/>
            <family val="2"/>
          </rPr>
          <t>(c)</t>
        </r>
        <r>
          <rPr>
            <sz val="8"/>
            <color indexed="81"/>
            <rFont val="Verdana"/>
            <family val="2"/>
          </rPr>
          <t>.</t>
        </r>
      </text>
    </comment>
    <comment ref="C30" authorId="0" shapeId="0" xr:uid="{203E8214-0B87-45FF-ABCE-6DD29F62FBE3}">
      <text>
        <r>
          <rPr>
            <sz val="8"/>
            <color indexed="81"/>
            <rFont val="Verdana"/>
            <family val="2"/>
          </rPr>
          <t xml:space="preserve">6. Determine the PV of the travel time cost savings, multiplying </t>
        </r>
        <r>
          <rPr>
            <b/>
            <sz val="8"/>
            <color indexed="81"/>
            <rFont val="Verdana"/>
            <family val="2"/>
          </rPr>
          <t>(c)</t>
        </r>
        <r>
          <rPr>
            <sz val="8"/>
            <color indexed="81"/>
            <rFont val="Verdana"/>
            <family val="2"/>
          </rPr>
          <t xml:space="preserve"> by the appropriate discount factor from table 3 below. Transfer the PV of travel time cost savings, </t>
        </r>
        <r>
          <rPr>
            <b/>
            <sz val="8"/>
            <color indexed="81"/>
            <rFont val="Verdana"/>
            <family val="2"/>
          </rPr>
          <t xml:space="preserve">C </t>
        </r>
        <r>
          <rPr>
            <sz val="8"/>
            <color indexed="81"/>
            <rFont val="Verdana"/>
            <family val="2"/>
          </rPr>
          <t>to worksheet 1.</t>
        </r>
      </text>
    </comment>
    <comment ref="C33" authorId="0" shapeId="0" xr:uid="{C577411E-CE0E-47CF-9A7D-E7DDCE65651F}">
      <text>
        <r>
          <rPr>
            <sz val="8"/>
            <color indexed="81"/>
            <rFont val="Verdana"/>
            <family val="2"/>
          </rPr>
          <t xml:space="preserve">7. Seal extension benefits: the standard value for comfort benefits associated with sealing unsealed roads is 10¢/vehicle/km. Productivity gains are: $50/km/year for beef and sheep farms, $150/km/year for dairy farms, $300/km/year for horticulture land. The length (km) of the do-minimum unsealed road that is sealed is used to obtain the annual comfort benefit </t>
        </r>
        <r>
          <rPr>
            <b/>
            <sz val="8"/>
            <color indexed="81"/>
            <rFont val="Verdana"/>
            <family val="2"/>
          </rPr>
          <t>(d)</t>
        </r>
        <r>
          <rPr>
            <sz val="8"/>
            <color indexed="81"/>
            <rFont val="Verdana"/>
            <family val="2"/>
          </rPr>
          <t xml:space="preserve"> and the annual productivity benefit </t>
        </r>
        <r>
          <rPr>
            <b/>
            <sz val="8"/>
            <color indexed="81"/>
            <rFont val="Verdana"/>
            <family val="2"/>
          </rPr>
          <t>(e)</t>
        </r>
        <r>
          <rPr>
            <sz val="8"/>
            <color indexed="81"/>
            <rFont val="Verdana"/>
            <family val="2"/>
          </rPr>
          <t>.</t>
        </r>
      </text>
    </comment>
    <comment ref="C38" authorId="0" shapeId="0" xr:uid="{C488D593-C2A9-44CB-85CC-5C067C195657}">
      <text>
        <r>
          <rPr>
            <sz val="8"/>
            <color indexed="81"/>
            <rFont val="Verdana"/>
            <family val="2"/>
          </rPr>
          <t xml:space="preserve">8. Determine the PV of the seal extension benefits, multiplying </t>
        </r>
        <r>
          <rPr>
            <b/>
            <sz val="8"/>
            <color indexed="81"/>
            <rFont val="Verdana"/>
            <family val="2"/>
          </rPr>
          <t>(d)</t>
        </r>
        <r>
          <rPr>
            <sz val="8"/>
            <color indexed="81"/>
            <rFont val="Verdana"/>
            <family val="2"/>
          </rPr>
          <t xml:space="preserve"> + </t>
        </r>
        <r>
          <rPr>
            <b/>
            <sz val="8"/>
            <color indexed="81"/>
            <rFont val="Verdana"/>
            <family val="2"/>
          </rPr>
          <t>(e)</t>
        </r>
        <r>
          <rPr>
            <sz val="8"/>
            <color indexed="81"/>
            <rFont val="Verdana"/>
            <family val="2"/>
          </rPr>
          <t xml:space="preserve"> by the appropriate discount factor. Transfer the PV of seal extension benefits for the preferred option </t>
        </r>
        <r>
          <rPr>
            <b/>
            <sz val="8"/>
            <color indexed="81"/>
            <rFont val="Verdana"/>
            <family val="2"/>
          </rPr>
          <t>K</t>
        </r>
        <r>
          <rPr>
            <sz val="8"/>
            <color indexed="81"/>
            <rFont val="Verdana"/>
            <family val="2"/>
          </rPr>
          <t xml:space="preserve">, to </t>
        </r>
        <r>
          <rPr>
            <b/>
            <sz val="8"/>
            <color indexed="81"/>
            <rFont val="Verdana"/>
            <family val="2"/>
          </rPr>
          <t>K</t>
        </r>
        <r>
          <rPr>
            <sz val="8"/>
            <color indexed="81"/>
            <rFont val="Verdana"/>
            <family val="2"/>
          </rPr>
          <t xml:space="preserve"> on worksheet 1.</t>
        </r>
      </text>
    </comment>
  </commentList>
</comments>
</file>

<file path=xl/comments7.xml><?xml version="1.0" encoding="utf-8"?>
<comments xmlns="http://schemas.openxmlformats.org/spreadsheetml/2006/main" xmlns:mc="http://schemas.openxmlformats.org/markup-compatibility/2006" xmlns:xr="http://schemas.microsoft.com/office/spreadsheetml/2014/revision" mc:Ignorable="xr">
  <authors>
    <author>Infrastructural Services</author>
  </authors>
  <commentList>
    <comment ref="C7" authorId="0" shapeId="0" xr:uid="{D44527B3-BD11-4AF1-9A82-986E4025949E}">
      <text>
        <r>
          <rPr>
            <sz val="8"/>
            <color indexed="81"/>
            <rFont val="Verdana"/>
            <family val="2"/>
          </rPr>
          <t>1. Enter the base data required for analysis of VOC savings. Table SP4.2 provides the base VOCs (CB) in cents/km for different gradients and mean vehicle speeds, while table SP4.1 provides roughness costs (CR) in cents/km for different road roughness.</t>
        </r>
      </text>
    </comment>
    <comment ref="C19" authorId="0" shapeId="0" xr:uid="{2C6BD998-A3DE-4D96-9ECC-F6C6C8405E67}">
      <text>
        <r>
          <rPr>
            <sz val="8"/>
            <color indexed="81"/>
            <rFont val="Verdana"/>
            <family val="2"/>
          </rPr>
          <t xml:space="preserve">2. Calculate the annual VOCs </t>
        </r>
        <r>
          <rPr>
            <b/>
            <sz val="8"/>
            <color indexed="81"/>
            <rFont val="Verdana"/>
            <family val="2"/>
          </rPr>
          <t>(a)</t>
        </r>
        <r>
          <rPr>
            <sz val="8"/>
            <color indexed="81"/>
            <rFont val="Verdana"/>
            <family val="2"/>
          </rPr>
          <t xml:space="preserve"> for the do-minimum using the formula provided.</t>
        </r>
      </text>
    </comment>
    <comment ref="C23" authorId="0" shapeId="0" xr:uid="{E73781FC-F050-484E-B1B8-171676D4EE9E}">
      <text>
        <r>
          <rPr>
            <sz val="8"/>
            <color indexed="81"/>
            <rFont val="Verdana"/>
            <family val="2"/>
          </rPr>
          <t xml:space="preserve">3. Calculate the annual VOCs </t>
        </r>
        <r>
          <rPr>
            <b/>
            <sz val="8"/>
            <color indexed="81"/>
            <rFont val="Verdana"/>
            <family val="2"/>
          </rPr>
          <t>(b)</t>
        </r>
        <r>
          <rPr>
            <sz val="8"/>
            <color indexed="81"/>
            <rFont val="Verdana"/>
            <family val="2"/>
          </rPr>
          <t xml:space="preserve"> for the option using the formula provided.</t>
        </r>
      </text>
    </comment>
    <comment ref="C28" authorId="0" shapeId="0" xr:uid="{4B6E3184-32CB-4AE8-BCDE-2830AA030667}">
      <text>
        <r>
          <rPr>
            <sz val="8"/>
            <color indexed="81"/>
            <rFont val="Verdana"/>
            <family val="2"/>
          </rPr>
          <t xml:space="preserve">4. Calculate the annual VOC savings by subtracting the VOCs for the option </t>
        </r>
        <r>
          <rPr>
            <b/>
            <sz val="8"/>
            <color indexed="81"/>
            <rFont val="Verdana"/>
            <family val="2"/>
          </rPr>
          <t>(b)</t>
        </r>
        <r>
          <rPr>
            <sz val="8"/>
            <color indexed="81"/>
            <rFont val="Verdana"/>
            <family val="2"/>
          </rPr>
          <t xml:space="preserve"> from the do-minimum VOCs </t>
        </r>
        <r>
          <rPr>
            <b/>
            <sz val="8"/>
            <color indexed="81"/>
            <rFont val="Verdana"/>
            <family val="2"/>
          </rPr>
          <t>(a)</t>
        </r>
        <r>
          <rPr>
            <sz val="8"/>
            <color indexed="81"/>
            <rFont val="Verdana"/>
            <family val="2"/>
          </rPr>
          <t xml:space="preserve"> to get </t>
        </r>
        <r>
          <rPr>
            <b/>
            <sz val="8"/>
            <color indexed="81"/>
            <rFont val="Verdana"/>
            <family val="2"/>
          </rPr>
          <t>(c)</t>
        </r>
        <r>
          <rPr>
            <sz val="8"/>
            <color indexed="81"/>
            <rFont val="Verdana"/>
            <family val="2"/>
          </rPr>
          <t>.</t>
        </r>
      </text>
    </comment>
    <comment ref="C31" authorId="0" shapeId="0" xr:uid="{702B5C61-6C81-43C2-81C3-F0D2D0AF99FB}">
      <text>
        <r>
          <rPr>
            <sz val="8"/>
            <color indexed="81"/>
            <rFont val="Verdana"/>
            <family val="2"/>
          </rPr>
          <t xml:space="preserve">5. Determine the PV of the VOC savings, </t>
        </r>
        <r>
          <rPr>
            <b/>
            <sz val="8"/>
            <color indexed="81"/>
            <rFont val="Verdana"/>
            <family val="2"/>
          </rPr>
          <t>D</t>
        </r>
        <r>
          <rPr>
            <sz val="8"/>
            <color indexed="81"/>
            <rFont val="Verdana"/>
            <family val="2"/>
          </rPr>
          <t xml:space="preserve"> by multiplying </t>
        </r>
        <r>
          <rPr>
            <b/>
            <sz val="8"/>
            <color indexed="81"/>
            <rFont val="Verdana"/>
            <family val="2"/>
          </rPr>
          <t>(c)</t>
        </r>
        <r>
          <rPr>
            <sz val="8"/>
            <color indexed="81"/>
            <rFont val="Verdana"/>
            <family val="2"/>
          </rPr>
          <t xml:space="preserve"> by the appropriate discount factor. Transfer the PV of VOC savings, </t>
        </r>
        <r>
          <rPr>
            <b/>
            <sz val="8"/>
            <color indexed="81"/>
            <rFont val="Verdana"/>
            <family val="2"/>
          </rPr>
          <t>D</t>
        </r>
        <r>
          <rPr>
            <sz val="8"/>
            <color indexed="81"/>
            <rFont val="Verdana"/>
            <family val="2"/>
          </rPr>
          <t xml:space="preserve"> for the preferred option to worksheet 1.</t>
        </r>
      </text>
    </comment>
  </commentList>
</comments>
</file>

<file path=xl/comments8.xml><?xml version="1.0" encoding="utf-8"?>
<comments xmlns="http://schemas.openxmlformats.org/spreadsheetml/2006/main" xmlns:mc="http://schemas.openxmlformats.org/markup-compatibility/2006" xmlns:xr="http://schemas.microsoft.com/office/spreadsheetml/2014/revision" mc:Ignorable="xr">
  <authors>
    <author>Information Services</author>
  </authors>
  <commentList>
    <comment ref="A15" authorId="0" shapeId="0" xr:uid="{8FB3A6D3-0725-4031-B716-BEF3198A518C}">
      <text>
        <r>
          <rPr>
            <sz val="8"/>
            <color indexed="81"/>
            <rFont val="Tahoma"/>
            <family val="2"/>
          </rPr>
          <t>3. Enter number of years of typical crash rate records</t>
        </r>
      </text>
    </comment>
    <comment ref="A16" authorId="0" shapeId="0" xr:uid="{86F84FFE-8E6E-4A0E-9C8C-B64A9FC7C28B}">
      <text>
        <r>
          <rPr>
            <sz val="8"/>
            <color indexed="81"/>
            <rFont val="Tahoma"/>
            <family val="2"/>
          </rPr>
          <t>4. Enter the number of reported crashes in the reporting period for each of the severity categories</t>
        </r>
      </text>
    </comment>
    <comment ref="A17" authorId="0" shapeId="0" xr:uid="{09044828-23F8-4729-91F4-B36E487D660B}">
      <text>
        <r>
          <rPr>
            <sz val="8"/>
            <color indexed="81"/>
            <rFont val="Tahoma"/>
            <family val="2"/>
          </rPr>
          <t>5. If the number of fatal and serious crashes at the site is greater than the limiting number specified in figure A1, leave line (5) blank and go to line (6). Otherwise, in line (5) enter the ratio of fatal/(fatal + serious) and serious/(fatal + serious) from tables A15, A16, or A17 (all movements, all vehicles).</t>
        </r>
      </text>
    </comment>
    <comment ref="A18" authorId="0" shapeId="0" xr:uid="{69F64279-ED79-45E1-862F-797477829BEA}">
      <text>
        <r>
          <rPr>
            <sz val="8"/>
            <color indexed="81"/>
            <rFont val="Tahoma"/>
            <family val="2"/>
          </rPr>
          <t>6. Multiply the total fatal + serious crashes (4) by the ratios (5) to get the adjusted fatal and serious crashes (6) for the reporting period. For minor and non–injury crashes transfer the crash numbers from (4).</t>
        </r>
      </text>
    </comment>
    <comment ref="A19" authorId="0" shapeId="0" xr:uid="{4CB13DE7-2DD3-48CA-BAB9-610FC098EF11}">
      <text>
        <r>
          <rPr>
            <sz val="8"/>
            <color indexed="81"/>
            <rFont val="Tahoma"/>
            <family val="2"/>
          </rPr>
          <t>7. To get the crashes per year, divide (6) by (3).</t>
        </r>
      </text>
    </comment>
    <comment ref="A20" authorId="0" shapeId="0" xr:uid="{E0AE384A-EE71-4FD6-BB38-355AF4C88024}">
      <text>
        <r>
          <rPr>
            <sz val="8"/>
            <color indexed="81"/>
            <rFont val="Tahoma"/>
            <family val="2"/>
          </rPr>
          <t>8. Enter the adjustment factor for the crash trend from table A13</t>
        </r>
      </text>
    </comment>
    <comment ref="A21" authorId="0" shapeId="0" xr:uid="{A451A2AA-759A-4CA0-949F-137D4A7AAA4D}">
      <text>
        <r>
          <rPr>
            <sz val="8"/>
            <color indexed="81"/>
            <rFont val="Tahoma"/>
            <family val="2"/>
          </rPr>
          <t>9. Multiply (7) by (8) to obtain the crashes per year (at time zero) for each crash category</t>
        </r>
      </text>
    </comment>
    <comment ref="A22" authorId="0" shapeId="0" xr:uid="{E315D6C9-AA65-4743-B2D0-5087F8B10AC7}">
      <text>
        <r>
          <rPr>
            <sz val="8"/>
            <color indexed="81"/>
            <rFont val="Tahoma"/>
            <family val="2"/>
          </rPr>
          <t>10. Enter the under–reporting factors from tables A18 and A19</t>
        </r>
      </text>
    </comment>
    <comment ref="A23" authorId="0" shapeId="0" xr:uid="{CC83F1C3-37E3-47EC-92E1-D8B83AE89C49}">
      <text>
        <r>
          <rPr>
            <sz val="8"/>
            <color indexed="81"/>
            <rFont val="Tahoma"/>
            <family val="2"/>
          </rPr>
          <t>11. Multiply (9) by (10) to get the total estimated crashes per year</t>
        </r>
      </text>
    </comment>
    <comment ref="A24" authorId="0" shapeId="0" xr:uid="{55929E1A-4AF4-4503-9C1B-684361F90F00}">
      <text>
        <r>
          <rPr>
            <sz val="8"/>
            <color indexed="81"/>
            <rFont val="Tahoma"/>
            <family val="2"/>
          </rPr>
          <t>12. Enter the crash costs for 80-110km/h speed limit for each crash category (all movements, all vehicles) from the tables A24 to A27</t>
        </r>
      </text>
    </comment>
    <comment ref="A25" authorId="0" shapeId="0" xr:uid="{BC76FA81-91B5-4A36-999E-6FAECA2638CB}">
      <text>
        <r>
          <rPr>
            <sz val="8"/>
            <color indexed="81"/>
            <rFont val="Tahoma"/>
            <family val="2"/>
          </rPr>
          <t>13. Enter the crash costs for 30-50 km/h speed limit for each crash category (all movements, all vehicles) from the tables A20 to A23</t>
        </r>
      </text>
    </comment>
    <comment ref="A26" authorId="0" shapeId="0" xr:uid="{E10D8C17-5EC9-4C8E-BE7A-F204133BBB82}">
      <text>
        <r>
          <rPr>
            <sz val="8"/>
            <color indexed="81"/>
            <rFont val="Tahoma"/>
            <family val="2"/>
          </rPr>
          <t>14. Calculate the mean speed adjustment for the do minimum</t>
        </r>
      </text>
    </comment>
    <comment ref="A27" authorId="0" shapeId="0" xr:uid="{B33DD0CB-B22A-4CCD-9650-819D5FD4135D}">
      <text>
        <r>
          <rPr>
            <sz val="8"/>
            <color indexed="81"/>
            <rFont val="Tahoma"/>
            <family val="2"/>
          </rPr>
          <t>15. Calculate the cost per crash for the do minimum by adding (13) and (14) and then multiplying this by the difference between crash costs in (12) and (13).</t>
        </r>
      </text>
    </comment>
    <comment ref="A28" authorId="0" shapeId="0" xr:uid="{79F5640D-FD4D-42AF-A3D6-1173BE359B32}">
      <text>
        <r>
          <rPr>
            <sz val="8"/>
            <color indexed="81"/>
            <rFont val="Tahoma"/>
            <family val="2"/>
          </rPr>
          <t>16. Multiply crashes per year (11) by (15) to get cost per crash per year</t>
        </r>
      </text>
    </comment>
    <comment ref="A29" authorId="0" shapeId="0" xr:uid="{721B4D02-2BF5-4AEF-A082-457D4233A4A2}">
      <text>
        <r>
          <rPr>
            <sz val="8"/>
            <color indexed="81"/>
            <rFont val="Tahoma"/>
            <family val="2"/>
          </rPr>
          <t>17. Add the costs for fatal, serious, minor and non–injury crashes in line (16) to get the total crash cost per year</t>
        </r>
      </text>
    </comment>
    <comment ref="A31" authorId="0" shapeId="0" xr:uid="{360CDC90-EDD0-464B-B482-657761656B2E}">
      <text>
        <r>
          <rPr>
            <sz val="8"/>
            <color indexed="81"/>
            <rFont val="Tahoma"/>
            <family val="2"/>
          </rPr>
          <t xml:space="preserve">18. Determine the forecast percentage crash reduction for each crash category </t>
        </r>
      </text>
    </comment>
    <comment ref="A32" authorId="0" shapeId="0" xr:uid="{1344030A-BEEE-4BD3-A578-2FC5D92A02F1}">
      <text>
        <r>
          <rPr>
            <sz val="8"/>
            <color indexed="81"/>
            <rFont val="Tahoma"/>
            <family val="2"/>
          </rPr>
          <t>19. Determine the proportion of crashes remaining [100% minus the percentage reduction in (18)]</t>
        </r>
      </text>
    </comment>
    <comment ref="A33" authorId="0" shapeId="0" xr:uid="{AB24A4D6-4D1E-49DE-ADFF-EA50F7B1CC06}">
      <text>
        <r>
          <rPr>
            <sz val="8"/>
            <color indexed="81"/>
            <rFont val="Tahoma"/>
            <family val="2"/>
          </rPr>
          <t>20. Calculate the predicted crashes per year by multiplying the crashes per year of the do minimum (11) by the percentage of crashes remaining (19)</t>
        </r>
      </text>
    </comment>
    <comment ref="A34" authorId="0" shapeId="0" xr:uid="{A80F0D00-5E49-4FB1-96C0-F6B5D21A5116}">
      <text>
        <r>
          <rPr>
            <sz val="8"/>
            <color indexed="81"/>
            <rFont val="Tahoma"/>
            <family val="2"/>
          </rPr>
          <t>21. Repeat the calculations from lines (12) through (15), in lines (21) through (24) using the option mean speed (2), to obtain the cost per crash for the option (24)</t>
        </r>
      </text>
    </comment>
    <comment ref="A38" authorId="0" shapeId="0" xr:uid="{708F5CA1-CDC8-46A8-9725-776A173715D4}">
      <text>
        <r>
          <rPr>
            <sz val="8"/>
            <color indexed="81"/>
            <rFont val="Tahoma"/>
            <family val="2"/>
          </rPr>
          <t>25. Multiply the predicted number of crashes per year (20) by the cost per crash (24) to get the total crash costs per year for each crash category</t>
        </r>
      </text>
    </comment>
    <comment ref="A39" authorId="0" shapeId="0" xr:uid="{97FE5EAE-3111-4FA6-BD98-242A2F8BAB39}">
      <text>
        <r>
          <rPr>
            <sz val="8"/>
            <color indexed="81"/>
            <rFont val="Tahoma"/>
            <family val="2"/>
          </rPr>
          <t xml:space="preserve">26. Add together the costs for fatal, serious, minor and non–injury crashes to get total crash costs per year </t>
        </r>
      </text>
    </comment>
    <comment ref="A40" authorId="0" shapeId="0" xr:uid="{2FBB2914-4111-4984-BED3-D4BBB4F15550}">
      <text>
        <r>
          <rPr>
            <sz val="8"/>
            <color indexed="81"/>
            <rFont val="Tahoma"/>
            <family val="2"/>
          </rPr>
          <t xml:space="preserve">27. Calculate the annual crash cost savings by subtracting the values in (26) from (17). </t>
        </r>
      </text>
    </comment>
    <comment ref="A41" authorId="0" shapeId="0" xr:uid="{97D5275B-F116-4FE9-9148-8E08C0D07204}">
      <text>
        <r>
          <rPr>
            <sz val="8"/>
            <color indexed="81"/>
            <rFont val="Tahoma"/>
            <family val="2"/>
          </rPr>
          <t>28. Multiply the annual crash cost savings (27) – or the total from the crash rate or weighted crash analysis – by the discount factor for the appropriate speed limit and traffic growth rate to determine the PV crash cost savings.</t>
        </r>
      </text>
    </comment>
    <comment ref="A42" authorId="0" shapeId="0" xr:uid="{56065828-B2C0-44FA-B6CB-DC12F0591B68}">
      <text>
        <r>
          <rPr>
            <sz val="8"/>
            <color indexed="81"/>
            <rFont val="Tahoma"/>
            <family val="2"/>
          </rPr>
          <t>Transfer this total, E for the preferred option to worksheet 1.</t>
        </r>
      </text>
    </comment>
  </commentList>
</comments>
</file>

<file path=xl/comments9.xml><?xml version="1.0" encoding="utf-8"?>
<comments xmlns="http://schemas.openxmlformats.org/spreadsheetml/2006/main" xmlns:mc="http://schemas.openxmlformats.org/markup-compatibility/2006" xmlns:xr="http://schemas.microsoft.com/office/spreadsheetml/2014/revision" mc:Ignorable="xr">
  <authors>
    <author>Infrastructural Services</author>
  </authors>
  <commentList>
    <comment ref="A8" authorId="0" shapeId="0" xr:uid="{F2D72C35-AC01-495C-BDB0-AEE3F96FF098}">
      <text>
        <r>
          <rPr>
            <b/>
            <sz val="8"/>
            <color indexed="81"/>
            <rFont val="Verdana"/>
            <family val="2"/>
          </rPr>
          <t>Cost benefit analysis</t>
        </r>
        <r>
          <rPr>
            <sz val="8"/>
            <color indexed="81"/>
            <rFont val="Verdana"/>
            <family val="2"/>
          </rPr>
          <t xml:space="preserve">
1. Under benefits, enter the discounted values for the public transport user benefits and the road traffic reduction benefits for each option. Add together the benefits to obtain the total benefits for each option.
2. Under costs, enter the discounted value of the funding assistance for each option.
3. Calculate the benefit cost ratio (BCR) for each option by dividing the PV of the total benefits by the PV of the funding assistance.</t>
        </r>
      </text>
    </comment>
    <comment ref="A23" authorId="0" shapeId="0" xr:uid="{3BA0EE55-BAA4-4064-B711-D48616E2C8C5}">
      <text>
        <r>
          <rPr>
            <sz val="8"/>
            <color indexed="81"/>
            <rFont val="Verdana"/>
            <family val="2"/>
          </rPr>
          <t>Incremental analysis
1. Rank the options, including the do-minimum, in order of increasing cost to government.
2. Compare the lowest cost option (usually the do-minimum) with the next higher cost option to calculate the incremental BCR.
3. If the incremental BCR is less than the target incremental BCR specified in section 6.3 of the MBCM. discard the second (higher cost) option in favour of the first. Compare the first option with the next higher cost option.
4. If the incremental BCR is greater than the target incremental BCR, the second (higher cost) option becomes the basis for comparison against the next higher cost option.
5. Repeat the procedure until no higher cost options are available that have an incremental BCR greater than the target incremental BCR.</t>
        </r>
      </text>
    </comment>
  </commentList>
</comments>
</file>

<file path=xl/metadata.xml><?xml version="1.0" encoding="utf-8"?>
<metadata xmlns="http://schemas.openxmlformats.org/spreadsheetml/2006/main" xmlns:xda="http://schemas.microsoft.com/office/spreadsheetml/2017/dynamicarray">
  <metadataTypes count="1">
    <metadataType name="XLDAPR" minSupportedVersion="120000" copy="1" pasteAll="1" pasteValues="1" merge="1" splitFirst="1" rowColShift="1" clearFormats="1" clearComments="1" assign="1" coerce="1" cellMeta="1"/>
  </metadataTypes>
  <futureMetadata name="XLDAPR" count="1">
    <bk>
      <extLst>
        <ext uri="{bdbb8cdc-fa1e-496e-a857-3c3f30c029c3}">
          <xda:dynamicArrayProperties fDynamic="1" fCollapsed="0"/>
        </ext>
      </extLst>
    </bk>
  </futureMetadata>
  <cellMetadata count="1">
    <bk>
      <rc t="1" v="0"/>
    </bk>
  </cellMetadata>
</metadata>
</file>

<file path=xl/sharedStrings.xml><?xml version="1.0" encoding="utf-8"?>
<sst xmlns="http://schemas.openxmlformats.org/spreadsheetml/2006/main" count="1881" uniqueCount="887">
  <si>
    <t>Appraisal Summary Table Template</t>
  </si>
  <si>
    <t>Option number</t>
  </si>
  <si>
    <t>Date:</t>
  </si>
  <si>
    <t>Option Name:</t>
  </si>
  <si>
    <t>This is the preferred option</t>
  </si>
  <si>
    <t>One</t>
  </si>
  <si>
    <t>Problem/opportunity statement:</t>
  </si>
  <si>
    <t>Investment objectives:</t>
  </si>
  <si>
    <t>How project gives effect to GPS:</t>
  </si>
  <si>
    <t>How project gives effect to local community outcomes:</t>
  </si>
  <si>
    <t>… type</t>
  </si>
  <si>
    <t>1.  Summary of Non-Monetised Impacts (Description)</t>
  </si>
  <si>
    <t>2.  Summary of Financial Impacts (nominal, non-discounted)</t>
  </si>
  <si>
    <t>3.  Summary of Monetised Option Impacts (present value, discounted)</t>
  </si>
  <si>
    <t>Summary description of non-monetised measures and impacts</t>
  </si>
  <si>
    <t>Capital Costs</t>
  </si>
  <si>
    <t>N/A</t>
  </si>
  <si>
    <t>Operating Costs</t>
  </si>
  <si>
    <t>Total Economic Costs</t>
  </si>
  <si>
    <t>Total Financial Costs</t>
  </si>
  <si>
    <t>Transport Outcomes</t>
  </si>
  <si>
    <r>
      <t xml:space="preserve">Non-Monetised Impact:
</t>
    </r>
    <r>
      <rPr>
        <sz val="12"/>
        <color indexed="63"/>
        <rFont val="Calibri"/>
        <family val="2"/>
      </rPr>
      <t>(description in numerical or narrative terms)</t>
    </r>
  </si>
  <si>
    <r>
      <rPr>
        <b/>
        <sz val="12"/>
        <color indexed="56"/>
        <rFont val="Calibri"/>
        <family val="2"/>
      </rPr>
      <t>Monetised Impact:</t>
    </r>
    <r>
      <rPr>
        <sz val="12"/>
        <color indexed="56"/>
        <rFont val="Whitney Semibold"/>
      </rPr>
      <t xml:space="preserve">
</t>
    </r>
    <r>
      <rPr>
        <sz val="12"/>
        <color indexed="63"/>
        <rFont val="Calibri"/>
        <family val="2"/>
      </rPr>
      <t>(description in dollar terms in real terms, non-discounted)</t>
    </r>
  </si>
  <si>
    <t>Name of Benefit</t>
  </si>
  <si>
    <t>Name of Measure:</t>
  </si>
  <si>
    <t>Baseline:</t>
  </si>
  <si>
    <t>Do Minimum Impact:</t>
  </si>
  <si>
    <t>Option Impact:</t>
  </si>
  <si>
    <r>
      <rPr>
        <b/>
        <sz val="12"/>
        <color indexed="50"/>
        <rFont val="Calibri"/>
        <family val="2"/>
      </rPr>
      <t>Healthy and safe people</t>
    </r>
    <r>
      <rPr>
        <sz val="12"/>
        <color indexed="50"/>
        <rFont val="Whitney Semibold"/>
      </rPr>
      <t xml:space="preserve"> </t>
    </r>
    <r>
      <rPr>
        <i/>
        <sz val="12"/>
        <color indexed="63"/>
        <rFont val="Calibri"/>
        <family val="2"/>
      </rPr>
      <t>(Please insert a row below to add an additional benefit or measure, and delete rows as appropriate)</t>
    </r>
  </si>
  <si>
    <t>1.1 Impact on social cost and incidents of crashes</t>
  </si>
  <si>
    <t>1.1.3 Deaths and serious injuries</t>
  </si>
  <si>
    <t>3.1 Impact of mode on physical and mental health</t>
  </si>
  <si>
    <t>3.1.1 Physical health benefits from active modes</t>
  </si>
  <si>
    <r>
      <rPr>
        <b/>
        <sz val="12"/>
        <color indexed="52"/>
        <rFont val="Calibri"/>
        <family val="2"/>
      </rPr>
      <t>Resilience and security</t>
    </r>
    <r>
      <rPr>
        <sz val="12"/>
        <color indexed="53"/>
        <rFont val="Whitney Semibold"/>
      </rPr>
      <t xml:space="preserve"> </t>
    </r>
    <r>
      <rPr>
        <i/>
        <sz val="12"/>
        <color indexed="63"/>
        <rFont val="Calibri"/>
        <family val="2"/>
      </rPr>
      <t>(Please insert a row below to add an additional benefit or measure, and delete rows as appropriate)</t>
    </r>
  </si>
  <si>
    <r>
      <rPr>
        <b/>
        <sz val="12"/>
        <color indexed="53"/>
        <rFont val="Calibri"/>
        <family val="2"/>
      </rPr>
      <t xml:space="preserve">Economic prosperity - excluding wider economic impacts </t>
    </r>
    <r>
      <rPr>
        <i/>
        <sz val="12"/>
        <color indexed="63"/>
        <rFont val="Calibri"/>
        <family val="2"/>
      </rPr>
      <t>(Please insert a row below to add an additional benefit or measure, and delete rows as appropriate)</t>
    </r>
  </si>
  <si>
    <t>5.2 Impact on network productivity and utilisation</t>
  </si>
  <si>
    <t>10.1.9 Travel time</t>
  </si>
  <si>
    <r>
      <rPr>
        <b/>
        <sz val="12"/>
        <color indexed="17"/>
        <rFont val="Calibri"/>
        <family val="2"/>
      </rPr>
      <t>Environmental sustainability</t>
    </r>
    <r>
      <rPr>
        <i/>
        <sz val="12"/>
        <color indexed="50"/>
        <rFont val="Calibri"/>
        <family val="2"/>
      </rPr>
      <t xml:space="preserve"> </t>
    </r>
    <r>
      <rPr>
        <i/>
        <sz val="12"/>
        <rFont val="Calibri"/>
        <family val="2"/>
      </rPr>
      <t>(Please insert a row below to add an additional benefit or measure, and delete rows as appropriate)</t>
    </r>
  </si>
  <si>
    <t>8.1 Impact on greenhouse gas emissions</t>
  </si>
  <si>
    <t>8.1.1 CO2 emissions</t>
  </si>
  <si>
    <t>8.1.2 VKT</t>
  </si>
  <si>
    <t>9.1 Impact on resource efficiency</t>
  </si>
  <si>
    <t>9.1.1 Resource efficiency</t>
  </si>
  <si>
    <r>
      <rPr>
        <b/>
        <sz val="12"/>
        <color indexed="57"/>
        <rFont val="Calibri"/>
        <family val="2"/>
      </rPr>
      <t>Inclusive access</t>
    </r>
    <r>
      <rPr>
        <i/>
        <sz val="12"/>
        <color indexed="57"/>
        <rFont val="Calibri"/>
        <family val="2"/>
      </rPr>
      <t xml:space="preserve"> </t>
    </r>
    <r>
      <rPr>
        <i/>
        <sz val="12"/>
        <rFont val="Calibri"/>
        <family val="2"/>
      </rPr>
      <t>(Please insert a row below to add an additional benefit or measure, and delete rows as appropriate)</t>
    </r>
  </si>
  <si>
    <t>12.1 Impact on Te Ao Māori</t>
  </si>
  <si>
    <t>12.1.1 Te Ao Māori</t>
  </si>
  <si>
    <t>10.1 Impact on user experience of the transport system</t>
  </si>
  <si>
    <t>Rationale for option selection decision</t>
  </si>
  <si>
    <t>Healthy and safe people benefits</t>
  </si>
  <si>
    <t>Resilience and security benefits</t>
  </si>
  <si>
    <t>Economic Prosperity benefits</t>
  </si>
  <si>
    <t>Environmental sustainability benefits</t>
  </si>
  <si>
    <t>Inclusive access benefits</t>
  </si>
  <si>
    <t>4.1 Impact on system vunerabilities and redundancies</t>
  </si>
  <si>
    <t>5.1 Impact on system reliability</t>
  </si>
  <si>
    <t>7.1 Impact on water</t>
  </si>
  <si>
    <t>1.2 Impact on a safe system</t>
  </si>
  <si>
    <t>Double click to add alternative benefit</t>
  </si>
  <si>
    <t>7.2 Impact on land and biodiversity</t>
  </si>
  <si>
    <t>10.2 Impact on mode choice</t>
  </si>
  <si>
    <t>2.1 Impact on perceptions of safety and security</t>
  </si>
  <si>
    <t>6.1 Wider economic benefit (productivity)</t>
  </si>
  <si>
    <t>10.3 Impact on access to opportunities</t>
  </si>
  <si>
    <t>6.2 Wider economic benefit (employment impact)</t>
  </si>
  <si>
    <t>10.4 Impact on community cohesion</t>
  </si>
  <si>
    <t>3.2 Impact of air emissions on health</t>
  </si>
  <si>
    <t>6.3 Wider economic benefit (imperfect competition)</t>
  </si>
  <si>
    <t>11.1 Impact on heritage and cultural values</t>
  </si>
  <si>
    <t>3.3 Impact of noise and vibration on health</t>
  </si>
  <si>
    <t>6.4 Wider economic benefit (regional economic development)</t>
  </si>
  <si>
    <t>11.2 Impact on landscape</t>
  </si>
  <si>
    <t>Measures</t>
  </si>
  <si>
    <t>11.3 Impact on townscape</t>
  </si>
  <si>
    <t>1.1.1 Collective risk (crash density)</t>
  </si>
  <si>
    <t>1.1.2 Crashes by severity</t>
  </si>
  <si>
    <t>1.1.4 Personal risk (crash rate)</t>
  </si>
  <si>
    <t>1.1 Impact on social cost of deaths and serious injuries</t>
  </si>
  <si>
    <t>1.2.1 Road assessment rating - roads</t>
  </si>
  <si>
    <t>1.2.2 Road assessment rating - state highways</t>
  </si>
  <si>
    <t>1.2.3 Travel speed gap</t>
  </si>
  <si>
    <t>2.1.1 Access - perception</t>
  </si>
  <si>
    <t>3.2.1 Ambient air quality - NO2</t>
  </si>
  <si>
    <t>3.2.2 Ambient air quality - PM10</t>
  </si>
  <si>
    <t>3.3.1 Noise level</t>
  </si>
  <si>
    <t>4.1.1 Availablity of a viable alternative to high-risk and high-impact route</t>
  </si>
  <si>
    <t>4.1.2 Level of service and risk</t>
  </si>
  <si>
    <t>5.1.1 Punctuality - public transport</t>
  </si>
  <si>
    <t>5.1.2 Travel time reliability - motor vehicles</t>
  </si>
  <si>
    <t>5.1.3 Travel time delay</t>
  </si>
  <si>
    <t>5.1.4 Temporal availability - road</t>
  </si>
  <si>
    <t>5.2.1 Spatial coverage - freight</t>
  </si>
  <si>
    <t>5.2.2 Freight - mode share value</t>
  </si>
  <si>
    <t>5.2.3 Freight - mode share weight</t>
  </si>
  <si>
    <t>5.2.4 Freight - throughput value</t>
  </si>
  <si>
    <t>5.2.5 Freight - throughput weight</t>
  </si>
  <si>
    <t>5.2.6 Access to key economic destinations (all modes)</t>
  </si>
  <si>
    <t>7.1.1 Water quality</t>
  </si>
  <si>
    <t>7.2.1 Biodiversity</t>
  </si>
  <si>
    <t>7.2.2 Productive land</t>
  </si>
  <si>
    <t>9.1.2 Embodied carbon</t>
  </si>
  <si>
    <t>9.1.3 Energy use</t>
  </si>
  <si>
    <t>10.1.1 People - throughput of pedestrians, cyclists and public transport boardings</t>
  </si>
  <si>
    <t>(Repeat) 2.1.1 Access - perception</t>
  </si>
  <si>
    <t>10.1.2 Pedestrian delay</t>
  </si>
  <si>
    <t>10.1.3 Ease of getting on/off public transport services</t>
  </si>
  <si>
    <t>10.1.4 Network condition - cycling</t>
  </si>
  <si>
    <t>10.1.5 Network condition - road</t>
  </si>
  <si>
    <t>10.1.6 People - throughput</t>
  </si>
  <si>
    <t>10.1.7 People - throughput (UCP)</t>
  </si>
  <si>
    <t>10.1.8 Traffic - throughput</t>
  </si>
  <si>
    <t>10.2.1 People - mode share</t>
  </si>
  <si>
    <t>(Repeat) 8.1.2 Mode shift from single occupancy private vehicle</t>
  </si>
  <si>
    <t>8.1.2 Mode shift from single occupancy private vehicle</t>
  </si>
  <si>
    <t>10.2.2 Accessibility - public transport facilities</t>
  </si>
  <si>
    <t>10.2.3 Spatial coverage - cycle lanes and paths</t>
  </si>
  <si>
    <t>10.2.4 Spatial coverage - cycling facilities</t>
  </si>
  <si>
    <t>10.2.5 Spatial coverage - public transport - employees</t>
  </si>
  <si>
    <t>10.2.6 Spatial coverage - public transport - resident population</t>
  </si>
  <si>
    <t>10.2.6a Spatial coverage - public transport - new residential dwellings</t>
  </si>
  <si>
    <t>10.2.7 Temporal availability - public transport</t>
  </si>
  <si>
    <t>10.2.8 Cost of access to key destinations - all modes</t>
  </si>
  <si>
    <t>10.2.9 Pricing - more efficient</t>
  </si>
  <si>
    <t>10.2.10 Traffic - mode share (number)</t>
  </si>
  <si>
    <t>10.2.10b Traffic - mode share (distance)</t>
  </si>
  <si>
    <t>10.3.1 Access to key social destinations (all modes)</t>
  </si>
  <si>
    <t>10.4.1 Social connectedness</t>
  </si>
  <si>
    <t>10.4.2 Isolation</t>
  </si>
  <si>
    <t>10.4.3 Severance</t>
  </si>
  <si>
    <t>11.1.1 Amenity value - natural and built environment</t>
  </si>
  <si>
    <t>11.1.2 Heritage and cultural values</t>
  </si>
  <si>
    <t>11.2.1 Landscape</t>
  </si>
  <si>
    <t>11.3.1 Townscape</t>
  </si>
  <si>
    <t>Please type in alternate measure</t>
  </si>
  <si>
    <t>Discount rate</t>
  </si>
  <si>
    <t>USPWF(1)</t>
  </si>
  <si>
    <t>USPWF(E)</t>
  </si>
  <si>
    <t>AGPWF(E)</t>
  </si>
  <si>
    <t>AGPWF(1)</t>
  </si>
  <si>
    <t>Conversion factor (discounted to real)</t>
  </si>
  <si>
    <t>LABEL_SYS</t>
  </si>
  <si>
    <t>KEY</t>
  </si>
  <si>
    <t>VALUE</t>
  </si>
  <si>
    <t>Worksheet 1 - Evaluation Summary and TIO Upload</t>
  </si>
  <si>
    <t>Effective from 31 August 2020</t>
  </si>
  <si>
    <t>Upload V9.0 (31Aug2020)</t>
  </si>
  <si>
    <t>ECONOMIC_EVAL_COMPLETED_DATE</t>
  </si>
  <si>
    <t>This spreadsheet can be automatically uploaded into Transport Investment Online. To enable automatic upload please do not adjust the columns or rows.</t>
  </si>
  <si>
    <t>Please make any additional comments or clarifying notes as necessary to aid understanding (note that these fall outside of the set print and TIO upload range)</t>
  </si>
  <si>
    <t>TIMEZERO_ECONOMIC_EVAL_DATE</t>
  </si>
  <si>
    <t>Activity name</t>
  </si>
  <si>
    <t>BASE_DATE_COSTS_BENEFITS</t>
  </si>
  <si>
    <t>Reference</t>
  </si>
  <si>
    <t>ROAD_TRAFFIC_AADT</t>
  </si>
  <si>
    <t>base_rate</t>
  </si>
  <si>
    <t>growth_rate</t>
  </si>
  <si>
    <t>Evaluator(s)                                      - name, organisation</t>
  </si>
  <si>
    <t>PEDESTRIANS_AAD</t>
  </si>
  <si>
    <t>Reviewer(s)                                       - name, organisation</t>
  </si>
  <si>
    <t>Date of evaluation</t>
  </si>
  <si>
    <t>mm/yyyy</t>
  </si>
  <si>
    <t>new</t>
  </si>
  <si>
    <t>CYCLISTS_AAD</t>
  </si>
  <si>
    <t>Time zero / implementation start date</t>
  </si>
  <si>
    <t>1 July yyyy</t>
  </si>
  <si>
    <t>Construction duration</t>
  </si>
  <si>
    <t>Months</t>
  </si>
  <si>
    <t>Base date of costs and benefits</t>
  </si>
  <si>
    <t>ANNUAL_PATRONAGE_TOTAL</t>
  </si>
  <si>
    <t>Location</t>
  </si>
  <si>
    <t>Problem definition</t>
  </si>
  <si>
    <t>ANNUAL_PATRONAGE_PEAK</t>
  </si>
  <si>
    <t>Do minimum description</t>
  </si>
  <si>
    <t>Alternatives considered (or page references to relevant)</t>
  </si>
  <si>
    <t>FREIGHT_VOLUME</t>
  </si>
  <si>
    <t>Options considered (or page references to relevant)</t>
  </si>
  <si>
    <t>Preferred option description</t>
  </si>
  <si>
    <t>HEAVY_VEHICLES_VOLUME_AADT</t>
  </si>
  <si>
    <t>Statistics</t>
  </si>
  <si>
    <t>Base rate</t>
  </si>
  <si>
    <t>Growth rate (%)</t>
  </si>
  <si>
    <t>New users/transfer</t>
  </si>
  <si>
    <t>Road traffic - Annual Average Daily Traffic (AADT)</t>
  </si>
  <si>
    <t>AADT</t>
  </si>
  <si>
    <t>HEAVY_VEHICLES_VOLUME_RATE</t>
  </si>
  <si>
    <t>Pedestrians - Annual Average Daily</t>
  </si>
  <si>
    <t>Count</t>
  </si>
  <si>
    <t>ROAD_CATEGORY</t>
  </si>
  <si>
    <t xml:space="preserve">Cyclists - Annual Average Daily </t>
  </si>
  <si>
    <t>ROUGHNESS</t>
  </si>
  <si>
    <t>before</t>
  </si>
  <si>
    <t>Annual Patronage - Total</t>
  </si>
  <si>
    <t>after</t>
  </si>
  <si>
    <t>Annual Patronage - Peak Period</t>
  </si>
  <si>
    <t>POSTED_SPEED</t>
  </si>
  <si>
    <t>Freight volume</t>
  </si>
  <si>
    <t>tonnes</t>
  </si>
  <si>
    <t>Heavy Vehicles Volume</t>
  </si>
  <si>
    <t>AVERAGE_TRAFFIC_SPPEED</t>
  </si>
  <si>
    <t>%</t>
  </si>
  <si>
    <t>Road Category</t>
  </si>
  <si>
    <t>ROAD_LENGTH</t>
  </si>
  <si>
    <t>Before</t>
  </si>
  <si>
    <t>After</t>
  </si>
  <si>
    <t>ROAD_WIDTH</t>
  </si>
  <si>
    <t>Roughness</t>
  </si>
  <si>
    <t>IRI/NAASRA</t>
  </si>
  <si>
    <t>Posted speed</t>
  </si>
  <si>
    <t>km/h</t>
  </si>
  <si>
    <t>TRAVEL_TIME</t>
  </si>
  <si>
    <t>Average traffic speed</t>
  </si>
  <si>
    <t>Length of road / route</t>
  </si>
  <si>
    <t>km</t>
  </si>
  <si>
    <t>PEAK_PERIOD_AM</t>
  </si>
  <si>
    <t>start</t>
  </si>
  <si>
    <t>Road width</t>
  </si>
  <si>
    <t>metres</t>
  </si>
  <si>
    <t>stop</t>
  </si>
  <si>
    <t>Travel time on route</t>
  </si>
  <si>
    <t>minutes</t>
  </si>
  <si>
    <t>PEAK_PERIOD_PM</t>
  </si>
  <si>
    <t>Period start am</t>
  </si>
  <si>
    <t>Period stop am</t>
  </si>
  <si>
    <t>Period start pm</t>
  </si>
  <si>
    <t>Period stop pm</t>
  </si>
  <si>
    <t>PEAK_PERIOD_FLOW</t>
  </si>
  <si>
    <t xml:space="preserve">Peak Period  </t>
  </si>
  <si>
    <t>RECORDED_CRASHES</t>
  </si>
  <si>
    <t>fatal</t>
  </si>
  <si>
    <t>Peak Period Traffic flow</t>
  </si>
  <si>
    <t>Vehicles/hr</t>
  </si>
  <si>
    <t>serious</t>
  </si>
  <si>
    <t>minor</t>
  </si>
  <si>
    <t>Period of crash analysis</t>
  </si>
  <si>
    <t>yyyy - yyyy</t>
  </si>
  <si>
    <t>non_injury</t>
  </si>
  <si>
    <t>ESTIMATED_CRASHES</t>
  </si>
  <si>
    <t>Fatal</t>
  </si>
  <si>
    <t>Serious</t>
  </si>
  <si>
    <t>Minor</t>
  </si>
  <si>
    <t>Non Injury</t>
  </si>
  <si>
    <t>Total estimated crashes per year - do minimum (row 11)</t>
  </si>
  <si>
    <t>Predicted crashes per year - preferred option (row 20)</t>
  </si>
  <si>
    <t>PREDICTED_CRASHES</t>
  </si>
  <si>
    <t>Heavy Vehicle Trips Saved (average per year)</t>
  </si>
  <si>
    <t>count</t>
  </si>
  <si>
    <t>Vehicle Operating Cost Savings (per annum)</t>
  </si>
  <si>
    <t>$/vehicle</t>
  </si>
  <si>
    <t>Travel time savings (per day)</t>
  </si>
  <si>
    <t>HEAVY_VEHICLE_TRIPS_SAVED</t>
  </si>
  <si>
    <t>VEHICLE_OPERATING_COST</t>
  </si>
  <si>
    <t>Costs</t>
  </si>
  <si>
    <t>Do minimum</t>
  </si>
  <si>
    <t>Preferred option</t>
  </si>
  <si>
    <t>TRAVEL_TIME_SAVINGS</t>
  </si>
  <si>
    <t>Construction / implementation</t>
  </si>
  <si>
    <t>$</t>
  </si>
  <si>
    <t>CONSTRUCTION_COST</t>
  </si>
  <si>
    <t>do_min</t>
  </si>
  <si>
    <t>option</t>
  </si>
  <si>
    <t>Present Value Construction / implementation</t>
  </si>
  <si>
    <t>PV_CONSTRUCTION</t>
  </si>
  <si>
    <t>Present Value Maintenance, renewal and operating costs</t>
  </si>
  <si>
    <t>Present Value Total costs (whole of life)</t>
  </si>
  <si>
    <t>PV_MAINTENANCE</t>
  </si>
  <si>
    <t>Present Value Cost savings</t>
  </si>
  <si>
    <t>PV_TOTAL_COST</t>
  </si>
  <si>
    <t>Present Value Funding assistance</t>
  </si>
  <si>
    <t>PV_COST_SAVINGS</t>
  </si>
  <si>
    <t>Present Value</t>
  </si>
  <si>
    <t>Total Value (undiscounted)</t>
  </si>
  <si>
    <t>PV_FUNDING_ASSIST</t>
  </si>
  <si>
    <t>Travel time cost savings</t>
  </si>
  <si>
    <t>TRAVEL_TIME_COST_SAVINGS</t>
  </si>
  <si>
    <t>present</t>
  </si>
  <si>
    <t>Vehicle operating cost savings</t>
  </si>
  <si>
    <t>VEHICLE_OP_COST_SAVINGS</t>
  </si>
  <si>
    <t>Crash cost savings</t>
  </si>
  <si>
    <t>CRASH_COST_SAVINGS</t>
  </si>
  <si>
    <t>Seal extension benefits</t>
  </si>
  <si>
    <t>SEAL_EXTENSION_BEFEFITS</t>
  </si>
  <si>
    <t>Driver frustration reduction benefits</t>
  </si>
  <si>
    <t>DRIVER_FRUST_REDUCT_BENEFITS</t>
  </si>
  <si>
    <t>Risk reduction benefits</t>
  </si>
  <si>
    <t>RISK_REDUCT_BENEFITS</t>
  </si>
  <si>
    <t>Vehicle emission reduction benefits</t>
  </si>
  <si>
    <t>VEHICLE_EMIS_REDUCT_BEFEFITS</t>
  </si>
  <si>
    <t>Other external benefits (noise, visual, impact etc)</t>
  </si>
  <si>
    <t>EXTERNAL_BENEFITS</t>
  </si>
  <si>
    <t>Mode change benefits</t>
  </si>
  <si>
    <t>MODE_CHANGE_BENEFITS</t>
  </si>
  <si>
    <t>WALKING_CYCLING_BENEFITS</t>
  </si>
  <si>
    <t>Service or facility user benefits</t>
  </si>
  <si>
    <t>SERVICE_FACILITY_BENEFITS</t>
  </si>
  <si>
    <t>Parking user cost savings</t>
  </si>
  <si>
    <t>PARKING_COST_SAVINGS</t>
  </si>
  <si>
    <t>Dis-benefits during implementation/construction</t>
  </si>
  <si>
    <t>DISBENEFITS</t>
  </si>
  <si>
    <t>Road Traffic reduction benefits</t>
  </si>
  <si>
    <t>TRAFFIC_REDUCTION_BENEFITS</t>
  </si>
  <si>
    <t>National strategic benefits</t>
  </si>
  <si>
    <t>NATIONAL_STRATEGIC_BENEFITS</t>
  </si>
  <si>
    <t>Agglomeration benefits (WEB)</t>
  </si>
  <si>
    <t>AGGLOMERATION_BENEFITS</t>
  </si>
  <si>
    <t>Increased Labour Supply (WEB)</t>
  </si>
  <si>
    <t>INCREASED_LABOUR_SUPPLY</t>
  </si>
  <si>
    <t>Imperfect Competition (WEB)</t>
  </si>
  <si>
    <t>IMPERFECT_COMPETITION</t>
  </si>
  <si>
    <t>TOTAL_BENEFITS</t>
  </si>
  <si>
    <t>BCR_NATIONAL</t>
  </si>
  <si>
    <t>Non monetised benefits or national strategic factors</t>
  </si>
  <si>
    <t>BCR_GOVERNMENT</t>
  </si>
  <si>
    <t>FIRST_YEAR_RATE_OF_RETURN</t>
  </si>
  <si>
    <t>Benefit Cost Ratio (BCRn) National</t>
  </si>
  <si>
    <t>BCR_RANGE</t>
  </si>
  <si>
    <t>low</t>
  </si>
  <si>
    <t>Benefit Cost Ratio (BCRg) Government</t>
  </si>
  <si>
    <t>high</t>
  </si>
  <si>
    <t>First Year Rate of Return (FYRR)</t>
  </si>
  <si>
    <t>HEAVY_VEHICLE_TRIPS_SAVED_PERIOD</t>
  </si>
  <si>
    <t>VEHICLE_OPERATING_COST_PERIOD</t>
  </si>
  <si>
    <t>Sensitivity Analysis  - BCR range</t>
  </si>
  <si>
    <t>TRAVEL_TIME_SAVINGS_PERIOD</t>
  </si>
  <si>
    <t>total</t>
  </si>
  <si>
    <t>Road category</t>
  </si>
  <si>
    <t>Motorway</t>
  </si>
  <si>
    <t>Urban arterial</t>
  </si>
  <si>
    <t>Urban other</t>
  </si>
  <si>
    <t>Rural strategic</t>
  </si>
  <si>
    <t>Rural other</t>
  </si>
  <si>
    <t>General Information</t>
  </si>
  <si>
    <t>limitations of usage</t>
  </si>
  <si>
    <t>Full procedures must be used if these criteria are not met.</t>
  </si>
  <si>
    <r>
      <t>-</t>
    </r>
    <r>
      <rPr>
        <b/>
        <sz val="10"/>
        <rFont val="Verdana"/>
        <family val="2"/>
      </rPr>
      <t>pale yellow, non-bordered cells</t>
    </r>
    <r>
      <rPr>
        <sz val="10"/>
        <rFont val="Verdana"/>
        <family val="2"/>
      </rPr>
      <t xml:space="preserve"> are generally open for overlaying or inputting data or information as required</t>
    </r>
  </si>
  <si>
    <r>
      <t>-</t>
    </r>
    <r>
      <rPr>
        <b/>
        <sz val="10"/>
        <rFont val="Verdana"/>
        <family val="2"/>
      </rPr>
      <t>white, non-bordered cells</t>
    </r>
    <r>
      <rPr>
        <sz val="10"/>
        <rFont val="Verdana"/>
        <family val="2"/>
      </rPr>
      <t xml:space="preserve"> are generally auto-populate cells and their data are calculated/transferred from other cells</t>
    </r>
  </si>
  <si>
    <r>
      <t>-</t>
    </r>
    <r>
      <rPr>
        <b/>
        <sz val="10"/>
        <rFont val="Verdana"/>
        <family val="2"/>
      </rPr>
      <t>green, black bordered cells</t>
    </r>
    <r>
      <rPr>
        <sz val="10"/>
        <rFont val="Verdana"/>
        <family val="2"/>
      </rPr>
      <t xml:space="preserve"> are providing further guidance or links for external resources.</t>
    </r>
  </si>
  <si>
    <t>Worksheet title (and link):</t>
  </si>
  <si>
    <t xml:space="preserve">    a brief description</t>
  </si>
  <si>
    <t xml:space="preserve">   - Provides a summary of the general data used for the evaluation as well as the results of the analysis.</t>
  </si>
  <si>
    <t xml:space="preserve"> </t>
  </si>
  <si>
    <t xml:space="preserve">Worksheet Completion Steps: </t>
  </si>
  <si>
    <t xml:space="preserve">Spreadsheet problems? </t>
  </si>
  <si>
    <t>Email: MBCM@nzta.govt.nz</t>
  </si>
  <si>
    <t>Worksheet 1 - Evaluation summary</t>
  </si>
  <si>
    <t>Evaluator(s)</t>
  </si>
  <si>
    <t>Reviewer(s)</t>
  </si>
  <si>
    <t>Approved organisation name</t>
  </si>
  <si>
    <t>Your reference</t>
  </si>
  <si>
    <t>Activity description</t>
  </si>
  <si>
    <t>Describe the issues to be addressed</t>
  </si>
  <si>
    <t>Brief description of location</t>
  </si>
  <si>
    <t>Alternatives and options</t>
  </si>
  <si>
    <t>Describe the do-minimum</t>
  </si>
  <si>
    <t>Summarise the options assessed</t>
  </si>
  <si>
    <t>Timing</t>
  </si>
  <si>
    <t>Time zero (assumed construction start date)</t>
  </si>
  <si>
    <t>1 July</t>
  </si>
  <si>
    <t>Expected duration of construction (months)</t>
  </si>
  <si>
    <t>Economic efficiency</t>
  </si>
  <si>
    <t>Date economic evaluation completed (mm/yyyy)</t>
  </si>
  <si>
    <t>Base date for costs and benefits</t>
  </si>
  <si>
    <t>PV cost of do-minimum</t>
  </si>
  <si>
    <t>A</t>
  </si>
  <si>
    <t>PV cost of the preferred option</t>
  </si>
  <si>
    <t>B</t>
  </si>
  <si>
    <t>Benefit values from worksheet 4, 5, 6</t>
  </si>
  <si>
    <t xml:space="preserve">PV travel time cost savings  </t>
  </si>
  <si>
    <r>
      <t>C</t>
    </r>
    <r>
      <rPr>
        <sz val="8"/>
        <rFont val="Verdana"/>
        <family val="2"/>
      </rPr>
      <t xml:space="preserve"> x Update factor </t>
    </r>
    <r>
      <rPr>
        <vertAlign val="superscript"/>
        <sz val="8"/>
        <rFont val="Verdana"/>
        <family val="2"/>
      </rPr>
      <t>TT</t>
    </r>
  </si>
  <si>
    <t>= $</t>
  </si>
  <si>
    <t>Y</t>
  </si>
  <si>
    <t>Z</t>
  </si>
  <si>
    <r>
      <t>BCR</t>
    </r>
    <r>
      <rPr>
        <vertAlign val="subscript"/>
        <sz val="8"/>
        <rFont val="Verdana"/>
        <family val="2"/>
      </rPr>
      <t>N</t>
    </r>
    <r>
      <rPr>
        <sz val="8"/>
        <rFont val="Verdana"/>
        <family val="2"/>
      </rPr>
      <t xml:space="preserve">   =</t>
    </r>
  </si>
  <si>
    <t>PV net benefits</t>
  </si>
  <si>
    <t>=</t>
  </si>
  <si>
    <t>B - A</t>
  </si>
  <si>
    <t>FYRR   =</t>
  </si>
  <si>
    <t>x</t>
  </si>
  <si>
    <t>(a)</t>
  </si>
  <si>
    <t>Time zero</t>
  </si>
  <si>
    <t>1st July in the year</t>
  </si>
  <si>
    <t>Periodic maintenance will be required in the following years:</t>
  </si>
  <si>
    <t>Year</t>
  </si>
  <si>
    <t>Type of maintenance</t>
  </si>
  <si>
    <t>Amount $</t>
  </si>
  <si>
    <t>SPPWF</t>
  </si>
  <si>
    <t>Present value</t>
  </si>
  <si>
    <t>Sum of PV of periodic maintenance $</t>
  </si>
  <si>
    <t>(b)</t>
  </si>
  <si>
    <t>(c)</t>
  </si>
  <si>
    <t xml:space="preserve"> =   $</t>
  </si>
  <si>
    <t>PV of maintenance in year 1</t>
  </si>
  <si>
    <t>(years 2 to</t>
  </si>
  <si>
    <t>PV of periodic maintenance costs</t>
  </si>
  <si>
    <t>Sum of PV of periodic maintenance costs = $</t>
  </si>
  <si>
    <t>(d)</t>
  </si>
  <si>
    <t>(e)</t>
  </si>
  <si>
    <t>Do-minimum</t>
  </si>
  <si>
    <t>Option</t>
  </si>
  <si>
    <t>Length of route (km)</t>
  </si>
  <si>
    <r>
      <t>L</t>
    </r>
    <r>
      <rPr>
        <vertAlign val="superscript"/>
        <sz val="8"/>
        <rFont val="Verdana"/>
        <family val="2"/>
      </rPr>
      <t>dm</t>
    </r>
  </si>
  <si>
    <r>
      <t>L</t>
    </r>
    <r>
      <rPr>
        <vertAlign val="superscript"/>
        <sz val="8"/>
        <rFont val="Verdana"/>
        <family val="2"/>
      </rPr>
      <t>opt</t>
    </r>
  </si>
  <si>
    <r>
      <t>VS</t>
    </r>
    <r>
      <rPr>
        <vertAlign val="superscript"/>
        <sz val="8"/>
        <rFont val="Verdana"/>
        <family val="2"/>
      </rPr>
      <t>dm</t>
    </r>
  </si>
  <si>
    <r>
      <t>VS</t>
    </r>
    <r>
      <rPr>
        <vertAlign val="superscript"/>
        <sz val="8"/>
        <rFont val="Verdana"/>
        <family val="2"/>
      </rPr>
      <t>opt</t>
    </r>
  </si>
  <si>
    <r>
      <t>AADT x 365 x L</t>
    </r>
    <r>
      <rPr>
        <vertAlign val="superscript"/>
        <sz val="8"/>
        <rFont val="Verdana"/>
        <family val="2"/>
      </rPr>
      <t>dm</t>
    </r>
    <r>
      <rPr>
        <sz val="8"/>
        <rFont val="Verdana"/>
        <family val="2"/>
      </rPr>
      <t xml:space="preserve"> x TTC</t>
    </r>
  </si>
  <si>
    <r>
      <t>AADT x 365 x L</t>
    </r>
    <r>
      <rPr>
        <vertAlign val="superscript"/>
        <sz val="8"/>
        <rFont val="Verdana"/>
        <family val="2"/>
      </rPr>
      <t>opt</t>
    </r>
    <r>
      <rPr>
        <sz val="8"/>
        <rFont val="Verdana"/>
        <family val="2"/>
      </rPr>
      <t xml:space="preserve"> x TTC</t>
    </r>
  </si>
  <si>
    <r>
      <t>(a) - (b)</t>
    </r>
    <r>
      <rPr>
        <sz val="8"/>
        <rFont val="Verdana"/>
        <family val="2"/>
      </rPr>
      <t xml:space="preserve"> = $</t>
    </r>
  </si>
  <si>
    <t>PV of travel time cost savings</t>
  </si>
  <si>
    <t>C</t>
  </si>
  <si>
    <t>Worksheet 6 - Crash cost savings</t>
  </si>
  <si>
    <r>
      <t xml:space="preserve">These simplified procedures are </t>
    </r>
    <r>
      <rPr>
        <b/>
        <sz val="8"/>
        <rFont val="Verdana"/>
        <family val="2"/>
      </rPr>
      <t>suitable only</t>
    </r>
    <r>
      <rPr>
        <sz val="8"/>
        <rFont val="Verdana"/>
        <family val="2"/>
      </rPr>
      <t xml:space="preserve"> for </t>
    </r>
    <r>
      <rPr>
        <b/>
        <sz val="8"/>
        <rFont val="Verdana"/>
        <family val="2"/>
      </rPr>
      <t xml:space="preserve">crash–by–crash analysis </t>
    </r>
    <r>
      <rPr>
        <sz val="8"/>
        <rFont val="Verdana"/>
        <family val="2"/>
      </rPr>
      <t>(method A in Appendix 2). There must be 5 years or more crash data for the site and the number and types of crashes must meet the specifications set out in Figure A1. If not, either the crash rate analysis (method B) or weighted crash procedure (method C) described in Appendix 2 should be used. The annual crash cost savings determined from such an evaluation are multiplied by the appropriate discount factor and entered in worksheet 1 as total E. Evidence to support alternative analysis must be attached.</t>
    </r>
  </si>
  <si>
    <t>Movement category</t>
  </si>
  <si>
    <t>Lost control off road</t>
  </si>
  <si>
    <t>Vehicle involvement</t>
  </si>
  <si>
    <t>All vehicles</t>
  </si>
  <si>
    <t>Do-minimum mean speed</t>
  </si>
  <si>
    <t>Posted speed limit</t>
  </si>
  <si>
    <t>Option mean speed</t>
  </si>
  <si>
    <t>Factors for converting from reported injury crashes to total injury crashes</t>
  </si>
  <si>
    <t>Severity</t>
  </si>
  <si>
    <t>Non- injury</t>
  </si>
  <si>
    <t>Table A26</t>
  </si>
  <si>
    <t>Number of years of typical crash rate records</t>
  </si>
  <si>
    <t>Number of reported crashes over period</t>
  </si>
  <si>
    <t>Pedestrian</t>
  </si>
  <si>
    <t>Fatal/serious severity ratio (Tables A23, A24 and A25)</t>
  </si>
  <si>
    <t>Other</t>
  </si>
  <si>
    <r>
      <t xml:space="preserve">Number of reported crashes adjusted by severity </t>
    </r>
    <r>
      <rPr>
        <b/>
        <sz val="8"/>
        <rFont val="Verdana"/>
        <family val="2"/>
      </rPr>
      <t>(4)</t>
    </r>
    <r>
      <rPr>
        <sz val="8"/>
        <rFont val="Verdana"/>
        <family val="2"/>
      </rPr>
      <t xml:space="preserve"> x </t>
    </r>
    <r>
      <rPr>
        <b/>
        <sz val="8"/>
        <rFont val="Verdana"/>
        <family val="2"/>
      </rPr>
      <t>(5)</t>
    </r>
  </si>
  <si>
    <t>80 and 100 km/h speed limit   (excluding motorways)</t>
  </si>
  <si>
    <r>
      <t xml:space="preserve">Crashes per year = </t>
    </r>
    <r>
      <rPr>
        <b/>
        <sz val="8"/>
        <rFont val="Verdana"/>
        <family val="2"/>
      </rPr>
      <t>(6)</t>
    </r>
    <r>
      <rPr>
        <sz val="8"/>
        <rFont val="Verdana"/>
        <family val="2"/>
      </rPr>
      <t>/</t>
    </r>
    <r>
      <rPr>
        <b/>
        <sz val="8"/>
        <rFont val="Verdana"/>
        <family val="2"/>
      </rPr>
      <t>(3)</t>
    </r>
  </si>
  <si>
    <t>Adjustment factor for crash trend (Table A21)</t>
  </si>
  <si>
    <r>
      <t>Adjusted crashes per year =</t>
    </r>
    <r>
      <rPr>
        <b/>
        <sz val="8"/>
        <rFont val="Verdana"/>
        <family val="2"/>
      </rPr>
      <t xml:space="preserve"> (7)</t>
    </r>
    <r>
      <rPr>
        <sz val="8"/>
        <rFont val="Verdana"/>
        <family val="2"/>
      </rPr>
      <t xml:space="preserve"> x </t>
    </r>
    <r>
      <rPr>
        <b/>
        <sz val="8"/>
        <rFont val="Verdana"/>
        <family val="2"/>
      </rPr>
      <t>(8)</t>
    </r>
  </si>
  <si>
    <t>All</t>
  </si>
  <si>
    <r>
      <t>Total estimated  crashes per year =</t>
    </r>
    <r>
      <rPr>
        <b/>
        <sz val="8"/>
        <rFont val="Verdana"/>
        <family val="2"/>
      </rPr>
      <t xml:space="preserve"> (9)</t>
    </r>
    <r>
      <rPr>
        <sz val="8"/>
        <rFont val="Verdana"/>
        <family val="2"/>
      </rPr>
      <t xml:space="preserve"> x</t>
    </r>
    <r>
      <rPr>
        <b/>
        <sz val="8"/>
        <rFont val="Verdana"/>
        <family val="2"/>
      </rPr>
      <t xml:space="preserve"> (10)</t>
    </r>
  </si>
  <si>
    <t>Factor for converting from reported non-injury crashes to total non-injury crashes</t>
  </si>
  <si>
    <t>Table A27</t>
  </si>
  <si>
    <r>
      <t xml:space="preserve">Crash cost per year = </t>
    </r>
    <r>
      <rPr>
        <b/>
        <sz val="8"/>
        <rFont val="Verdana"/>
        <family val="2"/>
      </rPr>
      <t>(11)</t>
    </r>
    <r>
      <rPr>
        <sz val="8"/>
        <rFont val="Verdana"/>
        <family val="2"/>
      </rPr>
      <t xml:space="preserve"> x </t>
    </r>
    <r>
      <rPr>
        <b/>
        <sz val="8"/>
        <rFont val="Verdana"/>
        <family val="2"/>
      </rPr>
      <t>(15)</t>
    </r>
  </si>
  <si>
    <t>Speed limit area</t>
  </si>
  <si>
    <t>50,60 or 70 km/h</t>
  </si>
  <si>
    <t xml:space="preserve">80 or 100 km/h </t>
  </si>
  <si>
    <r>
      <t xml:space="preserve">Total cost of crashes per year (sum of columns in row </t>
    </r>
    <r>
      <rPr>
        <b/>
        <sz val="8"/>
        <rFont val="Verdana"/>
        <family val="2"/>
      </rPr>
      <t>(16)</t>
    </r>
    <r>
      <rPr>
        <sz val="8"/>
        <rFont val="Verdana"/>
        <family val="2"/>
      </rPr>
      <t xml:space="preserve"> fatal + serious + minor + non-injury)</t>
    </r>
  </si>
  <si>
    <t>All movements</t>
  </si>
  <si>
    <t>Percentage crash reduction</t>
  </si>
  <si>
    <r>
      <t xml:space="preserve">Predicted crashes per year </t>
    </r>
    <r>
      <rPr>
        <b/>
        <sz val="8"/>
        <rFont val="Verdana"/>
        <family val="2"/>
      </rPr>
      <t>(11)</t>
    </r>
    <r>
      <rPr>
        <sz val="8"/>
        <rFont val="Verdana"/>
        <family val="2"/>
      </rPr>
      <t xml:space="preserve"> x </t>
    </r>
    <r>
      <rPr>
        <b/>
        <sz val="8"/>
        <rFont val="Verdana"/>
        <family val="2"/>
      </rPr>
      <t>(19)</t>
    </r>
  </si>
  <si>
    <r>
      <t xml:space="preserve">Crash cost per year = </t>
    </r>
    <r>
      <rPr>
        <b/>
        <sz val="8"/>
        <rFont val="Verdana"/>
        <family val="2"/>
      </rPr>
      <t xml:space="preserve">(20) </t>
    </r>
    <r>
      <rPr>
        <sz val="8"/>
        <rFont val="Verdana"/>
        <family val="2"/>
      </rPr>
      <t xml:space="preserve">x </t>
    </r>
    <r>
      <rPr>
        <b/>
        <sz val="8"/>
        <rFont val="Verdana"/>
        <family val="2"/>
      </rPr>
      <t>(24)</t>
    </r>
  </si>
  <si>
    <r>
      <t xml:space="preserve">Total cost of crashes per year (sum of columns in row </t>
    </r>
    <r>
      <rPr>
        <b/>
        <sz val="8"/>
        <rFont val="Verdana"/>
        <family val="2"/>
      </rPr>
      <t>(25)</t>
    </r>
    <r>
      <rPr>
        <sz val="8"/>
        <rFont val="Verdana"/>
        <family val="2"/>
      </rPr>
      <t xml:space="preserve"> fatal + serious + minor + non-injury</t>
    </r>
  </si>
  <si>
    <r>
      <t xml:space="preserve">Annual crash cost savings = </t>
    </r>
    <r>
      <rPr>
        <b/>
        <sz val="8"/>
        <rFont val="Verdana"/>
        <family val="2"/>
      </rPr>
      <t xml:space="preserve">(17) </t>
    </r>
    <r>
      <rPr>
        <sz val="8"/>
        <rFont val="Verdana"/>
        <family val="2"/>
      </rPr>
      <t>-</t>
    </r>
    <r>
      <rPr>
        <b/>
        <sz val="8"/>
        <rFont val="Verdana"/>
        <family val="2"/>
      </rPr>
      <t xml:space="preserve"> (26) </t>
    </r>
  </si>
  <si>
    <r>
      <t xml:space="preserve">PV crash cost savings = </t>
    </r>
    <r>
      <rPr>
        <b/>
        <sz val="8"/>
        <rFont val="Verdana"/>
        <family val="2"/>
      </rPr>
      <t xml:space="preserve">(27) </t>
    </r>
    <r>
      <rPr>
        <sz val="8"/>
        <rFont val="Verdana"/>
        <family val="2"/>
      </rPr>
      <t>x DF</t>
    </r>
  </si>
  <si>
    <t>E</t>
  </si>
  <si>
    <t>Speed limit</t>
  </si>
  <si>
    <t>Traffic growth rate</t>
  </si>
  <si>
    <t>Base date</t>
  </si>
  <si>
    <t>Option A</t>
  </si>
  <si>
    <t>Option B</t>
  </si>
  <si>
    <t>Option C</t>
  </si>
  <si>
    <t>Benefits</t>
  </si>
  <si>
    <t>Target incremental BCR</t>
  </si>
  <si>
    <r>
      <t>MBCM</t>
    </r>
    <r>
      <rPr>
        <sz val="8"/>
        <rFont val="Verdana"/>
        <family val="2"/>
      </rPr>
      <t xml:space="preserve"> - Section 6.3</t>
    </r>
  </si>
  <si>
    <t>Base option for comparison</t>
  </si>
  <si>
    <t>Next higher cost option</t>
  </si>
  <si>
    <t>Incremental analysis</t>
  </si>
  <si>
    <t>Incremental analysis
1. Select the appropriate target incremental BCR from section 6.3 of the MBCM.
2. Rank the options in order of increasing cost.
3. Compare the lowest cost option with the next higher cost option to calculate the incremental BCR.
4. If the incremental BCR is less than the target incremental BCR, discard the second option in favour of the first and compare the first option with the next higher cost option.
5. If the incremental BCR is greater than the target incremental BCR, the second option becomes the basis for comparison against the next higher cost option.
6. Repeat the procedure until no higher cost options are available that have an incremental BCR greater than the target incremental BCR. The highest cost option with an incremental BCR greater than the target incremental BCR is generally the preferred option.</t>
  </si>
  <si>
    <r>
      <t>Total costs</t>
    </r>
    <r>
      <rPr>
        <b/>
        <sz val="8"/>
        <color indexed="8"/>
        <rFont val="Verdana"/>
        <family val="2"/>
      </rPr>
      <t xml:space="preserve">
(1)</t>
    </r>
  </si>
  <si>
    <r>
      <t>Total benefits</t>
    </r>
    <r>
      <rPr>
        <b/>
        <sz val="8"/>
        <color indexed="8"/>
        <rFont val="Verdana"/>
        <family val="2"/>
      </rPr>
      <t xml:space="preserve">
(2)</t>
    </r>
  </si>
  <si>
    <r>
      <t>Total costs</t>
    </r>
    <r>
      <rPr>
        <b/>
        <sz val="8"/>
        <color indexed="8"/>
        <rFont val="Verdana"/>
        <family val="2"/>
      </rPr>
      <t xml:space="preserve">
(3)</t>
    </r>
  </si>
  <si>
    <r>
      <t>Total Benefits</t>
    </r>
    <r>
      <rPr>
        <b/>
        <sz val="8"/>
        <color indexed="8"/>
        <rFont val="Verdana"/>
        <family val="2"/>
      </rPr>
      <t xml:space="preserve">
(4)</t>
    </r>
  </si>
  <si>
    <r>
      <t>Incremental costs</t>
    </r>
    <r>
      <rPr>
        <b/>
        <sz val="8"/>
        <color indexed="8"/>
        <rFont val="Verdana"/>
        <family val="2"/>
      </rPr>
      <t xml:space="preserve">
(5)=(3)-(1)</t>
    </r>
  </si>
  <si>
    <r>
      <t>Incremental benefits</t>
    </r>
    <r>
      <rPr>
        <b/>
        <sz val="8"/>
        <color indexed="8"/>
        <rFont val="Verdana"/>
        <family val="2"/>
      </rPr>
      <t xml:space="preserve">
(6)=(4)-(2)</t>
    </r>
  </si>
  <si>
    <t>Accident adjustment factor</t>
  </si>
  <si>
    <t>50 and 60 km/h</t>
  </si>
  <si>
    <t>70 km/h and above</t>
  </si>
  <si>
    <t>a</t>
  </si>
  <si>
    <t>b</t>
  </si>
  <si>
    <t>c</t>
  </si>
  <si>
    <t>speed</t>
  </si>
  <si>
    <t>growth</t>
  </si>
  <si>
    <t>d</t>
  </si>
  <si>
    <t>e</t>
  </si>
  <si>
    <t>f</t>
  </si>
  <si>
    <t>A6.9</t>
  </si>
  <si>
    <t>Table A6.19(a)</t>
  </si>
  <si>
    <t>CAS movement codes</t>
  </si>
  <si>
    <t>Fatal/</t>
  </si>
  <si>
    <t>Serious/</t>
  </si>
  <si>
    <t>(fatal + serious)</t>
  </si>
  <si>
    <t xml:space="preserve">Head on </t>
  </si>
  <si>
    <t>AB,B</t>
  </si>
  <si>
    <t xml:space="preserve">Hit object </t>
  </si>
  <si>
    <t xml:space="preserve">Lost control off Road </t>
  </si>
  <si>
    <t>AD,CB,CC,CO,D</t>
  </si>
  <si>
    <t xml:space="preserve">Lost control on road </t>
  </si>
  <si>
    <t>CA</t>
  </si>
  <si>
    <t xml:space="preserve">Miscellaneous </t>
  </si>
  <si>
    <t>Q</t>
  </si>
  <si>
    <t xml:space="preserve">Overtaking </t>
  </si>
  <si>
    <t xml:space="preserve">AA,AC,AE-AO,GE </t>
  </si>
  <si>
    <t xml:space="preserve">Pedestrian </t>
  </si>
  <si>
    <t xml:space="preserve">N,P </t>
  </si>
  <si>
    <t xml:space="preserve">Rear end, crossing </t>
  </si>
  <si>
    <t xml:space="preserve">FB,FC,GD </t>
  </si>
  <si>
    <t xml:space="preserve">Rear end, queuing </t>
  </si>
  <si>
    <t xml:space="preserve">FD,FE,FF,FO </t>
  </si>
  <si>
    <t xml:space="preserve">Rear end, slow vehicle </t>
  </si>
  <si>
    <t xml:space="preserve">FA,GA-GC,GO </t>
  </si>
  <si>
    <t xml:space="preserve">Crossing, direct </t>
  </si>
  <si>
    <t xml:space="preserve">H </t>
  </si>
  <si>
    <t xml:space="preserve">Crossing, turning </t>
  </si>
  <si>
    <t xml:space="preserve">J,K,L,M </t>
  </si>
  <si>
    <t xml:space="preserve">All movements </t>
  </si>
  <si>
    <t>Table A6.19(b)</t>
  </si>
  <si>
    <t xml:space="preserve">AB,B </t>
  </si>
  <si>
    <t xml:space="preserve">E </t>
  </si>
  <si>
    <t xml:space="preserve">Lost control off road </t>
  </si>
  <si>
    <t xml:space="preserve">AD,CB,CC,CO,D </t>
  </si>
  <si>
    <t xml:space="preserve">CA </t>
  </si>
  <si>
    <t xml:space="preserve">Q </t>
  </si>
  <si>
    <t>Table A6.19(c)</t>
  </si>
  <si>
    <t>Fatal /</t>
  </si>
  <si>
    <t>Serious /</t>
  </si>
  <si>
    <t>AA,AC,AE-AO,GE</t>
  </si>
  <si>
    <t>N,P</t>
  </si>
  <si>
    <t>FB,FC,GD</t>
  </si>
  <si>
    <t>FD,FE,FF,FO</t>
  </si>
  <si>
    <t>FA,GA-GC,GO</t>
  </si>
  <si>
    <t>H</t>
  </si>
  <si>
    <t>J,K,L,M</t>
  </si>
  <si>
    <t>Table A6.20(a)</t>
  </si>
  <si>
    <t>Table A6.20(b)</t>
  </si>
  <si>
    <t>Table A6.21(a)</t>
  </si>
  <si>
    <t>Push cycle</t>
  </si>
  <si>
    <t>Motor cycle</t>
  </si>
  <si>
    <t>Bus</t>
  </si>
  <si>
    <t>Truck</t>
  </si>
  <si>
    <t>Head on</t>
  </si>
  <si>
    <t>Hit object</t>
  </si>
  <si>
    <t>Lost control on road</t>
  </si>
  <si>
    <t>Miscellaneous</t>
  </si>
  <si>
    <t>Car, van &amp; other</t>
  </si>
  <si>
    <t>Overtaking</t>
  </si>
  <si>
    <t>Rear end, crossing</t>
  </si>
  <si>
    <t>Rear end, queuing</t>
  </si>
  <si>
    <t>Rear end, slow vehicle</t>
  </si>
  <si>
    <t>Crossing, direct</t>
  </si>
  <si>
    <t>Crossing, turning</t>
  </si>
  <si>
    <t>Table A6.21(b)</t>
  </si>
  <si>
    <t>Table A6.21(c)</t>
  </si>
  <si>
    <t>minor injury accidents</t>
  </si>
  <si>
    <t>Table A6.21(d)</t>
  </si>
  <si>
    <t>Table A6.21(e)</t>
  </si>
  <si>
    <t>Table A6.21(f)</t>
  </si>
  <si>
    <t>Table A6.21(g)</t>
  </si>
  <si>
    <t>Table A6.21(h)</t>
  </si>
  <si>
    <t>Step 1</t>
  </si>
  <si>
    <t>Step 2</t>
  </si>
  <si>
    <t>Step 3</t>
  </si>
  <si>
    <t>SPPWF(1)</t>
  </si>
  <si>
    <t>2009/10</t>
  </si>
  <si>
    <t>2010/11</t>
  </si>
  <si>
    <t>2011/12</t>
  </si>
  <si>
    <t>yr (n)</t>
  </si>
  <si>
    <t>2012/13</t>
  </si>
  <si>
    <t>2013/14</t>
  </si>
  <si>
    <t>2014/15</t>
  </si>
  <si>
    <t>2015/16</t>
  </si>
  <si>
    <t>2016/17</t>
  </si>
  <si>
    <t>2017/18</t>
  </si>
  <si>
    <t>2018/19</t>
  </si>
  <si>
    <t>2019/20</t>
  </si>
  <si>
    <t>2020/21</t>
  </si>
  <si>
    <t>2021/22</t>
  </si>
  <si>
    <t>2022/23</t>
  </si>
  <si>
    <t>2023/24</t>
  </si>
  <si>
    <t>2024/25</t>
  </si>
  <si>
    <t>2025/26</t>
  </si>
  <si>
    <t>2026/27</t>
  </si>
  <si>
    <t>2027/28</t>
  </si>
  <si>
    <t>2028/29</t>
  </si>
  <si>
    <t>2029/30</t>
  </si>
  <si>
    <t>2030/31</t>
  </si>
  <si>
    <t>2031/32</t>
  </si>
  <si>
    <t>2032/33</t>
  </si>
  <si>
    <t>2033/34</t>
  </si>
  <si>
    <t>2034/35</t>
  </si>
  <si>
    <t>2035/36</t>
  </si>
  <si>
    <t>2036/37</t>
  </si>
  <si>
    <t>2037/38</t>
  </si>
  <si>
    <t>2038/39</t>
  </si>
  <si>
    <t>2039/40</t>
  </si>
  <si>
    <t>2040/41</t>
  </si>
  <si>
    <t>2041/42</t>
  </si>
  <si>
    <t>2042/43</t>
  </si>
  <si>
    <t>2043/44</t>
  </si>
  <si>
    <t>2044/45</t>
  </si>
  <si>
    <t>2045/46</t>
  </si>
  <si>
    <t>2046/47</t>
  </si>
  <si>
    <t>2047/48</t>
  </si>
  <si>
    <t>2048/49</t>
  </si>
  <si>
    <t>2049/50</t>
  </si>
  <si>
    <t>2050/51</t>
  </si>
  <si>
    <t>2052/53</t>
  </si>
  <si>
    <t>2053/54</t>
  </si>
  <si>
    <t>2054/55</t>
  </si>
  <si>
    <t>2055/56</t>
  </si>
  <si>
    <t>2056/57</t>
  </si>
  <si>
    <t>2057/58</t>
  </si>
  <si>
    <t>2058/59</t>
  </si>
  <si>
    <t>2059/60</t>
  </si>
  <si>
    <t>Crash  cost savings</t>
  </si>
  <si>
    <t>Walking and cycling health benefits</t>
  </si>
  <si>
    <r>
      <rPr>
        <sz val="10"/>
        <color indexed="8"/>
        <rFont val="Arial"/>
        <family val="2"/>
      </rPr>
      <t xml:space="preserve">For more information please refer to section 4.1 of </t>
    </r>
    <r>
      <rPr>
        <u/>
        <sz val="10"/>
        <color indexed="12"/>
        <rFont val="Arial"/>
        <family val="2"/>
      </rPr>
      <t>Monetised benefits and Costs Manual.</t>
    </r>
  </si>
  <si>
    <t>Activity/package details</t>
  </si>
  <si>
    <t>Activity/package name</t>
  </si>
  <si>
    <t xml:space="preserve">
</t>
  </si>
  <si>
    <t>AADT at time zero</t>
  </si>
  <si>
    <t>Eval. Period (yrs)</t>
  </si>
  <si>
    <t>Traffic growth rate at time zero (%)</t>
  </si>
  <si>
    <t>IRI or NAASRA</t>
  </si>
  <si>
    <t>Length of road before works</t>
  </si>
  <si>
    <t>Length of road after works</t>
  </si>
  <si>
    <t>Existing traffic speed</t>
  </si>
  <si>
    <t>Predicted traffic speed</t>
  </si>
  <si>
    <t>W</t>
  </si>
  <si>
    <r>
      <t>PV VOC and CO</t>
    </r>
    <r>
      <rPr>
        <vertAlign val="subscript"/>
        <sz val="8"/>
        <rFont val="Verdana"/>
        <family val="2"/>
      </rPr>
      <t>2</t>
    </r>
    <r>
      <rPr>
        <sz val="8"/>
        <rFont val="Verdana"/>
        <family val="2"/>
      </rPr>
      <t xml:space="preserve"> savings  </t>
    </r>
  </si>
  <si>
    <r>
      <t>D</t>
    </r>
    <r>
      <rPr>
        <sz val="8"/>
        <rFont val="Verdana"/>
        <family val="2"/>
      </rPr>
      <t xml:space="preserve"> x Update factor </t>
    </r>
    <r>
      <rPr>
        <vertAlign val="superscript"/>
        <sz val="8"/>
        <rFont val="Verdana"/>
        <family val="2"/>
      </rPr>
      <t>VOC</t>
    </r>
  </si>
  <si>
    <t xml:space="preserve">PV crash cost savings   </t>
  </si>
  <si>
    <r>
      <t xml:space="preserve">E </t>
    </r>
    <r>
      <rPr>
        <sz val="8"/>
        <rFont val="Verdana"/>
        <family val="2"/>
      </rPr>
      <t xml:space="preserve">x Update factor </t>
    </r>
    <r>
      <rPr>
        <vertAlign val="superscript"/>
        <sz val="8"/>
        <rFont val="Verdana"/>
        <family val="2"/>
      </rPr>
      <t>ACC</t>
    </r>
  </si>
  <si>
    <t>PV net costs</t>
  </si>
  <si>
    <r>
      <t>PV 1</t>
    </r>
    <r>
      <rPr>
        <vertAlign val="superscript"/>
        <sz val="8"/>
        <rFont val="Verdana"/>
        <family val="2"/>
      </rPr>
      <t>st</t>
    </r>
    <r>
      <rPr>
        <sz val="8"/>
        <rFont val="Verdana"/>
        <family val="2"/>
      </rPr>
      <t xml:space="preserve"> year benefits</t>
    </r>
  </si>
  <si>
    <r>
      <t>B</t>
    </r>
    <r>
      <rPr>
        <sz val="8"/>
        <rFont val="Verdana"/>
        <family val="2"/>
      </rPr>
      <t xml:space="preserve"> - </t>
    </r>
    <r>
      <rPr>
        <b/>
        <sz val="8"/>
        <rFont val="Verdana"/>
        <family val="2"/>
      </rPr>
      <t>A</t>
    </r>
  </si>
  <si>
    <t>VOC</t>
  </si>
  <si>
    <t>Road category (Select)</t>
  </si>
  <si>
    <t>AADT (or the traffic volumes affected by the improvement)</t>
  </si>
  <si>
    <t>Traffic growth rate (per annum)</t>
  </si>
  <si>
    <t>$/hr</t>
  </si>
  <si>
    <t>Mean vehicle speed</t>
  </si>
  <si>
    <t>Annual travel time costs for the do-minimum</t>
  </si>
  <si>
    <t>Annual travel time costs for the option</t>
  </si>
  <si>
    <t>Value of annual travel time cost savings</t>
  </si>
  <si>
    <t>Worksheet 5 is used for calculating vehicle operating cost (VOC) savings.</t>
  </si>
  <si>
    <t>Base data</t>
  </si>
  <si>
    <t>Roughness (IRI/NAASRA)</t>
  </si>
  <si>
    <r>
      <t>CR</t>
    </r>
    <r>
      <rPr>
        <vertAlign val="superscript"/>
        <sz val="8"/>
        <rFont val="Verdana"/>
        <family val="2"/>
      </rPr>
      <t>dm</t>
    </r>
  </si>
  <si>
    <r>
      <t>CR</t>
    </r>
    <r>
      <rPr>
        <vertAlign val="superscript"/>
        <sz val="8"/>
        <rFont val="Verdana"/>
        <family val="2"/>
      </rPr>
      <t>opt</t>
    </r>
  </si>
  <si>
    <t>Gradient</t>
  </si>
  <si>
    <r>
      <t>CB</t>
    </r>
    <r>
      <rPr>
        <vertAlign val="superscript"/>
        <sz val="8"/>
        <rFont val="Verdana"/>
        <family val="2"/>
      </rPr>
      <t>dm</t>
    </r>
  </si>
  <si>
    <r>
      <t>CB</t>
    </r>
    <r>
      <rPr>
        <vertAlign val="superscript"/>
        <sz val="8"/>
        <rFont val="Verdana"/>
        <family val="2"/>
      </rPr>
      <t>opt</t>
    </r>
  </si>
  <si>
    <t>Annual vehicle operating cost for the do-minimum</t>
  </si>
  <si>
    <r>
      <t>L</t>
    </r>
    <r>
      <rPr>
        <vertAlign val="superscript"/>
        <sz val="8"/>
        <rFont val="Verdana"/>
        <family val="2"/>
      </rPr>
      <t>dm</t>
    </r>
    <r>
      <rPr>
        <sz val="8"/>
        <rFont val="Verdana"/>
        <family val="2"/>
      </rPr>
      <t xml:space="preserve"> x (CR</t>
    </r>
    <r>
      <rPr>
        <vertAlign val="superscript"/>
        <sz val="8"/>
        <rFont val="Verdana"/>
        <family val="2"/>
      </rPr>
      <t>dm</t>
    </r>
    <r>
      <rPr>
        <sz val="8"/>
        <rFont val="Verdana"/>
        <family val="2"/>
      </rPr>
      <t xml:space="preserve"> + CB</t>
    </r>
    <r>
      <rPr>
        <vertAlign val="superscript"/>
        <sz val="8"/>
        <rFont val="Verdana"/>
        <family val="2"/>
      </rPr>
      <t>dm</t>
    </r>
    <r>
      <rPr>
        <sz val="8"/>
        <rFont val="Verdana"/>
        <family val="2"/>
      </rPr>
      <t>) x AADT x 365</t>
    </r>
  </si>
  <si>
    <t>Annual vehicle operating cost for the option</t>
  </si>
  <si>
    <r>
      <t>L</t>
    </r>
    <r>
      <rPr>
        <vertAlign val="superscript"/>
        <sz val="8"/>
        <rFont val="Verdana"/>
        <family val="2"/>
      </rPr>
      <t>opt</t>
    </r>
    <r>
      <rPr>
        <sz val="8"/>
        <rFont val="Verdana"/>
        <family val="2"/>
      </rPr>
      <t xml:space="preserve"> x (CR</t>
    </r>
    <r>
      <rPr>
        <vertAlign val="superscript"/>
        <sz val="8"/>
        <rFont val="Verdana"/>
        <family val="2"/>
      </rPr>
      <t>opt</t>
    </r>
    <r>
      <rPr>
        <sz val="8"/>
        <rFont val="Verdana"/>
        <family val="2"/>
      </rPr>
      <t xml:space="preserve"> + CB</t>
    </r>
    <r>
      <rPr>
        <vertAlign val="superscript"/>
        <sz val="8"/>
        <rFont val="Verdana"/>
        <family val="2"/>
      </rPr>
      <t>opt</t>
    </r>
    <r>
      <rPr>
        <sz val="8"/>
        <rFont val="Verdana"/>
        <family val="2"/>
      </rPr>
      <t>) x AADT x 365</t>
    </r>
  </si>
  <si>
    <t>Value of annual vehicle operating cost savings</t>
  </si>
  <si>
    <r>
      <t xml:space="preserve">(a) - (b) </t>
    </r>
    <r>
      <rPr>
        <sz val="8"/>
        <rFont val="Verdana"/>
        <family val="2"/>
      </rPr>
      <t>= $</t>
    </r>
  </si>
  <si>
    <t xml:space="preserve">(c) </t>
  </si>
  <si>
    <t>PV of vehicle operating cost savings</t>
  </si>
  <si>
    <r>
      <t xml:space="preserve">(c) </t>
    </r>
    <r>
      <rPr>
        <sz val="8"/>
        <rFont val="Verdana"/>
        <family val="2"/>
      </rPr>
      <t>x DF</t>
    </r>
    <r>
      <rPr>
        <vertAlign val="superscript"/>
        <sz val="8"/>
        <rFont val="Verdana"/>
        <family val="2"/>
      </rPr>
      <t xml:space="preserve"> </t>
    </r>
    <r>
      <rPr>
        <sz val="8"/>
        <rFont val="Verdana"/>
        <family val="2"/>
      </rPr>
      <t>= $</t>
    </r>
  </si>
  <si>
    <t>D</t>
  </si>
  <si>
    <t>Worksheet 7 - BCR and incremental analysis</t>
  </si>
  <si>
    <r>
      <t>VOC and CO</t>
    </r>
    <r>
      <rPr>
        <vertAlign val="subscript"/>
        <sz val="8"/>
        <color indexed="8"/>
        <rFont val="Verdana"/>
        <family val="2"/>
      </rPr>
      <t>2</t>
    </r>
    <r>
      <rPr>
        <sz val="8"/>
        <color indexed="8"/>
        <rFont val="Verdana"/>
        <family val="2"/>
      </rPr>
      <t xml:space="preserve"> savings</t>
    </r>
  </si>
  <si>
    <t>Capital costs</t>
  </si>
  <si>
    <t>Maintenance costs</t>
  </si>
  <si>
    <t>% gradient</t>
  </si>
  <si>
    <r>
      <t>Mean vehicle speed</t>
    </r>
    <r>
      <rPr>
        <sz val="8"/>
        <rFont val="Verdana"/>
        <family val="2"/>
      </rPr>
      <t xml:space="preserve"> (over length of route)</t>
    </r>
  </si>
  <si>
    <t>0–30 km/h</t>
  </si>
  <si>
    <t>31-50 km/h</t>
  </si>
  <si>
    <t>51-70 km/h</t>
  </si>
  <si>
    <t>71-90 km/h</t>
  </si>
  <si>
    <t>91-105 km/h</t>
  </si>
  <si>
    <t>1 to 3</t>
  </si>
  <si>
    <t>4 to 6</t>
  </si>
  <si>
    <t>7 to 9</t>
  </si>
  <si>
    <t>10 to 12</t>
  </si>
  <si>
    <t>IRI</t>
  </si>
  <si>
    <t>NAASRA</t>
  </si>
  <si>
    <t>CR cents/km</t>
  </si>
  <si>
    <t>m/km</t>
  </si>
  <si>
    <t>counts/</t>
  </si>
  <si>
    <t>urban</t>
  </si>
  <si>
    <t>rural</t>
  </si>
  <si>
    <t>g</t>
  </si>
  <si>
    <t>Growth rate</t>
  </si>
  <si>
    <r>
      <t>Discount factor (DF</t>
    </r>
    <r>
      <rPr>
        <b/>
        <vertAlign val="superscript"/>
        <sz val="8"/>
        <rFont val="Verdana"/>
        <family val="2"/>
      </rPr>
      <t>VOC</t>
    </r>
    <r>
      <rPr>
        <b/>
        <sz val="8"/>
        <rFont val="Verdana"/>
        <family val="2"/>
      </rPr>
      <t>)</t>
    </r>
  </si>
  <si>
    <t>SP3-6 Cell J19</t>
  </si>
  <si>
    <t>≥ 70 km/h</t>
  </si>
  <si>
    <t>Do minimum SP3-2</t>
  </si>
  <si>
    <t>Option 1 SP3-3</t>
  </si>
  <si>
    <t>Option 2 SP3-3</t>
  </si>
  <si>
    <t>Option 3 SP3-3</t>
  </si>
  <si>
    <t>discount rate</t>
  </si>
  <si>
    <t>Total cost per crash by vehicle type ($M 2021)</t>
  </si>
  <si>
    <t>Cycle</t>
  </si>
  <si>
    <t>Motorcycle</t>
  </si>
  <si>
    <t>Car, van and other</t>
  </si>
  <si>
    <t>AB, B</t>
  </si>
  <si>
    <t>AD, CB, CC, CO, D</t>
  </si>
  <si>
    <t>AA, AC, AE-AO, GE</t>
  </si>
  <si>
    <t>N, P</t>
  </si>
  <si>
    <t>FB, FC, GD</t>
  </si>
  <si>
    <t>FD, FE, FF, FO</t>
  </si>
  <si>
    <t>FA, GA-GC, GO</t>
  </si>
  <si>
    <t>J, K, L, M</t>
  </si>
  <si>
    <t>Total cost per crash by vehicle type ($000 2021)</t>
  </si>
  <si>
    <t>minor injury crashes</t>
  </si>
  <si>
    <t>serious injury crashes</t>
  </si>
  <si>
    <t>non-injury crashes</t>
  </si>
  <si>
    <t>Under-reporting factors (Tables A26 and A27)</t>
  </si>
  <si>
    <t>Two</t>
  </si>
  <si>
    <t>Three</t>
  </si>
  <si>
    <t>Benefits (Present Value)</t>
  </si>
  <si>
    <t xml:space="preserve">Total Benefits Present Value </t>
  </si>
  <si>
    <r>
      <t xml:space="preserve">- the procedure assumes that funded projects </t>
    </r>
    <r>
      <rPr>
        <b/>
        <sz val="10"/>
        <rFont val="Verdana"/>
        <family val="2"/>
      </rPr>
      <t>will be completed in the first year</t>
    </r>
    <r>
      <rPr>
        <sz val="10"/>
        <rFont val="Verdana"/>
        <family val="2"/>
      </rPr>
      <t xml:space="preserve"> and will be in service by the start of the year 2.</t>
    </r>
  </si>
  <si>
    <t>Recorded crashes in period (row 4 crash analysis)</t>
  </si>
  <si>
    <t>SP4 Seal Extension</t>
  </si>
  <si>
    <t xml:space="preserve">Designed for the appraisal of activities where the following assumptions apply: </t>
  </si>
  <si>
    <r>
      <t xml:space="preserve">- the activity is a seal extension and has an </t>
    </r>
    <r>
      <rPr>
        <b/>
        <sz val="10"/>
        <rFont val="Verdana"/>
        <family val="2"/>
      </rPr>
      <t xml:space="preserve">undiscounted whole-of-life cost  ≤$15,000,000 </t>
    </r>
    <r>
      <rPr>
        <sz val="10"/>
        <rFont val="Verdana"/>
        <family val="2"/>
      </rPr>
      <t>.</t>
    </r>
  </si>
  <si>
    <r>
      <t xml:space="preserve">- the procedure applies to activities in work category </t>
    </r>
    <r>
      <rPr>
        <b/>
        <sz val="10"/>
        <rFont val="Verdana"/>
        <family val="2"/>
      </rPr>
      <t>432</t>
    </r>
  </si>
  <si>
    <r>
      <t xml:space="preserve">- the evaluation period is </t>
    </r>
    <r>
      <rPr>
        <b/>
        <sz val="10"/>
        <rFont val="Verdana"/>
        <family val="2"/>
      </rPr>
      <t>40 years</t>
    </r>
  </si>
  <si>
    <t xml:space="preserve">  General cell guide </t>
  </si>
  <si>
    <r>
      <t>-</t>
    </r>
    <r>
      <rPr>
        <b/>
        <sz val="10"/>
        <rFont val="Verdana"/>
        <family val="2"/>
      </rPr>
      <t>orange, black bordered cells</t>
    </r>
    <r>
      <rPr>
        <sz val="10"/>
        <rFont val="Verdana"/>
        <family val="2"/>
      </rPr>
      <t xml:space="preserve"> navigate to a different worksheet in the workbook</t>
    </r>
  </si>
  <si>
    <t xml:space="preserve">   - This worksheet is used to calculate the PV costs of the do-minimum</t>
  </si>
  <si>
    <t xml:space="preserve">   - This worksheet is used for calculating the present value, whole-of-life cost of an investment option.</t>
  </si>
  <si>
    <t xml:space="preserve">   - This worksheet is used for calculating the present value, whole-of-life cost of an alternative option, if required.</t>
  </si>
  <si>
    <t>Travel time cost savings and seal extension benefits</t>
  </si>
  <si>
    <t xml:space="preserve">   - This worksheet is used to calculate the benefits of savings if travel time, and increased comfort from sealing</t>
  </si>
  <si>
    <t xml:space="preserve">   - This worksheet is used for calculating the reduction in vehicle operating costs</t>
  </si>
  <si>
    <t xml:space="preserve">   - This worksheet is used to calculate the difference in crash costs resulting from the investment.</t>
  </si>
  <si>
    <t>Step 1: Complete SP4-1 Evaluation Summary Items 1-6</t>
  </si>
  <si>
    <t>Step 2: Complete SP4-2 Cost of Do-minimum</t>
  </si>
  <si>
    <t>Step 3: Complete SP4-3 Cost of the options (2 available)</t>
  </si>
  <si>
    <t>Step 4: Complete SP 4-4 Travel time and seal extension benefits</t>
  </si>
  <si>
    <t>Step 5: Complete SP 4-5 Vehicle Operating Cost benefits</t>
  </si>
  <si>
    <t>Step 6: Complete SP 4-6 Crash cost savings</t>
  </si>
  <si>
    <t xml:space="preserve">Step 7: Complete the remainder of SP-1 </t>
  </si>
  <si>
    <t>SP4 Seal extensions</t>
  </si>
  <si>
    <t>Worksheet 1 provides a summary of the general data used for the evaluation as well as the results of the analysis. The information required is a subset of the information entered into Transport Investment Online.</t>
  </si>
  <si>
    <t>Existing roughness count</t>
  </si>
  <si>
    <t>Predicted roughness count</t>
  </si>
  <si>
    <t>Width of road before works</t>
  </si>
  <si>
    <t>m</t>
  </si>
  <si>
    <t>Width of road after works</t>
  </si>
  <si>
    <r>
      <t>PV Cost (</t>
    </r>
    <r>
      <rPr>
        <b/>
        <sz val="8"/>
        <rFont val="Verdana"/>
        <family val="2"/>
      </rPr>
      <t>A</t>
    </r>
    <r>
      <rPr>
        <sz val="8"/>
        <rFont val="Verdana"/>
        <family val="2"/>
      </rPr>
      <t xml:space="preserve"> / </t>
    </r>
    <r>
      <rPr>
        <b/>
        <sz val="8"/>
        <rFont val="Verdana"/>
        <family val="2"/>
      </rPr>
      <t>B</t>
    </r>
    <r>
      <rPr>
        <sz val="8"/>
        <rFont val="Verdana"/>
        <family val="2"/>
      </rPr>
      <t>)</t>
    </r>
  </si>
  <si>
    <t>SP4-2</t>
  </si>
  <si>
    <t>SP4-3 (1)</t>
  </si>
  <si>
    <t>SP4-3 (2)</t>
  </si>
  <si>
    <t>PV seal extension benefits</t>
  </si>
  <si>
    <r>
      <t>K</t>
    </r>
    <r>
      <rPr>
        <sz val="8"/>
        <rFont val="Verdana"/>
        <family val="2"/>
      </rPr>
      <t xml:space="preserve"> x Update factor </t>
    </r>
    <r>
      <rPr>
        <vertAlign val="superscript"/>
        <sz val="8"/>
        <rFont val="Verdana"/>
        <family val="2"/>
      </rPr>
      <t>TT</t>
    </r>
  </si>
  <si>
    <t>X</t>
  </si>
  <si>
    <t>W + X + Y + Z</t>
  </si>
  <si>
    <t xml:space="preserve">= </t>
  </si>
  <si>
    <t>Worksheet 2 - Cost of do minimum</t>
  </si>
  <si>
    <t>Worksheet 2 is used to calculate the PV cost of the do minimum. The do minimum is the minimum level of expenditure necessary to keep a road open and the costs are generally maintenance grading and maintenance metal.</t>
  </si>
  <si>
    <t>Section maintenance data</t>
  </si>
  <si>
    <r>
      <t>Section length (</t>
    </r>
    <r>
      <rPr>
        <b/>
        <sz val="8"/>
        <rFont val="Verdana"/>
        <family val="2"/>
      </rPr>
      <t>L</t>
    </r>
    <r>
      <rPr>
        <sz val="8"/>
        <rFont val="Verdana"/>
        <family val="2"/>
      </rPr>
      <t>)</t>
    </r>
  </si>
  <si>
    <r>
      <t>No of gradings per year (</t>
    </r>
    <r>
      <rPr>
        <b/>
        <sz val="8"/>
        <rFont val="Verdana"/>
        <family val="2"/>
      </rPr>
      <t>G</t>
    </r>
    <r>
      <rPr>
        <sz val="8"/>
        <rFont val="Verdana"/>
        <family val="2"/>
      </rPr>
      <t>)</t>
    </r>
  </si>
  <si>
    <t>Maintenance grading costs per year</t>
  </si>
  <si>
    <r>
      <t xml:space="preserve">Length  </t>
    </r>
    <r>
      <rPr>
        <b/>
        <sz val="8"/>
        <rFont val="Verdana"/>
        <family val="2"/>
      </rPr>
      <t>L</t>
    </r>
  </si>
  <si>
    <r>
      <t xml:space="preserve">x gradings </t>
    </r>
    <r>
      <rPr>
        <b/>
        <sz val="8"/>
        <rFont val="Verdana"/>
        <family val="2"/>
      </rPr>
      <t>G</t>
    </r>
  </si>
  <si>
    <t>x rate/km</t>
  </si>
  <si>
    <t xml:space="preserve"> = $</t>
  </si>
  <si>
    <t>/year</t>
  </si>
  <si>
    <t>Maintenance metal costs per year</t>
  </si>
  <si>
    <t>Quantity</t>
  </si>
  <si>
    <r>
      <t>m</t>
    </r>
    <r>
      <rPr>
        <vertAlign val="superscript"/>
        <sz val="8"/>
        <rFont val="Verdana"/>
        <family val="2"/>
      </rPr>
      <t>3</t>
    </r>
    <r>
      <rPr>
        <sz val="8"/>
        <rFont val="Verdana"/>
        <family val="2"/>
      </rPr>
      <t xml:space="preserve"> x rate</t>
    </r>
  </si>
  <si>
    <t>PV of annual maintenance costs (years 1 to 40)</t>
  </si>
  <si>
    <r>
      <t>[</t>
    </r>
    <r>
      <rPr>
        <b/>
        <sz val="8"/>
        <rFont val="Verdana"/>
        <family val="2"/>
      </rPr>
      <t>(a)</t>
    </r>
    <r>
      <rPr>
        <sz val="8"/>
        <rFont val="Verdana"/>
        <family val="2"/>
      </rPr>
      <t xml:space="preserve"> + </t>
    </r>
    <r>
      <rPr>
        <b/>
        <sz val="8"/>
        <rFont val="Verdana"/>
        <family val="2"/>
      </rPr>
      <t>(b)</t>
    </r>
    <r>
      <rPr>
        <sz val="8"/>
        <rFont val="Verdana"/>
        <family val="2"/>
      </rPr>
      <t>] x</t>
    </r>
  </si>
  <si>
    <r>
      <t xml:space="preserve">(c) + (d) </t>
    </r>
    <r>
      <rPr>
        <sz val="8"/>
        <rFont val="Verdana"/>
        <family val="2"/>
      </rPr>
      <t>= $</t>
    </r>
  </si>
  <si>
    <r>
      <t xml:space="preserve">Transfer the PV cost of do-minimum </t>
    </r>
    <r>
      <rPr>
        <b/>
        <sz val="8"/>
        <rFont val="Verdana"/>
        <family val="2"/>
      </rPr>
      <t>A</t>
    </r>
    <r>
      <rPr>
        <sz val="8"/>
        <rFont val="Verdana"/>
        <family val="2"/>
      </rPr>
      <t xml:space="preserve">, to </t>
    </r>
    <r>
      <rPr>
        <b/>
        <sz val="8"/>
        <rFont val="Verdana"/>
        <family val="2"/>
      </rPr>
      <t>A</t>
    </r>
    <r>
      <rPr>
        <sz val="8"/>
        <rFont val="Verdana"/>
        <family val="2"/>
      </rPr>
      <t xml:space="preserve"> on worksheet 1</t>
    </r>
  </si>
  <si>
    <t>Worksheet 3 - Costs of the option(s)</t>
  </si>
  <si>
    <t>Worksheet 3 is used for calculating the PV cost of the seal extension works. Indicate if the option is with or without improvements and describe improvements (if any). These may be need to be evaluated separately using SP3 for road improvements.</t>
  </si>
  <si>
    <t>PV of estimated cost of proposed work (as per attached estimate sheets)</t>
  </si>
  <si>
    <t>Describe improvements included with option (if any)</t>
  </si>
  <si>
    <t>PV of annual maintenance following completion of the work</t>
  </si>
  <si>
    <t>inclusive) $</t>
  </si>
  <si>
    <t>x  10.74 =      $</t>
  </si>
  <si>
    <t>PV of total option costs</t>
  </si>
  <si>
    <r>
      <t xml:space="preserve">PV total costs </t>
    </r>
    <r>
      <rPr>
        <b/>
        <sz val="8"/>
        <rFont val="Verdana"/>
        <family val="2"/>
      </rPr>
      <t>(a)</t>
    </r>
    <r>
      <rPr>
        <sz val="8"/>
        <rFont val="Verdana"/>
        <family val="2"/>
      </rPr>
      <t xml:space="preserve"> </t>
    </r>
    <r>
      <rPr>
        <b/>
        <sz val="8"/>
        <rFont val="Verdana"/>
        <family val="2"/>
      </rPr>
      <t xml:space="preserve">+ (b) + (c) + (d) </t>
    </r>
    <r>
      <rPr>
        <sz val="8"/>
        <rFont val="Verdana"/>
        <family val="2"/>
      </rPr>
      <t>= $</t>
    </r>
  </si>
  <si>
    <r>
      <t xml:space="preserve">Transfer PV total costs for the preferred option to </t>
    </r>
    <r>
      <rPr>
        <b/>
        <sz val="8"/>
        <rFont val="Verdana"/>
        <family val="2"/>
      </rPr>
      <t>B</t>
    </r>
    <r>
      <rPr>
        <sz val="8"/>
        <rFont val="Verdana"/>
        <family val="2"/>
      </rPr>
      <t xml:space="preserve"> on worksheet 1</t>
    </r>
  </si>
  <si>
    <t>(years 2 to 40 inclusive) $</t>
  </si>
  <si>
    <t>Worksheet 4 - Travel time cost savings and seal extension benefits</t>
  </si>
  <si>
    <t>Worksheet 4 is used for calculating the travel time cost savings and the benefits for seal extensions.</t>
  </si>
  <si>
    <t xml:space="preserve">Travel time cost (TTC) </t>
  </si>
  <si>
    <r>
      <t>(c)</t>
    </r>
    <r>
      <rPr>
        <sz val="8"/>
        <rFont val="Verdana"/>
        <family val="2"/>
      </rPr>
      <t xml:space="preserve"> x DF</t>
    </r>
    <r>
      <rPr>
        <sz val="8"/>
        <rFont val="Verdana"/>
        <family val="2"/>
      </rPr>
      <t>= $</t>
    </r>
  </si>
  <si>
    <r>
      <t xml:space="preserve">Transfer PV of travel time cost savings, </t>
    </r>
    <r>
      <rPr>
        <b/>
        <sz val="8"/>
        <rFont val="Verdana"/>
        <family val="2"/>
      </rPr>
      <t>C</t>
    </r>
    <r>
      <rPr>
        <sz val="8"/>
        <rFont val="Verdana"/>
        <family val="2"/>
      </rPr>
      <t xml:space="preserve"> for the preferred option to </t>
    </r>
    <r>
      <rPr>
        <b/>
        <sz val="8"/>
        <rFont val="Verdana"/>
        <family val="2"/>
      </rPr>
      <t>C</t>
    </r>
    <r>
      <rPr>
        <sz val="8"/>
        <rFont val="Verdana"/>
        <family val="2"/>
      </rPr>
      <t xml:space="preserve"> on worksheet 1</t>
    </r>
  </si>
  <si>
    <t>Value of annual seal extension benefits</t>
  </si>
  <si>
    <t>Annual comfort benefit</t>
  </si>
  <si>
    <r>
      <t>AADT x 365 x L</t>
    </r>
    <r>
      <rPr>
        <vertAlign val="superscript"/>
        <sz val="8"/>
        <rFont val="Verdana"/>
        <family val="2"/>
      </rPr>
      <t>dm</t>
    </r>
    <r>
      <rPr>
        <sz val="8"/>
        <rFont val="Verdana"/>
        <family val="2"/>
      </rPr>
      <t xml:space="preserve"> x 0.10   = $</t>
    </r>
  </si>
  <si>
    <t>Annual productivity gain</t>
  </si>
  <si>
    <r>
      <t>L</t>
    </r>
    <r>
      <rPr>
        <vertAlign val="superscript"/>
        <sz val="8"/>
        <rFont val="Verdana"/>
        <family val="2"/>
      </rPr>
      <t>dm</t>
    </r>
    <r>
      <rPr>
        <sz val="8"/>
        <rFont val="Verdana"/>
        <family val="2"/>
      </rPr>
      <t xml:space="preserve"> x</t>
    </r>
  </si>
  <si>
    <t>productivity</t>
  </si>
  <si>
    <t>PV of seal extension benefits</t>
  </si>
  <si>
    <r>
      <t>[</t>
    </r>
    <r>
      <rPr>
        <b/>
        <sz val="8"/>
        <rFont val="Verdana"/>
        <family val="2"/>
      </rPr>
      <t xml:space="preserve">(d) </t>
    </r>
    <r>
      <rPr>
        <sz val="8"/>
        <rFont val="Verdana"/>
        <family val="2"/>
      </rPr>
      <t>+</t>
    </r>
    <r>
      <rPr>
        <b/>
        <sz val="8"/>
        <rFont val="Verdana"/>
        <family val="2"/>
      </rPr>
      <t xml:space="preserve"> (e)</t>
    </r>
    <r>
      <rPr>
        <sz val="8"/>
        <rFont val="Verdana"/>
        <family val="2"/>
      </rPr>
      <t>]</t>
    </r>
    <r>
      <rPr>
        <b/>
        <sz val="8"/>
        <rFont val="Verdana"/>
        <family val="2"/>
      </rPr>
      <t xml:space="preserve"> </t>
    </r>
    <r>
      <rPr>
        <sz val="8"/>
        <rFont val="Verdana"/>
        <family val="2"/>
      </rPr>
      <t>x DF</t>
    </r>
    <r>
      <rPr>
        <sz val="8"/>
        <rFont val="Verdana"/>
        <family val="2"/>
      </rPr>
      <t xml:space="preserve"> = $</t>
    </r>
  </si>
  <si>
    <t>K</t>
  </si>
  <si>
    <r>
      <t xml:space="preserve">Transfer PV of seal extension benefits, </t>
    </r>
    <r>
      <rPr>
        <b/>
        <sz val="8"/>
        <rFont val="Verdana"/>
        <family val="2"/>
      </rPr>
      <t>K</t>
    </r>
    <r>
      <rPr>
        <sz val="8"/>
        <rFont val="Verdana"/>
        <family val="2"/>
      </rPr>
      <t xml:space="preserve"> for the preferred option to </t>
    </r>
    <r>
      <rPr>
        <b/>
        <sz val="8"/>
        <rFont val="Verdana"/>
        <family val="2"/>
      </rPr>
      <t>K</t>
    </r>
    <r>
      <rPr>
        <sz val="8"/>
        <rFont val="Verdana"/>
        <family val="2"/>
      </rPr>
      <t xml:space="preserve"> on worksheet 1</t>
    </r>
  </si>
  <si>
    <t>Worksheet 5 - Vehicle operating cost savings</t>
  </si>
  <si>
    <t xml:space="preserve">Table SP4.1 - Roughness costs (CR) in cents/km (July 2015) </t>
  </si>
  <si>
    <t>Roughness cost (table SP4.1)</t>
  </si>
  <si>
    <t>Base cost (table SP4.2)</t>
  </si>
  <si>
    <t>Table SP4.2 - Base vehicle operating costs (CB) including CO2 – in cents/km (July 2015)</t>
  </si>
  <si>
    <r>
      <t xml:space="preserve">Transfer PV of vehicle operating cost savings, </t>
    </r>
    <r>
      <rPr>
        <b/>
        <sz val="8"/>
        <rFont val="Verdana"/>
        <family val="2"/>
      </rPr>
      <t>D</t>
    </r>
    <r>
      <rPr>
        <sz val="8"/>
        <rFont val="Verdana"/>
        <family val="2"/>
      </rPr>
      <t xml:space="preserve"> for the preferred option to </t>
    </r>
    <r>
      <rPr>
        <b/>
        <sz val="8"/>
        <rFont val="Verdana"/>
        <family val="2"/>
      </rPr>
      <t>D</t>
    </r>
    <r>
      <rPr>
        <sz val="8"/>
        <rFont val="Verdana"/>
        <family val="2"/>
      </rPr>
      <t xml:space="preserve"> on worksheet 1.</t>
    </r>
  </si>
  <si>
    <t xml:space="preserve">Crash Estimation Compendium </t>
  </si>
  <si>
    <t>Transfer PV of crash cost savings, E for the preferred option to E on worksheet 1.</t>
  </si>
  <si>
    <t>BCR calculations</t>
  </si>
  <si>
    <t>Option D</t>
  </si>
  <si>
    <t>PV total benefits</t>
  </si>
  <si>
    <t>PV total costs</t>
  </si>
  <si>
    <r>
      <t>BCR</t>
    </r>
    <r>
      <rPr>
        <b/>
        <vertAlign val="subscript"/>
        <sz val="8"/>
        <color indexed="8"/>
        <rFont val="Verdana"/>
        <family val="2"/>
      </rPr>
      <t xml:space="preserve">N </t>
    </r>
  </si>
  <si>
    <r>
      <t>Incremental BCR</t>
    </r>
    <r>
      <rPr>
        <vertAlign val="subscript"/>
        <sz val="8"/>
        <color indexed="8"/>
        <rFont val="Verdana"/>
        <family val="2"/>
      </rPr>
      <t>N</t>
    </r>
    <r>
      <rPr>
        <b/>
        <sz val="8"/>
        <color indexed="8"/>
        <rFont val="Verdana"/>
        <family val="2"/>
      </rPr>
      <t xml:space="preserve">
(7)=(6)</t>
    </r>
    <r>
      <rPr>
        <sz val="8"/>
        <color indexed="8"/>
        <rFont val="Verdana"/>
        <family val="2"/>
      </rPr>
      <t>/</t>
    </r>
    <r>
      <rPr>
        <b/>
        <sz val="8"/>
        <color indexed="8"/>
        <rFont val="Verdana"/>
        <family val="2"/>
      </rPr>
      <t xml:space="preserve"> (5)</t>
    </r>
  </si>
  <si>
    <t>Do minimum SP4-5</t>
  </si>
  <si>
    <t>Option SP4-5</t>
  </si>
  <si>
    <t>Benefits of sealed road</t>
  </si>
  <si>
    <t>SP4-1: 'Evaluation Summary</t>
  </si>
  <si>
    <t>SP4-2: 'Cost of the do-minimum</t>
  </si>
  <si>
    <t>SP4-3 (1): 'Cost of Option 1</t>
  </si>
  <si>
    <t>SP4-3 (2): 'Cost of Option 2</t>
  </si>
  <si>
    <t>SP4-4: 'Travel time cost savings and seal extension benefits</t>
  </si>
  <si>
    <t>SP4-5: Vehicle Operating Cost savings</t>
  </si>
  <si>
    <t>SP4-6: 'Crash Cost savings</t>
  </si>
  <si>
    <t>SP4-7: 'BCR and incremental analysis</t>
  </si>
  <si>
    <t xml:space="preserve">   - This worksheet is used for relative comparison of the options.</t>
  </si>
  <si>
    <t xml:space="preserve">Discount rate </t>
  </si>
  <si>
    <t>Base year</t>
  </si>
  <si>
    <t>DF</t>
  </si>
  <si>
    <t>Table A21: Crash trend adjustments factors</t>
  </si>
  <si>
    <t>50 and 60km/h</t>
  </si>
  <si>
    <t>70km/h and above</t>
  </si>
  <si>
    <t>Total Monetised Benefits</t>
  </si>
  <si>
    <t xml:space="preserve">BCR </t>
  </si>
  <si>
    <t>refer to Table 14</t>
  </si>
  <si>
    <r>
      <t xml:space="preserve">Percentage of crashes 'remaining' [1 - </t>
    </r>
    <r>
      <rPr>
        <b/>
        <sz val="8"/>
        <rFont val="Verdana"/>
        <family val="2"/>
      </rPr>
      <t>(18)</t>
    </r>
    <r>
      <rPr>
        <sz val="8"/>
        <rFont val="Verdana"/>
        <family val="2"/>
      </rPr>
      <t>]</t>
    </r>
  </si>
  <si>
    <r>
      <rPr>
        <sz val="8"/>
        <rFont val="Verdana"/>
        <family val="2"/>
      </rPr>
      <t xml:space="preserve">Visit </t>
    </r>
    <r>
      <rPr>
        <u/>
        <sz val="8"/>
        <color indexed="12"/>
        <rFont val="Verdana"/>
        <family val="2"/>
      </rPr>
      <t>MBCM web page</t>
    </r>
    <r>
      <rPr>
        <sz val="8"/>
        <rFont val="Verdana"/>
        <family val="2"/>
      </rPr>
      <t xml:space="preserve"> for the latest update factors.</t>
    </r>
  </si>
  <si>
    <t>30 to 70 km/h speed limit areas</t>
  </si>
  <si>
    <t>80 to 100 km/h speed limit areas (excluding motorways)</t>
  </si>
  <si>
    <t>100 km/h speed limit  remote rural area</t>
  </si>
  <si>
    <t>Urban</t>
  </si>
  <si>
    <t>Rural</t>
  </si>
  <si>
    <t>Crash cost, 80-110km/h limit (Tables A32 to A35)</t>
  </si>
  <si>
    <t>Crash cost, 30-50km/h limit (Tables A28 to A31)</t>
  </si>
  <si>
    <r>
      <t>Mean speed adjustment (Between 50 and 80km/h)= (</t>
    </r>
    <r>
      <rPr>
        <b/>
        <sz val="8"/>
        <rFont val="Verdana"/>
        <family val="2"/>
      </rPr>
      <t xml:space="preserve">(1) </t>
    </r>
    <r>
      <rPr>
        <sz val="8"/>
        <rFont val="Verdana"/>
        <family val="2"/>
      </rPr>
      <t xml:space="preserve"> - 50)/30</t>
    </r>
  </si>
  <si>
    <r>
      <t>Mean speed adjustment (between 50 and 80km/h) = (</t>
    </r>
    <r>
      <rPr>
        <b/>
        <sz val="8"/>
        <rFont val="Verdana"/>
        <family val="2"/>
      </rPr>
      <t>(2)</t>
    </r>
    <r>
      <rPr>
        <sz val="8"/>
        <rFont val="Verdana"/>
        <family val="2"/>
      </rPr>
      <t xml:space="preserve"> - 50)/30</t>
    </r>
  </si>
  <si>
    <r>
      <t xml:space="preserve">Cost per crash = </t>
    </r>
    <r>
      <rPr>
        <b/>
        <sz val="8"/>
        <rFont val="Verdana"/>
        <family val="2"/>
      </rPr>
      <t>(12)</t>
    </r>
    <r>
      <rPr>
        <sz val="8"/>
        <rFont val="Verdana"/>
        <family val="2"/>
      </rPr>
      <t xml:space="preserve"> or </t>
    </r>
    <r>
      <rPr>
        <b/>
        <sz val="8"/>
        <rFont val="Verdana"/>
        <family val="2"/>
      </rPr>
      <t>(13)</t>
    </r>
    <r>
      <rPr>
        <sz val="8"/>
        <rFont val="Verdana"/>
        <family val="2"/>
      </rPr>
      <t xml:space="preserve"> or </t>
    </r>
    <r>
      <rPr>
        <b/>
        <sz val="8"/>
        <rFont val="Verdana"/>
        <family val="2"/>
      </rPr>
      <t>(13)</t>
    </r>
    <r>
      <rPr>
        <sz val="8"/>
        <rFont val="Verdana"/>
        <family val="2"/>
      </rPr>
      <t xml:space="preserve"> + </t>
    </r>
    <r>
      <rPr>
        <b/>
        <sz val="8"/>
        <rFont val="Verdana"/>
        <family val="2"/>
      </rPr>
      <t>(14)</t>
    </r>
    <r>
      <rPr>
        <sz val="8"/>
        <rFont val="Verdana"/>
        <family val="2"/>
      </rPr>
      <t xml:space="preserve"> x [</t>
    </r>
    <r>
      <rPr>
        <b/>
        <sz val="8"/>
        <rFont val="Verdana"/>
        <family val="2"/>
      </rPr>
      <t>(12)</t>
    </r>
    <r>
      <rPr>
        <sz val="8"/>
        <rFont val="Verdana"/>
        <family val="2"/>
      </rPr>
      <t xml:space="preserve"> - </t>
    </r>
    <r>
      <rPr>
        <b/>
        <sz val="8"/>
        <rFont val="Verdana"/>
        <family val="2"/>
      </rPr>
      <t>(13)</t>
    </r>
    <r>
      <rPr>
        <sz val="8"/>
        <rFont val="Verdana"/>
        <family val="2"/>
      </rPr>
      <t>]</t>
    </r>
  </si>
  <si>
    <r>
      <t xml:space="preserve">Cost per crash = </t>
    </r>
    <r>
      <rPr>
        <b/>
        <sz val="8"/>
        <rFont val="Verdana"/>
        <family val="2"/>
      </rPr>
      <t>(21)</t>
    </r>
    <r>
      <rPr>
        <sz val="8"/>
        <rFont val="Verdana"/>
        <family val="2"/>
      </rPr>
      <t xml:space="preserve"> or </t>
    </r>
    <r>
      <rPr>
        <b/>
        <sz val="8"/>
        <rFont val="Verdana"/>
        <family val="2"/>
      </rPr>
      <t>(22)</t>
    </r>
    <r>
      <rPr>
        <sz val="8"/>
        <rFont val="Verdana"/>
        <family val="2"/>
      </rPr>
      <t xml:space="preserve"> or </t>
    </r>
    <r>
      <rPr>
        <b/>
        <sz val="8"/>
        <rFont val="Verdana"/>
        <family val="2"/>
      </rPr>
      <t xml:space="preserve">(22) </t>
    </r>
    <r>
      <rPr>
        <sz val="8"/>
        <rFont val="Verdana"/>
        <family val="2"/>
      </rPr>
      <t>+</t>
    </r>
    <r>
      <rPr>
        <b/>
        <sz val="8"/>
        <rFont val="Verdana"/>
        <family val="2"/>
      </rPr>
      <t xml:space="preserve"> (23) </t>
    </r>
    <r>
      <rPr>
        <sz val="8"/>
        <rFont val="Verdana"/>
        <family val="2"/>
      </rPr>
      <t>x</t>
    </r>
    <r>
      <rPr>
        <b/>
        <sz val="8"/>
        <rFont val="Verdana"/>
        <family val="2"/>
      </rPr>
      <t xml:space="preserve"> </t>
    </r>
    <r>
      <rPr>
        <sz val="8"/>
        <rFont val="Verdana"/>
        <family val="2"/>
      </rPr>
      <t>[</t>
    </r>
    <r>
      <rPr>
        <b/>
        <sz val="8"/>
        <rFont val="Verdana"/>
        <family val="2"/>
      </rPr>
      <t xml:space="preserve">(21) </t>
    </r>
    <r>
      <rPr>
        <sz val="8"/>
        <rFont val="Verdana"/>
        <family val="2"/>
      </rPr>
      <t>-</t>
    </r>
    <r>
      <rPr>
        <b/>
        <sz val="8"/>
        <rFont val="Verdana"/>
        <family val="2"/>
      </rPr>
      <t xml:space="preserve"> (22)</t>
    </r>
    <r>
      <rPr>
        <sz val="8"/>
        <rFont val="Verdana"/>
        <family val="2"/>
      </rPr>
      <t>]</t>
    </r>
  </si>
  <si>
    <t>Table A23: Ratio of fatal to serious crash severities by movement category for 30 to 50km/h speed limit areas</t>
  </si>
  <si>
    <t xml:space="preserve">Table A24: Ratio of fatal to serious crash severities by movement category for 60 to 70km/h speed limit areas  </t>
  </si>
  <si>
    <t>Table A25: Ratio of fatal to serious crash severities by movement category for 80 to 110km/h speed limit areas</t>
  </si>
  <si>
    <t>Table A26: Factors for converting from reported injury accidents to total injury accident</t>
  </si>
  <si>
    <t>Injuried person category</t>
  </si>
  <si>
    <t>30 to 70km/h speed limit areas</t>
  </si>
  <si>
    <t xml:space="preserve">Remote rural 100km/h speed limit areas </t>
  </si>
  <si>
    <t>Table A27: Factor for converting from reported non-injury crashes to total non-injury crashes</t>
  </si>
  <si>
    <t>Total cost per crash by vehicle type ($ 2021)</t>
  </si>
  <si>
    <t>2024 update</t>
  </si>
  <si>
    <t>Table A28: Cost per crash by movement and vehicle involvement for fatal injury crashes in 30 to 50km/h speed limit areas</t>
  </si>
  <si>
    <t>30 to 50km/h speed limit areas fatal injury crashes</t>
  </si>
  <si>
    <t>Table A29: Cost per crash by movement and vehicle involvement for serious injury crashes in 30 to 50km/h speed limit areas</t>
  </si>
  <si>
    <t>30 to 50km/h speed limit areas serious injury crashes</t>
  </si>
  <si>
    <t>Total cost per crash by vehicle type ($’000 2021)</t>
  </si>
  <si>
    <t>Table A30: Cost per crash by movement and vehicle involvement for minor injury crashes in 30 to 50km/h speed limit areas</t>
  </si>
  <si>
    <t xml:space="preserve">30 to 50km/h speed limit </t>
  </si>
  <si>
    <t xml:space="preserve">Table A31: Cost per crash by movement and vehicle involvement for non-injury crashes in 30 to 50km/h speed limit areas </t>
  </si>
  <si>
    <t>30 to 50km/h speed limit areas non-injury crashes</t>
  </si>
  <si>
    <t>Table A32: Cost per crash by movement and vehicle involvement for fatal injury crashes in 80 to 110km/h speed limit areas</t>
  </si>
  <si>
    <t>80 to 110km/h speed limit areas fatal injury crashes</t>
  </si>
  <si>
    <t>Table A33: Cost per crash by movement and vehicle involvement for serious injury crashes in 80 to 110km/h speed limit areas</t>
  </si>
  <si>
    <t xml:space="preserve">80 to 110km/h speed limit </t>
  </si>
  <si>
    <t>Table A34: Cost per crash by movement and vehicle involvement for minor injury crashes in 80 to 110km/h speed limit areas</t>
  </si>
  <si>
    <t xml:space="preserve">Table A35: Cost per crash by movement and vehicle involvement for non-injury crashes in 80 to 110km/h speed limit areas </t>
  </si>
  <si>
    <t xml:space="preserve">
Table A23: Ratio of fatal to serious crash severities by movement category for 30 to 50km/h speed limit areas</t>
  </si>
  <si>
    <t>2% up to 30 years and 1.5% after 30 years</t>
  </si>
  <si>
    <t>Annual single payment present worth factors</t>
  </si>
  <si>
    <t xml:space="preserve"> Annual uniform series present worth factors</t>
  </si>
  <si>
    <t>Annual arithmetic growth present worth factors</t>
  </si>
  <si>
    <t>Time (years)</t>
  </si>
  <si>
    <t>2% &amp; 1.5% discount rate</t>
  </si>
  <si>
    <t xml:space="preserve">Base year </t>
  </si>
  <si>
    <t>Traffic growth</t>
  </si>
  <si>
    <t>Period of analysis</t>
  </si>
  <si>
    <t>Uniform series conversion factor</t>
  </si>
  <si>
    <t>Arithmetic series conversion factor</t>
  </si>
  <si>
    <t>Bespoke</t>
  </si>
  <si>
    <t>Blank</t>
  </si>
  <si>
    <t>AGPWF(e)</t>
  </si>
  <si>
    <t>Urban Arterial</t>
  </si>
  <si>
    <t>Urban Other</t>
  </si>
  <si>
    <t>Rural Strategic</t>
  </si>
  <si>
    <t>Rural Other</t>
  </si>
  <si>
    <t>SP4-3(1)</t>
  </si>
  <si>
    <t>SP4-3(2)</t>
  </si>
  <si>
    <t>Evaluation Period: 
(baseline and forecast year) 
e.g 2025 - 2065</t>
  </si>
  <si>
    <r>
      <t>[(</t>
    </r>
    <r>
      <rPr>
        <b/>
        <sz val="7"/>
        <rFont val="Verdana"/>
        <family val="2"/>
      </rPr>
      <t>W</t>
    </r>
    <r>
      <rPr>
        <sz val="7"/>
        <rFont val="Verdana"/>
        <family val="2"/>
      </rPr>
      <t>+</t>
    </r>
    <r>
      <rPr>
        <b/>
        <sz val="7"/>
        <rFont val="Verdana"/>
        <family val="2"/>
      </rPr>
      <t>X</t>
    </r>
    <r>
      <rPr>
        <sz val="7"/>
        <rFont val="Verdana"/>
        <family val="2"/>
      </rPr>
      <t>+</t>
    </r>
    <r>
      <rPr>
        <b/>
        <sz val="7"/>
        <rFont val="Verdana"/>
        <family val="2"/>
      </rPr>
      <t>Y</t>
    </r>
    <r>
      <rPr>
        <sz val="7"/>
        <rFont val="Verdana"/>
        <family val="2"/>
      </rPr>
      <t xml:space="preserve">) / DF + ( </t>
    </r>
    <r>
      <rPr>
        <b/>
        <sz val="7"/>
        <rFont val="Verdana"/>
        <family val="2"/>
      </rPr>
      <t>Z</t>
    </r>
    <r>
      <rPr>
        <sz val="7"/>
        <rFont val="Verdana"/>
        <family val="2"/>
      </rPr>
      <t xml:space="preserve"> / DF</t>
    </r>
    <r>
      <rPr>
        <vertAlign val="subscript"/>
        <sz val="7"/>
        <rFont val="Verdana"/>
        <family val="2"/>
      </rPr>
      <t>acc</t>
    </r>
    <r>
      <rPr>
        <sz val="7"/>
        <rFont val="Verdana"/>
        <family val="2"/>
      </rPr>
      <t>)] x (1+growth) * 0.98</t>
    </r>
  </si>
  <si>
    <t>Spreadsheet May 2025</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</si>
</sst>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16">
    <numFmt numFmtId="6" formatCode="&quot;$&quot;#,##0;[Red]\-&quot;$&quot;#,##0"/>
    <numFmt numFmtId="44" formatCode="_-&quot;$&quot;* #,##0.00_-;\-&quot;$&quot;* #,##0.00_-;_-&quot;$&quot;* &quot;-&quot;??_-;_-@_-"/>
    <numFmt numFmtId="43" formatCode="_-* #,##0.00_-;\-* #,##0.00_-;_-* &quot;-&quot;??_-;_-@_-"/>
    <numFmt numFmtId="164" formatCode="d/mm/yyyy;@"/>
    <numFmt numFmtId="165" formatCode="&quot;$&quot;#,##0;[Red]&quot;$&quot;#,##0"/>
    <numFmt numFmtId="166" formatCode="#,##0.0;[Red]#,##0.0"/>
    <numFmt numFmtId="167" formatCode="0.0%"/>
    <numFmt numFmtId="168" formatCode="0.0"/>
    <numFmt numFmtId="169" formatCode="0.000"/>
    <numFmt numFmtId="170" formatCode="#,##0_ ;\-#,##0\ "/>
    <numFmt numFmtId="171" formatCode="&quot;$&quot;#,##0"/>
    <numFmt numFmtId="172" formatCode="_-* #,##0_-;\-* #,##0_-;_-* &quot;-&quot;??_-;_-@_-"/>
    <numFmt numFmtId="173" formatCode="_-* #,##0.0_-;\-* #,##0.0_-;_-* &quot;-&quot;??_-;_-@_-"/>
    <numFmt numFmtId="174" formatCode="mm\-yyyy"/>
    <numFmt numFmtId="175" formatCode="mmm\-yyyy"/>
    <numFmt numFmtId="176" formatCode="0.0000"/>
  </numFmts>
  <fonts count="115">
    <font>
      <sz val="12"/>
      <color theme="1"/>
      <name val="Calibri"/>
      <family val="2"/>
      <scheme val="minor"/>
    </font>
    <font>
      <sz val="11"/>
      <color theme="1"/>
      <name val="Calibri"/>
      <family val="2"/>
      <scheme val="minor"/>
    </font>
    <font>
      <sz val="11"/>
      <color theme="1"/>
      <name val="Calibri"/>
      <family val="2"/>
      <scheme val="minor"/>
    </font>
    <font>
      <sz val="8"/>
      <name val="Calibri"/>
      <family val="2"/>
    </font>
    <font>
      <sz val="12"/>
      <color indexed="56"/>
      <name val="Whitney Semibold"/>
    </font>
    <font>
      <b/>
      <sz val="12"/>
      <color indexed="56"/>
      <name val="Calibri"/>
      <family val="2"/>
    </font>
    <font>
      <sz val="12"/>
      <color indexed="63"/>
      <name val="Calibri"/>
      <family val="2"/>
    </font>
    <font>
      <sz val="10"/>
      <color indexed="9"/>
      <name val="Calibri"/>
      <family val="2"/>
    </font>
    <font>
      <b/>
      <sz val="12"/>
      <color indexed="9"/>
      <name val="Calibri"/>
      <family val="2"/>
    </font>
    <font>
      <sz val="12"/>
      <color theme="1"/>
      <name val="Whitney Light"/>
    </font>
    <font>
      <sz val="12"/>
      <color theme="1"/>
      <name val="Whitney Book"/>
    </font>
    <font>
      <sz val="12"/>
      <color theme="1" tint="0.34998626667073579"/>
      <name val="Whitney Light"/>
    </font>
    <font>
      <b/>
      <sz val="12"/>
      <color rgb="FF043B61"/>
      <name val="Calibri"/>
      <family val="2"/>
    </font>
    <font>
      <sz val="12"/>
      <color theme="1"/>
      <name val="Calibri"/>
      <family val="2"/>
    </font>
    <font>
      <b/>
      <sz val="12"/>
      <color theme="1"/>
      <name val="Calibri"/>
      <family val="2"/>
    </font>
    <font>
      <sz val="12"/>
      <color theme="1" tint="0.34998626667073579"/>
      <name val="Calibri"/>
      <family val="2"/>
    </font>
    <font>
      <b/>
      <sz val="14"/>
      <color rgb="FF043B61"/>
      <name val="Calibri"/>
      <family val="2"/>
    </font>
    <font>
      <b/>
      <sz val="30"/>
      <color theme="0"/>
      <name val="Calibri"/>
      <family val="2"/>
    </font>
    <font>
      <b/>
      <sz val="28"/>
      <color theme="0"/>
      <name val="Calibri"/>
      <family val="2"/>
    </font>
    <font>
      <sz val="12"/>
      <color rgb="FF043B61"/>
      <name val="Whitney Semibold"/>
    </font>
    <font>
      <sz val="14"/>
      <color rgb="FF043B61"/>
      <name val="Calibri"/>
      <family val="2"/>
    </font>
    <font>
      <b/>
      <sz val="12"/>
      <color theme="1"/>
      <name val="Calibri"/>
      <family val="2"/>
      <scheme val="minor"/>
    </font>
    <font>
      <u/>
      <sz val="12"/>
      <color theme="10"/>
      <name val="Calibri"/>
      <family val="2"/>
      <scheme val="minor"/>
    </font>
    <font>
      <u/>
      <sz val="12"/>
      <color theme="11"/>
      <name val="Calibri"/>
      <family val="2"/>
      <scheme val="minor"/>
    </font>
    <font>
      <sz val="12"/>
      <color rgb="FF80A30A"/>
      <name val="Whitney Semibold"/>
    </font>
    <font>
      <b/>
      <sz val="12"/>
      <color indexed="50"/>
      <name val="Calibri"/>
      <family val="2"/>
    </font>
    <font>
      <sz val="12"/>
      <color indexed="50"/>
      <name val="Whitney Semibold"/>
    </font>
    <font>
      <i/>
      <sz val="12"/>
      <color indexed="63"/>
      <name val="Calibri"/>
      <family val="2"/>
    </font>
    <font>
      <sz val="12"/>
      <color theme="1" tint="0.249977111117893"/>
      <name val="Calibri"/>
      <family val="2"/>
    </font>
    <font>
      <b/>
      <sz val="12"/>
      <color indexed="52"/>
      <name val="Calibri"/>
      <family val="2"/>
    </font>
    <font>
      <sz val="12"/>
      <color indexed="53"/>
      <name val="Whitney Semibold"/>
    </font>
    <font>
      <b/>
      <sz val="12"/>
      <color indexed="53"/>
      <name val="Calibri"/>
      <family val="2"/>
    </font>
    <font>
      <b/>
      <sz val="12"/>
      <color indexed="17"/>
      <name val="Calibri"/>
      <family val="2"/>
    </font>
    <font>
      <i/>
      <sz val="12"/>
      <color indexed="50"/>
      <name val="Calibri"/>
      <family val="2"/>
    </font>
    <font>
      <b/>
      <sz val="12"/>
      <color indexed="57"/>
      <name val="Calibri"/>
      <family val="2"/>
    </font>
    <font>
      <i/>
      <sz val="12"/>
      <color indexed="57"/>
      <name val="Calibri"/>
      <family val="2"/>
    </font>
    <font>
      <sz val="12"/>
      <color rgb="FF80A30A"/>
      <name val="Whitney Semibold"/>
      <family val="2"/>
    </font>
    <font>
      <sz val="11"/>
      <color theme="0"/>
      <name val="Calibri"/>
      <family val="2"/>
    </font>
    <font>
      <sz val="12"/>
      <color theme="1"/>
      <name val="Calibri"/>
      <family val="2"/>
      <scheme val="minor"/>
    </font>
    <font>
      <sz val="12"/>
      <color rgb="FF80A30A"/>
      <name val="Calibri"/>
      <family val="2"/>
    </font>
    <font>
      <sz val="12"/>
      <color indexed="9"/>
      <name val="Calibri"/>
      <family val="2"/>
    </font>
    <font>
      <sz val="10"/>
      <color theme="0"/>
      <name val="Calibri"/>
      <family val="2"/>
    </font>
    <font>
      <sz val="12"/>
      <color indexed="57"/>
      <name val="Calibri"/>
      <family val="2"/>
    </font>
    <font>
      <sz val="10"/>
      <color theme="1"/>
      <name val="Lucida Sans"/>
      <family val="2"/>
    </font>
    <font>
      <b/>
      <sz val="11"/>
      <color theme="1"/>
      <name val="Calibri"/>
      <family val="2"/>
      <scheme val="minor"/>
    </font>
    <font>
      <i/>
      <sz val="12"/>
      <name val="Calibri"/>
      <family val="2"/>
    </font>
    <font>
      <sz val="10"/>
      <name val="Arial"/>
      <family val="2"/>
    </font>
    <font>
      <sz val="8"/>
      <name val="Lucida Sans"/>
      <family val="2"/>
    </font>
    <font>
      <sz val="9"/>
      <name val="Lucida Sans"/>
      <family val="2"/>
    </font>
    <font>
      <sz val="9"/>
      <color theme="1"/>
      <name val="Calibri"/>
      <family val="2"/>
      <scheme val="minor"/>
    </font>
    <font>
      <sz val="10"/>
      <color theme="1"/>
      <name val="Calibri"/>
      <family val="2"/>
      <scheme val="minor"/>
    </font>
    <font>
      <b/>
      <sz val="10"/>
      <color theme="1"/>
      <name val="Calibri"/>
      <family val="2"/>
      <scheme val="minor"/>
    </font>
    <font>
      <i/>
      <sz val="10"/>
      <color theme="1"/>
      <name val="Calibri"/>
      <family val="2"/>
      <scheme val="minor"/>
    </font>
    <font>
      <i/>
      <sz val="8"/>
      <color theme="1"/>
      <name val="Calibri"/>
      <family val="2"/>
      <scheme val="minor"/>
    </font>
    <font>
      <i/>
      <sz val="11"/>
      <color theme="1"/>
      <name val="Calibri"/>
      <family val="2"/>
      <scheme val="minor"/>
    </font>
    <font>
      <i/>
      <sz val="9"/>
      <color theme="1"/>
      <name val="Calibri"/>
      <family val="2"/>
      <scheme val="minor"/>
    </font>
    <font>
      <sz val="6"/>
      <name val="Arial"/>
      <family val="2"/>
    </font>
    <font>
      <b/>
      <sz val="9"/>
      <name val="Lucida Sans"/>
      <family val="2"/>
    </font>
    <font>
      <sz val="10"/>
      <name val="Verdana"/>
      <family val="2"/>
    </font>
    <font>
      <u/>
      <sz val="10"/>
      <color indexed="12"/>
      <name val="Arial"/>
      <family val="2"/>
    </font>
    <font>
      <b/>
      <sz val="10"/>
      <name val="Verdana"/>
      <family val="2"/>
    </font>
    <font>
      <b/>
      <i/>
      <sz val="9"/>
      <name val="Verdana"/>
      <family val="2"/>
    </font>
    <font>
      <b/>
      <u/>
      <sz val="10"/>
      <name val="Verdana"/>
      <family val="2"/>
    </font>
    <font>
      <sz val="8"/>
      <name val="Verdana"/>
      <family val="2"/>
    </font>
    <font>
      <b/>
      <i/>
      <sz val="10"/>
      <name val="Verdana"/>
      <family val="2"/>
    </font>
    <font>
      <i/>
      <sz val="8"/>
      <name val="Verdana"/>
      <family val="2"/>
    </font>
    <font>
      <i/>
      <sz val="10"/>
      <name val="Verdana"/>
      <family val="2"/>
    </font>
    <font>
      <sz val="8"/>
      <color theme="3"/>
      <name val="Verdana"/>
      <family val="2"/>
    </font>
    <font>
      <sz val="10"/>
      <color indexed="8"/>
      <name val="Arial"/>
      <family val="2"/>
    </font>
    <font>
      <sz val="10"/>
      <color theme="3"/>
      <name val="Verdana"/>
      <family val="2"/>
    </font>
    <font>
      <b/>
      <u/>
      <sz val="10"/>
      <color theme="3"/>
      <name val="Verdana"/>
      <family val="2"/>
    </font>
    <font>
      <b/>
      <sz val="12"/>
      <name val="Verdana"/>
      <family val="2"/>
    </font>
    <font>
      <sz val="9"/>
      <name val="Verdana"/>
      <family val="2"/>
    </font>
    <font>
      <b/>
      <sz val="8"/>
      <name val="Verdana"/>
      <family val="2"/>
    </font>
    <font>
      <vertAlign val="superscript"/>
      <sz val="8"/>
      <name val="Verdana"/>
      <family val="2"/>
    </font>
    <font>
      <vertAlign val="subscript"/>
      <sz val="8"/>
      <name val="Verdana"/>
      <family val="2"/>
    </font>
    <font>
      <u/>
      <sz val="8"/>
      <color indexed="12"/>
      <name val="Verdana"/>
      <family val="2"/>
    </font>
    <font>
      <sz val="6"/>
      <name val="Verdana"/>
      <family val="2"/>
    </font>
    <font>
      <sz val="8"/>
      <color indexed="81"/>
      <name val="Verdana"/>
      <family val="2"/>
    </font>
    <font>
      <b/>
      <sz val="8"/>
      <color indexed="81"/>
      <name val="Verdana"/>
      <family val="2"/>
    </font>
    <font>
      <b/>
      <sz val="8"/>
      <color indexed="9"/>
      <name val="Verdana"/>
      <family val="2"/>
    </font>
    <font>
      <sz val="8"/>
      <color indexed="9"/>
      <name val="Verdana"/>
      <family val="2"/>
    </font>
    <font>
      <sz val="8"/>
      <color indexed="81"/>
      <name val="Tahoma"/>
      <family val="2"/>
    </font>
    <font>
      <b/>
      <sz val="8"/>
      <color indexed="8"/>
      <name val="Verdana"/>
      <family val="2"/>
    </font>
    <font>
      <sz val="8"/>
      <color indexed="8"/>
      <name val="Verdana"/>
      <family val="2"/>
    </font>
    <font>
      <vertAlign val="subscript"/>
      <sz val="8"/>
      <color indexed="8"/>
      <name val="Verdana"/>
      <family val="2"/>
    </font>
    <font>
      <sz val="10"/>
      <name val="Arial"/>
      <family val="2"/>
    </font>
    <font>
      <b/>
      <sz val="9"/>
      <name val="Verdana"/>
      <family val="2"/>
    </font>
    <font>
      <sz val="16"/>
      <name val="Verdana"/>
      <family val="2"/>
    </font>
    <font>
      <sz val="12"/>
      <name val="Palatino"/>
    </font>
    <font>
      <b/>
      <sz val="12"/>
      <color theme="1" tint="0.249977111117893"/>
      <name val="Calibri"/>
      <family val="2"/>
    </font>
    <font>
      <b/>
      <sz val="12"/>
      <color theme="1" tint="0.34998626667073579"/>
      <name val="Calibri"/>
      <family val="2"/>
    </font>
    <font>
      <sz val="8"/>
      <color theme="1"/>
      <name val="Calibri"/>
      <family val="2"/>
    </font>
    <font>
      <b/>
      <sz val="8"/>
      <color theme="1"/>
      <name val="Calibri"/>
      <family val="2"/>
    </font>
    <font>
      <u/>
      <sz val="10"/>
      <color theme="10"/>
      <name val="Arial"/>
      <family val="2"/>
    </font>
    <font>
      <b/>
      <sz val="11"/>
      <color theme="1"/>
      <name val="Arial"/>
      <family val="2"/>
    </font>
    <font>
      <sz val="11"/>
      <color theme="1"/>
      <name val="Arial"/>
      <family val="2"/>
    </font>
    <font>
      <sz val="11"/>
      <color rgb="FFFFFFFF"/>
      <name val="Arial"/>
      <family val="2"/>
    </font>
    <font>
      <sz val="12"/>
      <color rgb="FFFF0000"/>
      <name val="Calibri"/>
      <family val="2"/>
      <scheme val="minor"/>
    </font>
    <font>
      <b/>
      <sz val="15"/>
      <color theme="3"/>
      <name val="Calibri"/>
      <family val="2"/>
      <scheme val="minor"/>
    </font>
    <font>
      <vertAlign val="subscript"/>
      <sz val="8"/>
      <color indexed="81"/>
      <name val="Verdana"/>
      <family val="2"/>
    </font>
    <font>
      <b/>
      <vertAlign val="superscript"/>
      <sz val="8"/>
      <name val="Verdana"/>
      <family val="2"/>
    </font>
    <font>
      <u/>
      <sz val="8"/>
      <color theme="10"/>
      <name val="Verdana"/>
      <family val="2"/>
    </font>
    <font>
      <sz val="7"/>
      <name val="Verdana"/>
      <family val="2"/>
    </font>
    <font>
      <b/>
      <sz val="7"/>
      <name val="Verdana"/>
      <family val="2"/>
    </font>
    <font>
      <vertAlign val="subscript"/>
      <sz val="7"/>
      <name val="Verdana"/>
      <family val="2"/>
    </font>
    <font>
      <vertAlign val="superscript"/>
      <sz val="8"/>
      <color indexed="81"/>
      <name val="Verdana"/>
      <family val="2"/>
    </font>
    <font>
      <b/>
      <sz val="8"/>
      <color indexed="63"/>
      <name val="Verdana"/>
      <family val="2"/>
    </font>
    <font>
      <b/>
      <vertAlign val="subscript"/>
      <sz val="8"/>
      <color indexed="8"/>
      <name val="Verdana"/>
      <family val="2"/>
    </font>
    <font>
      <sz val="8"/>
      <color theme="1"/>
      <name val="Verdana"/>
      <family val="2"/>
    </font>
    <font>
      <b/>
      <sz val="10"/>
      <color rgb="FF000000"/>
      <name val="Arial"/>
      <family val="2"/>
    </font>
    <font>
      <sz val="10"/>
      <color theme="1"/>
      <name val="Arial"/>
      <family val="2"/>
    </font>
    <font>
      <sz val="10"/>
      <color rgb="FFFFFFFF"/>
      <name val="Arial"/>
      <family val="2"/>
    </font>
    <font>
      <sz val="10"/>
      <color rgb="FF000000"/>
      <name val="Arial"/>
      <family val="2"/>
    </font>
    <font>
      <b/>
      <sz val="10"/>
      <name val="Arial"/>
      <family val="2"/>
    </font>
  </fonts>
  <fills count="26">
    <fill>
      <patternFill patternType="none"/>
    </fill>
    <fill>
      <patternFill patternType="gray125"/>
    </fill>
    <fill>
      <patternFill patternType="solid">
        <fgColor rgb="FF043B61"/>
        <bgColor indexed="64"/>
      </patternFill>
    </fill>
    <fill>
      <patternFill patternType="solid">
        <fgColor theme="4" tint="0.59999389629810485"/>
        <bgColor theme="4" tint="0.59999389629810485"/>
      </patternFill>
    </fill>
    <fill>
      <patternFill patternType="solid">
        <fgColor theme="4" tint="0.79998168889431442"/>
        <bgColor theme="4" tint="0.79998168889431442"/>
      </patternFill>
    </fill>
    <fill>
      <patternFill patternType="solid">
        <fgColor rgb="FFFFFF00"/>
        <bgColor indexed="64"/>
      </patternFill>
    </fill>
    <fill>
      <patternFill patternType="solid">
        <fgColor theme="0" tint="-4.9989318521683403E-2"/>
        <bgColor indexed="64"/>
      </patternFill>
    </fill>
    <fill>
      <patternFill patternType="solid">
        <fgColor theme="0"/>
        <bgColor indexed="64"/>
      </patternFill>
    </fill>
    <fill>
      <patternFill patternType="solid">
        <fgColor theme="5" tint="0.79998168889431442"/>
        <bgColor indexed="64"/>
      </patternFill>
    </fill>
    <fill>
      <patternFill patternType="solid">
        <fgColor rgb="FFFFC000"/>
        <bgColor indexed="64"/>
      </patternFill>
    </fill>
    <fill>
      <patternFill patternType="solid">
        <fgColor indexed="22"/>
        <bgColor indexed="64"/>
      </patternFill>
    </fill>
    <fill>
      <patternFill patternType="solid">
        <fgColor theme="9" tint="0.79998168889431442"/>
        <bgColor indexed="64"/>
      </patternFill>
    </fill>
    <fill>
      <patternFill patternType="solid">
        <fgColor rgb="FF92D050"/>
        <bgColor indexed="64"/>
      </patternFill>
    </fill>
    <fill>
      <patternFill patternType="solid">
        <fgColor indexed="9"/>
        <bgColor indexed="64"/>
      </patternFill>
    </fill>
    <fill>
      <patternFill patternType="solid">
        <fgColor indexed="26"/>
        <bgColor indexed="64"/>
      </patternFill>
    </fill>
    <fill>
      <patternFill patternType="solid">
        <fgColor theme="7" tint="0.59999389629810485"/>
        <bgColor indexed="64"/>
      </patternFill>
    </fill>
    <fill>
      <patternFill patternType="solid">
        <fgColor theme="9" tint="-0.249977111117893"/>
        <bgColor indexed="64"/>
      </patternFill>
    </fill>
    <fill>
      <patternFill patternType="gray125">
        <bgColor indexed="22"/>
      </patternFill>
    </fill>
    <fill>
      <patternFill patternType="solid">
        <fgColor indexed="14"/>
        <bgColor indexed="64"/>
      </patternFill>
    </fill>
    <fill>
      <patternFill patternType="solid">
        <fgColor indexed="53"/>
        <bgColor indexed="64"/>
      </patternFill>
    </fill>
    <fill>
      <patternFill patternType="solid">
        <fgColor rgb="FFFF00FF"/>
        <bgColor indexed="64"/>
      </patternFill>
    </fill>
    <fill>
      <patternFill patternType="solid">
        <fgColor rgb="FFFFFFCC"/>
        <bgColor indexed="64"/>
      </patternFill>
    </fill>
    <fill>
      <patternFill patternType="solid">
        <fgColor rgb="FF2575AE"/>
        <bgColor indexed="64"/>
      </patternFill>
    </fill>
    <fill>
      <patternFill patternType="solid">
        <fgColor theme="0" tint="-0.14999847407452621"/>
        <bgColor indexed="64"/>
      </patternFill>
    </fill>
    <fill>
      <patternFill patternType="solid">
        <fgColor indexed="47"/>
        <bgColor indexed="64"/>
      </patternFill>
    </fill>
    <fill>
      <patternFill patternType="solid">
        <fgColor theme="9" tint="0.39997558519241921"/>
        <bgColor indexed="64"/>
      </patternFill>
    </fill>
  </fills>
  <borders count="131">
    <border>
      <left/>
      <right/>
      <top/>
      <bottom/>
      <diagonal/>
    </border>
    <border>
      <left style="thin">
        <color theme="1" tint="0.249977111117893"/>
      </left>
      <right/>
      <top/>
      <bottom/>
      <diagonal/>
    </border>
    <border>
      <left/>
      <right style="thin">
        <color theme="1" tint="0.249977111117893"/>
      </right>
      <top/>
      <bottom/>
      <diagonal/>
    </border>
    <border>
      <left style="thin">
        <color theme="1" tint="0.249977111117893"/>
      </left>
      <right/>
      <top/>
      <bottom style="thin">
        <color theme="1" tint="0.249977111117893"/>
      </bottom>
      <diagonal/>
    </border>
    <border>
      <left/>
      <right style="thin">
        <color theme="1" tint="0.249977111117893"/>
      </right>
      <top/>
      <bottom style="thin">
        <color theme="1" tint="0.249977111117893"/>
      </bottom>
      <diagonal/>
    </border>
    <border>
      <left style="thin">
        <color theme="1" tint="0.249977111117893"/>
      </left>
      <right style="thin">
        <color theme="1" tint="0.249977111117893"/>
      </right>
      <top style="thin">
        <color theme="1" tint="0.249977111117893"/>
      </top>
      <bottom style="thin">
        <color theme="1" tint="0.249977111117893"/>
      </bottom>
      <diagonal/>
    </border>
    <border>
      <left style="thin">
        <color theme="1" tint="0.249977111117893"/>
      </left>
      <right/>
      <top style="thin">
        <color theme="1" tint="0.249977111117893"/>
      </top>
      <bottom style="thin">
        <color theme="1" tint="0.249977111117893"/>
      </bottom>
      <diagonal/>
    </border>
    <border>
      <left/>
      <right style="thin">
        <color theme="1" tint="0.249977111117893"/>
      </right>
      <top style="thin">
        <color theme="1" tint="0.249977111117893"/>
      </top>
      <bottom style="thin">
        <color theme="1" tint="0.249977111117893"/>
      </bottom>
      <diagonal/>
    </border>
    <border>
      <left/>
      <right/>
      <top/>
      <bottom style="thin">
        <color theme="1" tint="0.249977111117893"/>
      </bottom>
      <diagonal/>
    </border>
    <border>
      <left/>
      <right/>
      <top style="thin">
        <color theme="1" tint="0.249977111117893"/>
      </top>
      <bottom/>
      <diagonal/>
    </border>
    <border>
      <left/>
      <right/>
      <top style="thin">
        <color theme="1" tint="0.249977111117893"/>
      </top>
      <bottom style="thin">
        <color theme="1" tint="0.249977111117893"/>
      </bottom>
      <diagonal/>
    </border>
    <border>
      <left style="thin">
        <color theme="1" tint="0.249977111117893"/>
      </left>
      <right/>
      <top style="thin">
        <color theme="1" tint="0.249977111117893"/>
      </top>
      <bottom/>
      <diagonal/>
    </border>
    <border>
      <left/>
      <right style="thin">
        <color theme="1" tint="0.249977111117893"/>
      </right>
      <top style="thin">
        <color theme="1" tint="0.249977111117893"/>
      </top>
      <bottom/>
      <diagonal/>
    </border>
    <border>
      <left style="thin">
        <color theme="1" tint="0.249977111117893"/>
      </left>
      <right style="thin">
        <color theme="1" tint="0.249977111117893"/>
      </right>
      <top style="thin">
        <color theme="1" tint="0.249977111117893"/>
      </top>
      <bottom/>
      <diagonal/>
    </border>
    <border>
      <left style="thin">
        <color theme="1" tint="0.249977111117893"/>
      </left>
      <right style="thin">
        <color theme="1" tint="0.249977111117893"/>
      </right>
      <top/>
      <bottom style="thin">
        <color theme="1" tint="0.249977111117893"/>
      </bottom>
      <diagonal/>
    </border>
    <border>
      <left/>
      <right/>
      <top style="thin">
        <color theme="0"/>
      </top>
      <bottom style="thin">
        <color theme="0"/>
      </bottom>
      <diagonal/>
    </border>
    <border>
      <left/>
      <right/>
      <top style="thin">
        <color theme="0"/>
      </top>
      <bottom/>
      <diagonal/>
    </border>
    <border>
      <left style="thin">
        <color indexed="64"/>
      </left>
      <right/>
      <top style="thin">
        <color indexed="64"/>
      </top>
      <bottom style="thin">
        <color indexed="64"/>
      </bottom>
      <diagonal/>
    </border>
    <border>
      <left/>
      <right/>
      <top style="thin">
        <color indexed="64"/>
      </top>
      <bottom style="thin">
        <color indexed="64"/>
      </bottom>
      <diagonal/>
    </border>
    <border>
      <left/>
      <right style="thin">
        <color indexed="64"/>
      </right>
      <top style="thin">
        <color indexed="64"/>
      </top>
      <bottom style="thin">
        <color indexed="64"/>
      </bottom>
      <diagonal/>
    </border>
    <border>
      <left/>
      <right/>
      <top/>
      <bottom style="thin">
        <color indexed="64"/>
      </bottom>
      <diagonal/>
    </border>
    <border>
      <left/>
      <right style="medium">
        <color indexed="64"/>
      </right>
      <top/>
      <bottom/>
      <diagonal/>
    </border>
    <border>
      <left style="thin">
        <color theme="1" tint="0.249977111117893"/>
      </left>
      <right style="medium">
        <color indexed="64"/>
      </right>
      <top style="thin">
        <color theme="1" tint="0.249977111117893"/>
      </top>
      <bottom style="thin">
        <color theme="1" tint="0.249977111117893"/>
      </bottom>
      <diagonal/>
    </border>
    <border>
      <left/>
      <right style="medium">
        <color indexed="64"/>
      </right>
      <top style="medium">
        <color indexed="64"/>
      </top>
      <bottom/>
      <diagonal/>
    </border>
    <border>
      <left/>
      <right/>
      <top style="medium">
        <color indexed="64"/>
      </top>
      <bottom/>
      <diagonal/>
    </border>
    <border>
      <left style="medium">
        <color indexed="64"/>
      </left>
      <right/>
      <top style="medium">
        <color indexed="64"/>
      </top>
      <bottom/>
      <diagonal/>
    </border>
    <border>
      <left style="thin">
        <color indexed="64"/>
      </left>
      <right style="thin">
        <color indexed="64"/>
      </right>
      <top style="thin">
        <color indexed="64"/>
      </top>
      <bottom style="thin">
        <color indexed="64"/>
      </bottom>
      <diagonal/>
    </border>
    <border>
      <left style="thin">
        <color indexed="64"/>
      </left>
      <right style="thin">
        <color indexed="64"/>
      </right>
      <top/>
      <bottom style="thin">
        <color indexed="64"/>
      </bottom>
      <diagonal/>
    </border>
    <border>
      <left/>
      <right style="thick">
        <color theme="0" tint="-4.9989318521683403E-2"/>
      </right>
      <top style="thick">
        <color theme="0" tint="-4.9989318521683403E-2"/>
      </top>
      <bottom style="thick">
        <color theme="0" tint="-4.9989318521683403E-2"/>
      </bottom>
      <diagonal/>
    </border>
    <border>
      <left style="thick">
        <color theme="0" tint="-4.9989318521683403E-2"/>
      </left>
      <right/>
      <top style="thick">
        <color theme="0" tint="-4.9989318521683403E-2"/>
      </top>
      <bottom style="thick">
        <color theme="0" tint="-4.9989318521683403E-2"/>
      </bottom>
      <diagonal/>
    </border>
    <border>
      <left/>
      <right style="medium">
        <color indexed="64"/>
      </right>
      <top style="medium">
        <color indexed="64"/>
      </top>
      <bottom style="medium">
        <color indexed="64"/>
      </bottom>
      <diagonal/>
    </border>
    <border>
      <left/>
      <right/>
      <top style="medium">
        <color indexed="64"/>
      </top>
      <bottom style="medium">
        <color indexed="64"/>
      </bottom>
      <diagonal/>
    </border>
    <border>
      <left style="medium">
        <color indexed="64"/>
      </left>
      <right/>
      <top style="medium">
        <color indexed="64"/>
      </top>
      <bottom style="medium">
        <color indexed="64"/>
      </bottom>
      <diagonal/>
    </border>
    <border>
      <left style="medium">
        <color theme="0" tint="-4.9989318521683403E-2"/>
      </left>
      <right style="medium">
        <color theme="0" tint="-4.9989318521683403E-2"/>
      </right>
      <top style="medium">
        <color theme="0" tint="-4.9989318521683403E-2"/>
      </top>
      <bottom style="medium">
        <color theme="0" tint="-4.9989318521683403E-2"/>
      </bottom>
      <diagonal/>
    </border>
    <border>
      <left/>
      <right style="medium">
        <color theme="0" tint="-4.9989318521683403E-2"/>
      </right>
      <top style="medium">
        <color theme="0" tint="-4.9989318521683403E-2"/>
      </top>
      <bottom style="medium">
        <color theme="0" tint="-4.9989318521683403E-2"/>
      </bottom>
      <diagonal/>
    </border>
    <border>
      <left/>
      <right/>
      <top style="thin">
        <color indexed="64"/>
      </top>
      <bottom/>
      <diagonal/>
    </border>
    <border>
      <left/>
      <right/>
      <top style="medium">
        <color theme="0" tint="-4.9989318521683403E-2"/>
      </top>
      <bottom style="medium">
        <color theme="0" tint="-4.9989318521683403E-2"/>
      </bottom>
      <diagonal/>
    </border>
    <border>
      <left style="thick">
        <color indexed="64"/>
      </left>
      <right style="thick">
        <color indexed="64"/>
      </right>
      <top style="thick">
        <color indexed="64"/>
      </top>
      <bottom style="thick">
        <color indexed="64"/>
      </bottom>
      <diagonal/>
    </border>
    <border>
      <left style="medium">
        <color indexed="64"/>
      </left>
      <right style="medium">
        <color indexed="64"/>
      </right>
      <top/>
      <bottom style="medium">
        <color indexed="64"/>
      </bottom>
      <diagonal/>
    </border>
    <border>
      <left style="thin">
        <color indexed="9"/>
      </left>
      <right style="thin">
        <color indexed="9"/>
      </right>
      <top style="thin">
        <color indexed="9"/>
      </top>
      <bottom/>
      <diagonal/>
    </border>
    <border>
      <left style="thin">
        <color indexed="9"/>
      </left>
      <right style="thin">
        <color indexed="9"/>
      </right>
      <top style="thin">
        <color indexed="9"/>
      </top>
      <bottom style="thin">
        <color indexed="9"/>
      </bottom>
      <diagonal/>
    </border>
    <border>
      <left style="thin">
        <color indexed="9"/>
      </left>
      <right style="thin">
        <color indexed="9"/>
      </right>
      <top/>
      <bottom style="thin">
        <color indexed="9"/>
      </bottom>
      <diagonal/>
    </border>
    <border>
      <left style="thin">
        <color indexed="9"/>
      </left>
      <right/>
      <top/>
      <bottom/>
      <diagonal/>
    </border>
    <border>
      <left style="thin">
        <color indexed="9"/>
      </left>
      <right style="thin">
        <color indexed="9"/>
      </right>
      <top/>
      <bottom/>
      <diagonal/>
    </border>
    <border>
      <left/>
      <right style="thin">
        <color indexed="9"/>
      </right>
      <top/>
      <bottom/>
      <diagonal/>
    </border>
    <border>
      <left/>
      <right style="medium">
        <color indexed="64"/>
      </right>
      <top/>
      <bottom style="medium">
        <color indexed="64"/>
      </bottom>
      <diagonal/>
    </border>
    <border>
      <left/>
      <right style="double">
        <color indexed="64"/>
      </right>
      <top style="medium">
        <color indexed="64"/>
      </top>
      <bottom style="medium">
        <color indexed="64"/>
      </bottom>
      <diagonal/>
    </border>
    <border>
      <left style="medium">
        <color indexed="64"/>
      </left>
      <right style="medium">
        <color indexed="64"/>
      </right>
      <top style="medium">
        <color indexed="64"/>
      </top>
      <bottom style="medium">
        <color indexed="64"/>
      </bottom>
      <diagonal/>
    </border>
    <border>
      <left style="medium">
        <color indexed="64"/>
      </left>
      <right style="medium">
        <color indexed="64"/>
      </right>
      <top style="medium">
        <color indexed="64"/>
      </top>
      <bottom/>
      <diagonal/>
    </border>
    <border>
      <left/>
      <right/>
      <top/>
      <bottom style="medium">
        <color indexed="64"/>
      </bottom>
      <diagonal/>
    </border>
    <border>
      <left style="medium">
        <color indexed="64"/>
      </left>
      <right/>
      <top/>
      <bottom style="medium">
        <color indexed="64"/>
      </bottom>
      <diagonal/>
    </border>
    <border>
      <left/>
      <right style="thin">
        <color theme="1" tint="0.249977111117893"/>
      </right>
      <top style="medium">
        <color theme="1"/>
      </top>
      <bottom style="thin">
        <color theme="1" tint="0.249977111117893"/>
      </bottom>
      <diagonal/>
    </border>
    <border>
      <left style="thin">
        <color theme="1" tint="0.249977111117893"/>
      </left>
      <right/>
      <top style="medium">
        <color theme="1"/>
      </top>
      <bottom style="thin">
        <color theme="1" tint="0.249977111117893"/>
      </bottom>
      <diagonal/>
    </border>
    <border>
      <left/>
      <right/>
      <top style="medium">
        <color theme="1"/>
      </top>
      <bottom style="thin">
        <color theme="1" tint="0.249977111117893"/>
      </bottom>
      <diagonal/>
    </border>
    <border>
      <left/>
      <right/>
      <top/>
      <bottom style="medium">
        <color rgb="FFFFFFFF"/>
      </bottom>
      <diagonal/>
    </border>
    <border>
      <left/>
      <right/>
      <top/>
      <bottom style="medium">
        <color rgb="FF2575AE"/>
      </bottom>
      <diagonal/>
    </border>
    <border>
      <left/>
      <right/>
      <top/>
      <bottom style="thick">
        <color theme="4"/>
      </bottom>
      <diagonal/>
    </border>
    <border>
      <left style="medium">
        <color theme="0" tint="-4.9989318521683403E-2"/>
      </left>
      <right style="medium">
        <color theme="0" tint="-4.9989318521683403E-2"/>
      </right>
      <top style="medium">
        <color theme="0" tint="-4.9989318521683403E-2"/>
      </top>
      <bottom/>
      <diagonal/>
    </border>
    <border>
      <left style="medium">
        <color theme="0" tint="-4.9989318521683403E-2"/>
      </left>
      <right/>
      <top style="medium">
        <color theme="0" tint="-4.9989318521683403E-2"/>
      </top>
      <bottom style="medium">
        <color theme="0" tint="-4.9989318521683403E-2"/>
      </bottom>
      <diagonal/>
    </border>
    <border>
      <left style="medium">
        <color indexed="64"/>
      </left>
      <right style="medium">
        <color indexed="64"/>
      </right>
      <top/>
      <bottom/>
      <diagonal/>
    </border>
    <border>
      <left/>
      <right style="double">
        <color indexed="64"/>
      </right>
      <top/>
      <bottom style="medium">
        <color indexed="64"/>
      </bottom>
      <diagonal/>
    </border>
    <border>
      <left/>
      <right/>
      <top style="medium">
        <color rgb="FF2575AE"/>
      </top>
      <bottom style="medium">
        <color rgb="FFFFFFFF"/>
      </bottom>
      <diagonal/>
    </border>
    <border>
      <left/>
      <right/>
      <top style="medium">
        <color rgb="FF2575AE"/>
      </top>
      <bottom/>
      <diagonal/>
    </border>
    <border>
      <left style="medium">
        <color rgb="FFFFFFFF"/>
      </left>
      <right/>
      <top style="medium">
        <color rgb="FF2575AE"/>
      </top>
      <bottom/>
      <diagonal/>
    </border>
    <border>
      <left style="medium">
        <color rgb="FFFFFFFF"/>
      </left>
      <right/>
      <top/>
      <bottom style="medium">
        <color rgb="FFFFFFFF"/>
      </bottom>
      <diagonal/>
    </border>
    <border>
      <left style="medium">
        <color rgb="FFFFFFFF"/>
      </left>
      <right/>
      <top/>
      <bottom style="medium">
        <color rgb="FF2575AE"/>
      </bottom>
      <diagonal/>
    </border>
    <border>
      <left/>
      <right/>
      <top/>
      <bottom style="thin">
        <color theme="0"/>
      </bottom>
      <diagonal/>
    </border>
    <border>
      <left/>
      <right/>
      <top/>
      <bottom style="thin">
        <color indexed="9"/>
      </bottom>
      <diagonal/>
    </border>
    <border>
      <left/>
      <right/>
      <top style="thin">
        <color indexed="9"/>
      </top>
      <bottom/>
      <diagonal/>
    </border>
    <border>
      <left/>
      <right style="thin">
        <color indexed="9"/>
      </right>
      <top/>
      <bottom style="thin">
        <color indexed="9"/>
      </bottom>
      <diagonal/>
    </border>
    <border>
      <left style="thin">
        <color indexed="9"/>
      </left>
      <right/>
      <top/>
      <bottom style="thin">
        <color indexed="9"/>
      </bottom>
      <diagonal/>
    </border>
    <border>
      <left/>
      <right style="thin">
        <color indexed="9"/>
      </right>
      <top style="thin">
        <color indexed="9"/>
      </top>
      <bottom/>
      <diagonal/>
    </border>
    <border>
      <left style="thin">
        <color indexed="9"/>
      </left>
      <right/>
      <top style="thin">
        <color indexed="9"/>
      </top>
      <bottom/>
      <diagonal/>
    </border>
    <border>
      <left style="thick">
        <color theme="0" tint="-4.9989318521683403E-2"/>
      </left>
      <right/>
      <top style="thick">
        <color theme="0" tint="-4.9989318521683403E-2"/>
      </top>
      <bottom style="thin">
        <color indexed="64"/>
      </bottom>
      <diagonal/>
    </border>
    <border>
      <left/>
      <right style="thick">
        <color theme="0" tint="-4.9989318521683403E-2"/>
      </right>
      <top style="thick">
        <color theme="0" tint="-4.9989318521683403E-2"/>
      </top>
      <bottom style="thin">
        <color indexed="64"/>
      </bottom>
      <diagonal/>
    </border>
    <border>
      <left/>
      <right/>
      <top/>
      <bottom style="thick">
        <color indexed="45"/>
      </bottom>
      <diagonal/>
    </border>
    <border>
      <left/>
      <right/>
      <top style="thick">
        <color indexed="45"/>
      </top>
      <bottom/>
      <diagonal/>
    </border>
    <border>
      <left style="medium">
        <color indexed="64"/>
      </left>
      <right/>
      <top style="medium">
        <color indexed="64"/>
      </top>
      <bottom style="thick">
        <color indexed="45"/>
      </bottom>
      <diagonal/>
    </border>
    <border>
      <left/>
      <right style="medium">
        <color indexed="64"/>
      </right>
      <top style="medium">
        <color indexed="64"/>
      </top>
      <bottom style="thick">
        <color indexed="45"/>
      </bottom>
      <diagonal/>
    </border>
    <border>
      <left style="medium">
        <color indexed="64"/>
      </left>
      <right/>
      <top style="thick">
        <color indexed="45"/>
      </top>
      <bottom style="medium">
        <color indexed="64"/>
      </bottom>
      <diagonal/>
    </border>
    <border>
      <left/>
      <right style="medium">
        <color indexed="64"/>
      </right>
      <top style="thick">
        <color indexed="45"/>
      </top>
      <bottom style="medium">
        <color indexed="64"/>
      </bottom>
      <diagonal/>
    </border>
    <border>
      <left style="thin">
        <color indexed="9"/>
      </left>
      <right/>
      <top style="thin">
        <color indexed="9"/>
      </top>
      <bottom style="thin">
        <color indexed="9"/>
      </bottom>
      <diagonal/>
    </border>
    <border>
      <left/>
      <right style="thin">
        <color indexed="9"/>
      </right>
      <top style="thin">
        <color indexed="9"/>
      </top>
      <bottom style="thin">
        <color indexed="9"/>
      </bottom>
      <diagonal/>
    </border>
    <border>
      <left/>
      <right style="medium">
        <color theme="0" tint="-4.9989318521683403E-2"/>
      </right>
      <top style="medium">
        <color theme="0" tint="-4.9989318521683403E-2"/>
      </top>
      <bottom/>
      <diagonal/>
    </border>
    <border>
      <left style="medium">
        <color theme="0" tint="-4.9989318521683403E-2"/>
      </left>
      <right/>
      <top style="medium">
        <color theme="0" tint="-4.9989318521683403E-2"/>
      </top>
      <bottom/>
      <diagonal/>
    </border>
    <border>
      <left style="medium">
        <color indexed="64"/>
      </left>
      <right style="thin">
        <color indexed="64"/>
      </right>
      <top style="thin">
        <color indexed="64"/>
      </top>
      <bottom style="thin">
        <color indexed="64"/>
      </bottom>
      <diagonal/>
    </border>
    <border>
      <left style="thin">
        <color theme="0" tint="-0.14996795556505021"/>
      </left>
      <right style="thin">
        <color theme="0" tint="-0.14996795556505021"/>
      </right>
      <top style="thin">
        <color theme="0" tint="-0.14996795556505021"/>
      </top>
      <bottom style="thin">
        <color theme="0" tint="-0.14996795556505021"/>
      </bottom>
      <diagonal/>
    </border>
    <border>
      <left style="thin">
        <color theme="0" tint="-0.14996795556505021"/>
      </left>
      <right/>
      <top style="thin">
        <color theme="0" tint="-0.14996795556505021"/>
      </top>
      <bottom style="thin">
        <color theme="0" tint="-0.14996795556505021"/>
      </bottom>
      <diagonal/>
    </border>
    <border>
      <left/>
      <right/>
      <top style="thin">
        <color theme="0" tint="-0.14996795556505021"/>
      </top>
      <bottom style="thin">
        <color theme="0" tint="-0.14996795556505021"/>
      </bottom>
      <diagonal/>
    </border>
    <border>
      <left/>
      <right style="thin">
        <color theme="0" tint="-0.14996795556505021"/>
      </right>
      <top style="thin">
        <color theme="0" tint="-0.14996795556505021"/>
      </top>
      <bottom style="thin">
        <color theme="0" tint="-0.14996795556505021"/>
      </bottom>
      <diagonal/>
    </border>
    <border>
      <left/>
      <right style="thin">
        <color indexed="45"/>
      </right>
      <top/>
      <bottom/>
      <diagonal/>
    </border>
    <border>
      <left style="thin">
        <color indexed="45"/>
      </left>
      <right style="thin">
        <color indexed="45"/>
      </right>
      <top/>
      <bottom/>
      <diagonal/>
    </border>
    <border>
      <left style="thin">
        <color indexed="45"/>
      </left>
      <right/>
      <top/>
      <bottom/>
      <diagonal/>
    </border>
    <border>
      <left style="thick">
        <color theme="0" tint="-0.14996795556505021"/>
      </left>
      <right/>
      <top style="thick">
        <color theme="0" tint="-0.14996795556505021"/>
      </top>
      <bottom style="thick">
        <color theme="0" tint="-0.14996795556505021"/>
      </bottom>
      <diagonal/>
    </border>
    <border>
      <left/>
      <right/>
      <top style="thick">
        <color theme="0" tint="-0.14996795556505021"/>
      </top>
      <bottom style="thick">
        <color theme="0" tint="-0.14996795556505021"/>
      </bottom>
      <diagonal/>
    </border>
    <border>
      <left/>
      <right style="thick">
        <color theme="0" tint="-0.14996795556505021"/>
      </right>
      <top style="thick">
        <color theme="0" tint="-0.14996795556505021"/>
      </top>
      <bottom style="thick">
        <color theme="0" tint="-0.14996795556505021"/>
      </bottom>
      <diagonal/>
    </border>
    <border>
      <left style="thin">
        <color theme="0"/>
      </left>
      <right style="thin">
        <color theme="0"/>
      </right>
      <top style="thin">
        <color theme="0"/>
      </top>
      <bottom style="thin">
        <color theme="0"/>
      </bottom>
      <diagonal/>
    </border>
    <border>
      <left style="thin">
        <color theme="0"/>
      </left>
      <right style="thin">
        <color indexed="64"/>
      </right>
      <top style="thin">
        <color theme="0"/>
      </top>
      <bottom style="thin">
        <color theme="0"/>
      </bottom>
      <diagonal/>
    </border>
    <border>
      <left style="thin">
        <color indexed="64"/>
      </left>
      <right style="thin">
        <color indexed="64"/>
      </right>
      <top style="thin">
        <color theme="0"/>
      </top>
      <bottom style="thin">
        <color theme="0"/>
      </bottom>
      <diagonal/>
    </border>
    <border>
      <left style="thin">
        <color indexed="64"/>
      </left>
      <right style="thin">
        <color theme="0"/>
      </right>
      <top style="thin">
        <color theme="0"/>
      </top>
      <bottom style="thin">
        <color theme="0"/>
      </bottom>
      <diagonal/>
    </border>
    <border>
      <left style="thin">
        <color theme="0"/>
      </left>
      <right/>
      <top style="thin">
        <color theme="0"/>
      </top>
      <bottom style="thin">
        <color theme="0"/>
      </bottom>
      <diagonal/>
    </border>
    <border>
      <left/>
      <right style="thin">
        <color theme="0"/>
      </right>
      <top style="thin">
        <color theme="0"/>
      </top>
      <bottom style="thin">
        <color theme="0"/>
      </bottom>
      <diagonal/>
    </border>
    <border>
      <left style="medium">
        <color indexed="64"/>
      </left>
      <right/>
      <top style="medium">
        <color indexed="64"/>
      </top>
      <bottom style="medium">
        <color theme="1"/>
      </bottom>
      <diagonal/>
    </border>
    <border>
      <left/>
      <right/>
      <top style="medium">
        <color indexed="64"/>
      </top>
      <bottom style="medium">
        <color theme="1"/>
      </bottom>
      <diagonal/>
    </border>
    <border>
      <left/>
      <right style="medium">
        <color indexed="64"/>
      </right>
      <top style="medium">
        <color indexed="64"/>
      </top>
      <bottom style="medium">
        <color theme="1"/>
      </bottom>
      <diagonal/>
    </border>
    <border>
      <left style="medium">
        <color indexed="64"/>
      </left>
      <right/>
      <top style="medium">
        <color theme="1"/>
      </top>
      <bottom style="thin">
        <color theme="1" tint="0.249977111117893"/>
      </bottom>
      <diagonal/>
    </border>
    <border>
      <left style="thin">
        <color theme="1" tint="0.249977111117893"/>
      </left>
      <right style="medium">
        <color indexed="64"/>
      </right>
      <top style="medium">
        <color theme="1"/>
      </top>
      <bottom style="thin">
        <color theme="1" tint="0.249977111117893"/>
      </bottom>
      <diagonal/>
    </border>
    <border>
      <left style="medium">
        <color indexed="64"/>
      </left>
      <right/>
      <top style="thin">
        <color theme="1" tint="0.249977111117893"/>
      </top>
      <bottom/>
      <diagonal/>
    </border>
    <border>
      <left/>
      <right style="medium">
        <color indexed="64"/>
      </right>
      <top style="thin">
        <color theme="1" tint="0.249977111117893"/>
      </top>
      <bottom/>
      <diagonal/>
    </border>
    <border>
      <left style="medium">
        <color indexed="64"/>
      </left>
      <right/>
      <top/>
      <bottom/>
      <diagonal/>
    </border>
    <border>
      <left style="medium">
        <color indexed="64"/>
      </left>
      <right/>
      <top style="thin">
        <color indexed="64"/>
      </top>
      <bottom style="thin">
        <color indexed="64"/>
      </bottom>
      <diagonal/>
    </border>
    <border>
      <left/>
      <right style="medium">
        <color indexed="64"/>
      </right>
      <top style="thin">
        <color indexed="64"/>
      </top>
      <bottom style="thin">
        <color indexed="64"/>
      </bottom>
      <diagonal/>
    </border>
    <border>
      <left style="medium">
        <color indexed="64"/>
      </left>
      <right/>
      <top/>
      <bottom style="thin">
        <color theme="1" tint="0.249977111117893"/>
      </bottom>
      <diagonal/>
    </border>
    <border>
      <left/>
      <right style="medium">
        <color indexed="64"/>
      </right>
      <top/>
      <bottom style="thin">
        <color theme="1" tint="0.249977111117893"/>
      </bottom>
      <diagonal/>
    </border>
    <border>
      <left/>
      <right style="medium">
        <color indexed="64"/>
      </right>
      <top style="thin">
        <color theme="1" tint="0.249977111117893"/>
      </top>
      <bottom style="thin">
        <color theme="1" tint="0.249977111117893"/>
      </bottom>
      <diagonal/>
    </border>
    <border>
      <left style="medium">
        <color indexed="64"/>
      </left>
      <right style="thin">
        <color theme="1" tint="0.249977111117893"/>
      </right>
      <top style="thin">
        <color theme="1" tint="0.249977111117893"/>
      </top>
      <bottom style="thin">
        <color theme="1" tint="0.249977111117893"/>
      </bottom>
      <diagonal/>
    </border>
    <border>
      <left style="medium">
        <color indexed="64"/>
      </left>
      <right/>
      <top style="thin">
        <color theme="1" tint="0.249977111117893"/>
      </top>
      <bottom style="thin">
        <color theme="1" tint="0.249977111117893"/>
      </bottom>
      <diagonal/>
    </border>
    <border>
      <left style="thin">
        <color theme="1" tint="0.249977111117893"/>
      </left>
      <right style="medium">
        <color indexed="64"/>
      </right>
      <top style="thin">
        <color theme="1" tint="0.249977111117893"/>
      </top>
      <bottom style="thin">
        <color indexed="64"/>
      </bottom>
      <diagonal/>
    </border>
    <border>
      <left style="thin">
        <color theme="1" tint="0.249977111117893"/>
      </left>
      <right style="medium">
        <color indexed="64"/>
      </right>
      <top style="thin">
        <color theme="1" tint="0.249977111117893"/>
      </top>
      <bottom/>
      <diagonal/>
    </border>
    <border>
      <left style="medium">
        <color indexed="64"/>
      </left>
      <right style="thin">
        <color theme="1" tint="0.249977111117893"/>
      </right>
      <top/>
      <bottom style="thin">
        <color theme="1" tint="0.249977111117893"/>
      </bottom>
      <diagonal/>
    </border>
    <border>
      <left style="medium">
        <color indexed="64"/>
      </left>
      <right style="thin">
        <color theme="1" tint="0.249977111117893"/>
      </right>
      <top style="thin">
        <color theme="1" tint="0.249977111117893"/>
      </top>
      <bottom style="medium">
        <color indexed="64"/>
      </bottom>
      <diagonal/>
    </border>
    <border>
      <left style="thin">
        <color theme="1" tint="0.249977111117893"/>
      </left>
      <right style="thin">
        <color theme="1" tint="0.249977111117893"/>
      </right>
      <top style="thin">
        <color theme="1" tint="0.249977111117893"/>
      </top>
      <bottom style="medium">
        <color indexed="64"/>
      </bottom>
      <diagonal/>
    </border>
    <border>
      <left style="thin">
        <color theme="1" tint="0.249977111117893"/>
      </left>
      <right style="medium">
        <color indexed="64"/>
      </right>
      <top/>
      <bottom style="medium">
        <color indexed="64"/>
      </bottom>
      <diagonal/>
    </border>
    <border>
      <left style="thin">
        <color theme="0" tint="-0.249977111117893"/>
      </left>
      <right style="thin">
        <color theme="0" tint="-0.249977111117893"/>
      </right>
      <top style="thin">
        <color theme="0" tint="-0.249977111117893"/>
      </top>
      <bottom style="thin">
        <color theme="0" tint="-0.249977111117893"/>
      </bottom>
      <diagonal/>
    </border>
    <border>
      <left style="thin">
        <color theme="0" tint="-0.249977111117893"/>
      </left>
      <right/>
      <top style="thin">
        <color theme="0" tint="-0.249977111117893"/>
      </top>
      <bottom style="thin">
        <color theme="0" tint="-0.249977111117893"/>
      </bottom>
      <diagonal/>
    </border>
    <border>
      <left/>
      <right style="thin">
        <color theme="0" tint="-0.249977111117893"/>
      </right>
      <top style="thin">
        <color theme="0" tint="-0.249977111117893"/>
      </top>
      <bottom style="thin">
        <color theme="0" tint="-0.249977111117893"/>
      </bottom>
      <diagonal/>
    </border>
    <border>
      <left style="thin">
        <color theme="1" tint="0.249977111117893"/>
      </left>
      <right style="medium">
        <color indexed="64"/>
      </right>
      <top/>
      <bottom style="thin">
        <color theme="1" tint="0.249977111117893"/>
      </bottom>
      <diagonal/>
    </border>
    <border>
      <left style="thin">
        <color indexed="9"/>
      </left>
      <right style="thin">
        <color theme="0"/>
      </right>
      <top/>
      <bottom style="thin">
        <color indexed="9"/>
      </bottom>
      <diagonal/>
    </border>
    <border>
      <left style="thin">
        <color indexed="9"/>
      </left>
      <right style="thin">
        <color theme="0"/>
      </right>
      <top style="thin">
        <color indexed="9"/>
      </top>
      <bottom style="thin">
        <color indexed="9"/>
      </bottom>
      <diagonal/>
    </border>
    <border>
      <left/>
      <right/>
      <top style="medium">
        <color rgb="FFFFFFFF"/>
      </top>
      <bottom style="medium">
        <color rgb="FF2575AE"/>
      </bottom>
      <diagonal/>
    </border>
    <border>
      <left/>
      <right/>
      <top style="medium">
        <color rgb="FF2575AE"/>
      </top>
      <bottom style="medium">
        <color rgb="FF2575AE"/>
      </bottom>
      <diagonal/>
    </border>
  </borders>
  <cellStyleXfs count="98">
    <xf numFmtId="0" fontId="0" fillId="0" borderId="0"/>
    <xf numFmtId="0" fontId="22" fillId="0" borderId="0" applyNumberFormat="0" applyFill="0" applyBorder="0" applyAlignment="0" applyProtection="0"/>
    <xf numFmtId="0" fontId="23" fillId="0" borderId="0" applyNumberFormat="0" applyFill="0" applyBorder="0" applyAlignment="0" applyProtection="0"/>
    <xf numFmtId="0" fontId="22" fillId="0" borderId="0" applyNumberFormat="0" applyFill="0" applyBorder="0" applyAlignment="0" applyProtection="0"/>
    <xf numFmtId="0" fontId="23" fillId="0" borderId="0" applyNumberFormat="0" applyFill="0" applyBorder="0" applyAlignment="0" applyProtection="0"/>
    <xf numFmtId="0" fontId="22" fillId="0" borderId="0" applyNumberFormat="0" applyFill="0" applyBorder="0" applyAlignment="0" applyProtection="0"/>
    <xf numFmtId="0" fontId="23" fillId="0" borderId="0" applyNumberFormat="0" applyFill="0" applyBorder="0" applyAlignment="0" applyProtection="0"/>
    <xf numFmtId="0" fontId="22" fillId="0" borderId="0" applyNumberFormat="0" applyFill="0" applyBorder="0" applyAlignment="0" applyProtection="0"/>
    <xf numFmtId="0" fontId="23" fillId="0" borderId="0" applyNumberFormat="0" applyFill="0" applyBorder="0" applyAlignment="0" applyProtection="0"/>
    <xf numFmtId="0" fontId="22" fillId="0" borderId="0" applyNumberFormat="0" applyFill="0" applyBorder="0" applyAlignment="0" applyProtection="0"/>
    <xf numFmtId="0" fontId="23" fillId="0" borderId="0" applyNumberFormat="0" applyFill="0" applyBorder="0" applyAlignment="0" applyProtection="0"/>
    <xf numFmtId="0" fontId="22" fillId="0" borderId="0" applyNumberFormat="0" applyFill="0" applyBorder="0" applyAlignment="0" applyProtection="0"/>
    <xf numFmtId="0" fontId="23" fillId="0" borderId="0" applyNumberFormat="0" applyFill="0" applyBorder="0" applyAlignment="0" applyProtection="0"/>
    <xf numFmtId="0" fontId="22" fillId="0" borderId="0" applyNumberFormat="0" applyFill="0" applyBorder="0" applyAlignment="0" applyProtection="0"/>
    <xf numFmtId="0" fontId="23" fillId="0" borderId="0" applyNumberFormat="0" applyFill="0" applyBorder="0" applyAlignment="0" applyProtection="0"/>
    <xf numFmtId="0" fontId="22" fillId="0" borderId="0" applyNumberFormat="0" applyFill="0" applyBorder="0" applyAlignment="0" applyProtection="0"/>
    <xf numFmtId="0" fontId="23" fillId="0" borderId="0" applyNumberFormat="0" applyFill="0" applyBorder="0" applyAlignment="0" applyProtection="0"/>
    <xf numFmtId="0" fontId="22" fillId="0" borderId="0" applyNumberFormat="0" applyFill="0" applyBorder="0" applyAlignment="0" applyProtection="0"/>
    <xf numFmtId="0" fontId="23" fillId="0" borderId="0" applyNumberFormat="0" applyFill="0" applyBorder="0" applyAlignment="0" applyProtection="0"/>
    <xf numFmtId="0" fontId="22" fillId="0" borderId="0" applyNumberFormat="0" applyFill="0" applyBorder="0" applyAlignment="0" applyProtection="0"/>
    <xf numFmtId="0" fontId="23" fillId="0" borderId="0" applyNumberFormat="0" applyFill="0" applyBorder="0" applyAlignment="0" applyProtection="0"/>
    <xf numFmtId="0" fontId="22" fillId="0" borderId="0" applyNumberFormat="0" applyFill="0" applyBorder="0" applyAlignment="0" applyProtection="0"/>
    <xf numFmtId="0" fontId="23" fillId="0" borderId="0" applyNumberFormat="0" applyFill="0" applyBorder="0" applyAlignment="0" applyProtection="0"/>
    <xf numFmtId="0" fontId="22" fillId="0" borderId="0" applyNumberFormat="0" applyFill="0" applyBorder="0" applyAlignment="0" applyProtection="0"/>
    <xf numFmtId="0" fontId="23" fillId="0" borderId="0" applyNumberFormat="0" applyFill="0" applyBorder="0" applyAlignment="0" applyProtection="0"/>
    <xf numFmtId="0" fontId="22" fillId="0" borderId="0" applyNumberFormat="0" applyFill="0" applyBorder="0" applyAlignment="0" applyProtection="0"/>
    <xf numFmtId="0" fontId="23" fillId="0" borderId="0" applyNumberFormat="0" applyFill="0" applyBorder="0" applyAlignment="0" applyProtection="0"/>
    <xf numFmtId="0" fontId="22" fillId="0" borderId="0" applyNumberFormat="0" applyFill="0" applyBorder="0" applyAlignment="0" applyProtection="0"/>
    <xf numFmtId="0" fontId="23" fillId="0" borderId="0" applyNumberFormat="0" applyFill="0" applyBorder="0" applyAlignment="0" applyProtection="0"/>
    <xf numFmtId="0" fontId="22" fillId="0" borderId="0" applyNumberFormat="0" applyFill="0" applyBorder="0" applyAlignment="0" applyProtection="0"/>
    <xf numFmtId="0" fontId="23" fillId="0" borderId="0" applyNumberFormat="0" applyFill="0" applyBorder="0" applyAlignment="0" applyProtection="0"/>
    <xf numFmtId="0" fontId="22" fillId="0" borderId="0" applyNumberFormat="0" applyFill="0" applyBorder="0" applyAlignment="0" applyProtection="0"/>
    <xf numFmtId="0" fontId="23" fillId="0" borderId="0" applyNumberFormat="0" applyFill="0" applyBorder="0" applyAlignment="0" applyProtection="0"/>
    <xf numFmtId="0" fontId="22" fillId="0" borderId="0" applyNumberFormat="0" applyFill="0" applyBorder="0" applyAlignment="0" applyProtection="0"/>
    <xf numFmtId="0" fontId="23" fillId="0" borderId="0" applyNumberFormat="0" applyFill="0" applyBorder="0" applyAlignment="0" applyProtection="0"/>
    <xf numFmtId="0" fontId="22" fillId="0" borderId="0" applyNumberFormat="0" applyFill="0" applyBorder="0" applyAlignment="0" applyProtection="0"/>
    <xf numFmtId="0" fontId="23" fillId="0" borderId="0" applyNumberFormat="0" applyFill="0" applyBorder="0" applyAlignment="0" applyProtection="0"/>
    <xf numFmtId="0" fontId="22" fillId="0" borderId="0" applyNumberFormat="0" applyFill="0" applyBorder="0" applyAlignment="0" applyProtection="0"/>
    <xf numFmtId="0" fontId="23" fillId="0" borderId="0" applyNumberFormat="0" applyFill="0" applyBorder="0" applyAlignment="0" applyProtection="0"/>
    <xf numFmtId="0" fontId="22" fillId="0" borderId="0" applyNumberFormat="0" applyFill="0" applyBorder="0" applyAlignment="0" applyProtection="0"/>
    <xf numFmtId="0" fontId="23" fillId="0" borderId="0" applyNumberFormat="0" applyFill="0" applyBorder="0" applyAlignment="0" applyProtection="0"/>
    <xf numFmtId="0" fontId="22" fillId="0" borderId="0" applyNumberFormat="0" applyFill="0" applyBorder="0" applyAlignment="0" applyProtection="0"/>
    <xf numFmtId="0" fontId="23" fillId="0" borderId="0" applyNumberFormat="0" applyFill="0" applyBorder="0" applyAlignment="0" applyProtection="0"/>
    <xf numFmtId="0" fontId="22" fillId="0" borderId="0" applyNumberFormat="0" applyFill="0" applyBorder="0" applyAlignment="0" applyProtection="0"/>
    <xf numFmtId="0" fontId="23" fillId="0" borderId="0" applyNumberFormat="0" applyFill="0" applyBorder="0" applyAlignment="0" applyProtection="0"/>
    <xf numFmtId="0" fontId="22" fillId="0" borderId="0" applyNumberFormat="0" applyFill="0" applyBorder="0" applyAlignment="0" applyProtection="0"/>
    <xf numFmtId="0" fontId="23" fillId="0" borderId="0" applyNumberFormat="0" applyFill="0" applyBorder="0" applyAlignment="0" applyProtection="0"/>
    <xf numFmtId="0" fontId="22" fillId="0" borderId="0" applyNumberFormat="0" applyFill="0" applyBorder="0" applyAlignment="0" applyProtection="0"/>
    <xf numFmtId="0" fontId="23" fillId="0" borderId="0" applyNumberFormat="0" applyFill="0" applyBorder="0" applyAlignment="0" applyProtection="0"/>
    <xf numFmtId="0" fontId="22" fillId="0" borderId="0" applyNumberFormat="0" applyFill="0" applyBorder="0" applyAlignment="0" applyProtection="0"/>
    <xf numFmtId="0" fontId="23" fillId="0" borderId="0" applyNumberFormat="0" applyFill="0" applyBorder="0" applyAlignment="0" applyProtection="0"/>
    <xf numFmtId="0" fontId="22" fillId="0" borderId="0" applyNumberFormat="0" applyFill="0" applyBorder="0" applyAlignment="0" applyProtection="0"/>
    <xf numFmtId="0" fontId="23" fillId="0" borderId="0" applyNumberFormat="0" applyFill="0" applyBorder="0" applyAlignment="0" applyProtection="0"/>
    <xf numFmtId="0" fontId="22" fillId="0" borderId="0" applyNumberFormat="0" applyFill="0" applyBorder="0" applyAlignment="0" applyProtection="0"/>
    <xf numFmtId="0" fontId="23" fillId="0" borderId="0" applyNumberFormat="0" applyFill="0" applyBorder="0" applyAlignment="0" applyProtection="0"/>
    <xf numFmtId="0" fontId="22" fillId="0" borderId="0" applyNumberFormat="0" applyFill="0" applyBorder="0" applyAlignment="0" applyProtection="0"/>
    <xf numFmtId="0" fontId="23" fillId="0" borderId="0" applyNumberFormat="0" applyFill="0" applyBorder="0" applyAlignment="0" applyProtection="0"/>
    <xf numFmtId="0" fontId="22" fillId="0" borderId="0" applyNumberFormat="0" applyFill="0" applyBorder="0" applyAlignment="0" applyProtection="0"/>
    <xf numFmtId="0" fontId="23" fillId="0" borderId="0" applyNumberFormat="0" applyFill="0" applyBorder="0" applyAlignment="0" applyProtection="0"/>
    <xf numFmtId="0" fontId="22" fillId="0" borderId="0" applyNumberFormat="0" applyFill="0" applyBorder="0" applyAlignment="0" applyProtection="0"/>
    <xf numFmtId="0" fontId="23" fillId="0" borderId="0" applyNumberFormat="0" applyFill="0" applyBorder="0" applyAlignment="0" applyProtection="0"/>
    <xf numFmtId="0" fontId="22" fillId="0" borderId="0" applyNumberFormat="0" applyFill="0" applyBorder="0" applyAlignment="0" applyProtection="0"/>
    <xf numFmtId="0" fontId="23" fillId="0" borderId="0" applyNumberFormat="0" applyFill="0" applyBorder="0" applyAlignment="0" applyProtection="0"/>
    <xf numFmtId="0" fontId="22" fillId="0" borderId="0" applyNumberFormat="0" applyFill="0" applyBorder="0" applyAlignment="0" applyProtection="0"/>
    <xf numFmtId="0" fontId="23" fillId="0" borderId="0" applyNumberFormat="0" applyFill="0" applyBorder="0" applyAlignment="0" applyProtection="0"/>
    <xf numFmtId="0" fontId="22" fillId="0" borderId="0" applyNumberFormat="0" applyFill="0" applyBorder="0" applyAlignment="0" applyProtection="0"/>
    <xf numFmtId="0" fontId="23" fillId="0" borderId="0" applyNumberFormat="0" applyFill="0" applyBorder="0" applyAlignment="0" applyProtection="0"/>
    <xf numFmtId="0" fontId="22" fillId="0" borderId="0" applyNumberFormat="0" applyFill="0" applyBorder="0" applyAlignment="0" applyProtection="0"/>
    <xf numFmtId="0" fontId="23" fillId="0" borderId="0" applyNumberFormat="0" applyFill="0" applyBorder="0" applyAlignment="0" applyProtection="0"/>
    <xf numFmtId="0" fontId="22" fillId="0" borderId="0" applyNumberFormat="0" applyFill="0" applyBorder="0" applyAlignment="0" applyProtection="0"/>
    <xf numFmtId="0" fontId="23" fillId="0" borderId="0" applyNumberFormat="0" applyFill="0" applyBorder="0" applyAlignment="0" applyProtection="0"/>
    <xf numFmtId="0" fontId="22" fillId="0" borderId="0" applyNumberFormat="0" applyFill="0" applyBorder="0" applyAlignment="0" applyProtection="0"/>
    <xf numFmtId="0" fontId="23" fillId="0" borderId="0" applyNumberFormat="0" applyFill="0" applyBorder="0" applyAlignment="0" applyProtection="0"/>
    <xf numFmtId="0" fontId="22" fillId="0" borderId="0" applyNumberFormat="0" applyFill="0" applyBorder="0" applyAlignment="0" applyProtection="0"/>
    <xf numFmtId="0" fontId="23" fillId="0" borderId="0" applyNumberFormat="0" applyFill="0" applyBorder="0" applyAlignment="0" applyProtection="0"/>
    <xf numFmtId="0" fontId="22" fillId="0" borderId="0" applyNumberFormat="0" applyFill="0" applyBorder="0" applyAlignment="0" applyProtection="0"/>
    <xf numFmtId="0" fontId="23" fillId="0" borderId="0" applyNumberFormat="0" applyFill="0" applyBorder="0" applyAlignment="0" applyProtection="0"/>
    <xf numFmtId="0" fontId="22" fillId="0" borderId="0" applyNumberFormat="0" applyFill="0" applyBorder="0" applyAlignment="0" applyProtection="0"/>
    <xf numFmtId="0" fontId="23" fillId="0" borderId="0" applyNumberFormat="0" applyFill="0" applyBorder="0" applyAlignment="0" applyProtection="0"/>
    <xf numFmtId="0" fontId="22" fillId="0" borderId="0" applyNumberFormat="0" applyFill="0" applyBorder="0" applyAlignment="0" applyProtection="0"/>
    <xf numFmtId="0" fontId="23" fillId="0" borderId="0" applyNumberFormat="0" applyFill="0" applyBorder="0" applyAlignment="0" applyProtection="0"/>
    <xf numFmtId="0" fontId="43" fillId="0" borderId="0"/>
    <xf numFmtId="9" fontId="38" fillId="0" borderId="0" applyFont="0" applyFill="0" applyBorder="0" applyAlignment="0" applyProtection="0"/>
    <xf numFmtId="0" fontId="46" fillId="0" borderId="0"/>
    <xf numFmtId="0" fontId="38" fillId="0" borderId="0"/>
    <xf numFmtId="44" fontId="46" fillId="0" borderId="0" applyFont="0" applyFill="0" applyBorder="0" applyAlignment="0" applyProtection="0"/>
    <xf numFmtId="0" fontId="47" fillId="0" borderId="0">
      <alignment vertical="top"/>
    </xf>
    <xf numFmtId="43" fontId="46" fillId="0" borderId="0" applyFont="0" applyFill="0" applyBorder="0" applyAlignment="0" applyProtection="0"/>
    <xf numFmtId="9" fontId="46" fillId="0" borderId="0" applyFont="0" applyFill="0" applyBorder="0" applyAlignment="0" applyProtection="0"/>
    <xf numFmtId="0" fontId="59" fillId="0" borderId="0" applyNumberFormat="0" applyFill="0" applyBorder="0" applyAlignment="0" applyProtection="0">
      <alignment vertical="top"/>
      <protection locked="0"/>
    </xf>
    <xf numFmtId="0" fontId="63" fillId="12" borderId="37">
      <alignment vertical="center"/>
    </xf>
    <xf numFmtId="0" fontId="86" fillId="0" borderId="0"/>
    <xf numFmtId="0" fontId="2" fillId="0" borderId="0"/>
    <xf numFmtId="0" fontId="46" fillId="0" borderId="0"/>
    <xf numFmtId="0" fontId="94" fillId="0" borderId="0" applyNumberFormat="0" applyFill="0" applyBorder="0" applyAlignment="0" applyProtection="0"/>
    <xf numFmtId="44" fontId="38" fillId="0" borderId="0" applyFont="0" applyFill="0" applyBorder="0" applyAlignment="0" applyProtection="0"/>
    <xf numFmtId="0" fontId="99" fillId="0" borderId="56" applyNumberFormat="0" applyFill="0" applyAlignment="0" applyProtection="0"/>
    <xf numFmtId="0" fontId="1" fillId="0" borderId="0"/>
  </cellStyleXfs>
  <cellXfs count="687">
    <xf numFmtId="0" fontId="0" fillId="0" borderId="0" xfId="0"/>
    <xf numFmtId="0" fontId="9" fillId="0" borderId="0" xfId="0" applyFont="1"/>
    <xf numFmtId="0" fontId="9" fillId="0" borderId="0" xfId="0" applyFont="1" applyAlignment="1">
      <alignment vertical="center"/>
    </xf>
    <xf numFmtId="0" fontId="0" fillId="0" borderId="0" xfId="0" applyAlignment="1">
      <alignment vertical="center"/>
    </xf>
    <xf numFmtId="0" fontId="13" fillId="0" borderId="0" xfId="0" applyFont="1"/>
    <xf numFmtId="0" fontId="12" fillId="0" borderId="5" xfId="0" applyFont="1" applyBorder="1"/>
    <xf numFmtId="0" fontId="14" fillId="0" borderId="0" xfId="0" applyFont="1"/>
    <xf numFmtId="0" fontId="13" fillId="0" borderId="0" xfId="0" applyFont="1" applyAlignment="1">
      <alignment vertical="top"/>
    </xf>
    <xf numFmtId="0" fontId="14" fillId="0" borderId="0" xfId="0" applyFont="1" applyAlignment="1">
      <alignment vertical="top"/>
    </xf>
    <xf numFmtId="0" fontId="15" fillId="0" borderId="0" xfId="0" applyFont="1"/>
    <xf numFmtId="0" fontId="21" fillId="3" borderId="15" xfId="0" applyFont="1" applyFill="1" applyBorder="1"/>
    <xf numFmtId="0" fontId="21" fillId="3" borderId="16" xfId="0" applyFont="1" applyFill="1" applyBorder="1"/>
    <xf numFmtId="0" fontId="13" fillId="0" borderId="0" xfId="0" applyFont="1" applyAlignment="1">
      <alignment wrapText="1"/>
    </xf>
    <xf numFmtId="0" fontId="15" fillId="0" borderId="5" xfId="0" applyFont="1" applyBorder="1" applyAlignment="1">
      <alignment wrapText="1"/>
    </xf>
    <xf numFmtId="0" fontId="10" fillId="0" borderId="0" xfId="0" applyFont="1" applyAlignment="1">
      <alignment vertical="center"/>
    </xf>
    <xf numFmtId="0" fontId="38" fillId="3" borderId="16" xfId="0" applyFont="1" applyFill="1" applyBorder="1"/>
    <xf numFmtId="0" fontId="12" fillId="0" borderId="0" xfId="0" applyFont="1"/>
    <xf numFmtId="0" fontId="15" fillId="0" borderId="5" xfId="0" applyFont="1" applyBorder="1" applyAlignment="1">
      <alignment horizontal="center" wrapText="1"/>
    </xf>
    <xf numFmtId="0" fontId="0" fillId="3" borderId="15" xfId="0" applyFill="1" applyBorder="1"/>
    <xf numFmtId="0" fontId="0" fillId="3" borderId="16" xfId="0" applyFill="1" applyBorder="1"/>
    <xf numFmtId="0" fontId="0" fillId="4" borderId="15" xfId="0" applyFill="1" applyBorder="1"/>
    <xf numFmtId="0" fontId="19" fillId="0" borderId="8" xfId="0" applyFont="1" applyBorder="1"/>
    <xf numFmtId="0" fontId="24" fillId="0" borderId="8" xfId="0" applyFont="1" applyBorder="1"/>
    <xf numFmtId="0" fontId="24" fillId="0" borderId="10" xfId="0" applyFont="1" applyBorder="1"/>
    <xf numFmtId="0" fontId="46" fillId="0" borderId="0" xfId="83"/>
    <xf numFmtId="0" fontId="46" fillId="6" borderId="0" xfId="83" applyFill="1" applyProtection="1">
      <protection locked="0"/>
    </xf>
    <xf numFmtId="3" fontId="48" fillId="5" borderId="0" xfId="86" applyNumberFormat="1" applyFont="1" applyFill="1" applyAlignment="1">
      <alignment horizontal="left" vertical="top"/>
    </xf>
    <xf numFmtId="0" fontId="48" fillId="5" borderId="0" xfId="86" applyFont="1" applyFill="1">
      <alignment vertical="top"/>
    </xf>
    <xf numFmtId="0" fontId="49" fillId="7" borderId="26" xfId="83" applyFont="1" applyFill="1" applyBorder="1"/>
    <xf numFmtId="2" fontId="50" fillId="7" borderId="26" xfId="83" applyNumberFormat="1" applyFont="1" applyFill="1" applyBorder="1" applyAlignment="1">
      <alignment horizontal="right" vertical="center"/>
    </xf>
    <xf numFmtId="0" fontId="46" fillId="5" borderId="0" xfId="83" applyFill="1" applyAlignment="1">
      <alignment wrapText="1"/>
    </xf>
    <xf numFmtId="2" fontId="48" fillId="5" borderId="0" xfId="86" applyNumberFormat="1" applyFont="1" applyFill="1" applyAlignment="1">
      <alignment horizontal="left" vertical="top"/>
    </xf>
    <xf numFmtId="3" fontId="50" fillId="7" borderId="26" xfId="83" applyNumberFormat="1" applyFont="1" applyFill="1" applyBorder="1" applyAlignment="1">
      <alignment horizontal="right" vertical="center"/>
    </xf>
    <xf numFmtId="0" fontId="51" fillId="6" borderId="0" xfId="83" applyFont="1" applyFill="1" applyAlignment="1" applyProtection="1">
      <alignment horizontal="left" vertical="center"/>
      <protection locked="0"/>
    </xf>
    <xf numFmtId="0" fontId="46" fillId="6" borderId="0" xfId="83" applyFill="1"/>
    <xf numFmtId="0" fontId="50" fillId="6" borderId="0" xfId="83" applyFont="1" applyFill="1" applyAlignment="1">
      <alignment horizontal="left" vertical="center"/>
    </xf>
    <xf numFmtId="168" fontId="48" fillId="5" borderId="0" xfId="86" applyNumberFormat="1" applyFont="1" applyFill="1" applyAlignment="1">
      <alignment horizontal="left" vertical="top"/>
    </xf>
    <xf numFmtId="168" fontId="50" fillId="7" borderId="26" xfId="83" applyNumberFormat="1" applyFont="1" applyFill="1" applyBorder="1" applyAlignment="1">
      <alignment horizontal="right" vertical="center"/>
    </xf>
    <xf numFmtId="0" fontId="50" fillId="7" borderId="26" xfId="83" applyFont="1" applyFill="1" applyBorder="1" applyAlignment="1">
      <alignment horizontal="right" vertical="center"/>
    </xf>
    <xf numFmtId="0" fontId="48" fillId="5" borderId="0" xfId="86" applyFont="1" applyFill="1" applyAlignment="1">
      <alignment horizontal="left" vertical="top"/>
    </xf>
    <xf numFmtId="49" fontId="48" fillId="5" borderId="0" xfId="86" applyNumberFormat="1" applyFont="1" applyFill="1" applyAlignment="1">
      <alignment horizontal="left" vertical="top"/>
    </xf>
    <xf numFmtId="1" fontId="48" fillId="5" borderId="0" xfId="86" applyNumberFormat="1" applyFont="1" applyFill="1" applyAlignment="1">
      <alignment horizontal="left" vertical="top"/>
    </xf>
    <xf numFmtId="1" fontId="50" fillId="7" borderId="26" xfId="83" applyNumberFormat="1" applyFont="1" applyFill="1" applyBorder="1" applyAlignment="1">
      <alignment horizontal="right" vertical="center"/>
    </xf>
    <xf numFmtId="0" fontId="50" fillId="7" borderId="26" xfId="83" applyFont="1" applyFill="1" applyBorder="1" applyAlignment="1">
      <alignment horizontal="left" vertical="center"/>
    </xf>
    <xf numFmtId="4" fontId="46" fillId="5" borderId="0" xfId="83" applyNumberFormat="1" applyFill="1" applyAlignment="1">
      <alignment horizontal="left"/>
    </xf>
    <xf numFmtId="0" fontId="46" fillId="5" borderId="0" xfId="83" applyFill="1"/>
    <xf numFmtId="170" fontId="48" fillId="5" borderId="0" xfId="86" applyNumberFormat="1" applyFont="1" applyFill="1" applyAlignment="1">
      <alignment horizontal="left" vertical="top"/>
    </xf>
    <xf numFmtId="0" fontId="56" fillId="6" borderId="0" xfId="83" applyFont="1" applyFill="1"/>
    <xf numFmtId="0" fontId="57" fillId="5" borderId="0" xfId="86" applyFont="1" applyFill="1" applyAlignment="1">
      <alignment horizontal="left" vertical="top"/>
    </xf>
    <xf numFmtId="0" fontId="57" fillId="5" borderId="0" xfId="86" applyFont="1" applyFill="1">
      <alignment vertical="top"/>
    </xf>
    <xf numFmtId="0" fontId="58" fillId="7" borderId="0" xfId="83" applyFont="1" applyFill="1"/>
    <xf numFmtId="0" fontId="58" fillId="0" borderId="0" xfId="83" applyFont="1"/>
    <xf numFmtId="0" fontId="58" fillId="8" borderId="0" xfId="83" applyFont="1" applyFill="1"/>
    <xf numFmtId="0" fontId="58" fillId="7" borderId="0" xfId="83" applyFont="1" applyFill="1" applyAlignment="1">
      <alignment vertical="center"/>
    </xf>
    <xf numFmtId="0" fontId="60" fillId="16" borderId="31" xfId="83" applyFont="1" applyFill="1" applyBorder="1"/>
    <xf numFmtId="0" fontId="58" fillId="13" borderId="0" xfId="83" applyFont="1" applyFill="1"/>
    <xf numFmtId="0" fontId="58" fillId="13" borderId="0" xfId="83" applyFont="1" applyFill="1" applyAlignment="1">
      <alignment horizontal="center"/>
    </xf>
    <xf numFmtId="0" fontId="63" fillId="13" borderId="0" xfId="83" applyFont="1" applyFill="1"/>
    <xf numFmtId="0" fontId="63" fillId="13" borderId="0" xfId="83" applyFont="1" applyFill="1" applyAlignment="1">
      <alignment horizontal="center"/>
    </xf>
    <xf numFmtId="0" fontId="63" fillId="13" borderId="0" xfId="83" applyFont="1" applyFill="1" applyAlignment="1">
      <alignment vertical="center"/>
    </xf>
    <xf numFmtId="0" fontId="72" fillId="13" borderId="0" xfId="83" applyFont="1" applyFill="1" applyAlignment="1">
      <alignment vertical="center"/>
    </xf>
    <xf numFmtId="0" fontId="63" fillId="6" borderId="0" xfId="83" applyFont="1" applyFill="1" applyAlignment="1">
      <alignment vertical="center"/>
    </xf>
    <xf numFmtId="0" fontId="73" fillId="13" borderId="0" xfId="83" applyFont="1" applyFill="1" applyAlignment="1">
      <alignment vertical="center"/>
    </xf>
    <xf numFmtId="0" fontId="63" fillId="7" borderId="0" xfId="83" applyFont="1" applyFill="1" applyAlignment="1">
      <alignment vertical="center"/>
    </xf>
    <xf numFmtId="0" fontId="71" fillId="7" borderId="0" xfId="83" applyFont="1" applyFill="1" applyAlignment="1">
      <alignment horizontal="left" vertical="center"/>
    </xf>
    <xf numFmtId="0" fontId="73" fillId="13" borderId="0" xfId="83" applyFont="1" applyFill="1" applyAlignment="1">
      <alignment horizontal="left" vertical="center"/>
    </xf>
    <xf numFmtId="0" fontId="58" fillId="13" borderId="0" xfId="83" applyFont="1" applyFill="1" applyAlignment="1">
      <alignment vertical="center"/>
    </xf>
    <xf numFmtId="0" fontId="71" fillId="13" borderId="0" xfId="83" applyFont="1" applyFill="1" applyAlignment="1">
      <alignment horizontal="left" vertical="center"/>
    </xf>
    <xf numFmtId="0" fontId="63" fillId="13" borderId="0" xfId="83" applyFont="1" applyFill="1" applyAlignment="1">
      <alignment horizontal="left" vertical="center"/>
    </xf>
    <xf numFmtId="0" fontId="63" fillId="0" borderId="0" xfId="83" applyFont="1" applyAlignment="1">
      <alignment vertical="center"/>
    </xf>
    <xf numFmtId="0" fontId="73" fillId="0" borderId="0" xfId="83" applyFont="1" applyAlignment="1">
      <alignment vertical="center"/>
    </xf>
    <xf numFmtId="0" fontId="48" fillId="0" borderId="0" xfId="86" applyFont="1">
      <alignment vertical="top"/>
    </xf>
    <xf numFmtId="1" fontId="15" fillId="0" borderId="5" xfId="0" applyNumberFormat="1" applyFont="1" applyBorder="1" applyAlignment="1">
      <alignment wrapText="1"/>
    </xf>
    <xf numFmtId="0" fontId="91" fillId="0" borderId="5" xfId="0" applyFont="1" applyBorder="1" applyAlignment="1">
      <alignment wrapText="1"/>
    </xf>
    <xf numFmtId="3" fontId="13" fillId="0" borderId="0" xfId="0" applyNumberFormat="1" applyFont="1"/>
    <xf numFmtId="0" fontId="12" fillId="0" borderId="0" xfId="0" applyFont="1" applyAlignment="1">
      <alignment horizontal="right" wrapText="1"/>
    </xf>
    <xf numFmtId="3" fontId="14" fillId="0" borderId="0" xfId="0" applyNumberFormat="1" applyFont="1"/>
    <xf numFmtId="0" fontId="92" fillId="0" borderId="0" xfId="0" applyFont="1" applyAlignment="1">
      <alignment wrapText="1"/>
    </xf>
    <xf numFmtId="2" fontId="13" fillId="0" borderId="0" xfId="0" applyNumberFormat="1" applyFont="1"/>
    <xf numFmtId="0" fontId="93" fillId="0" borderId="0" xfId="0" applyFont="1" applyAlignment="1">
      <alignment wrapText="1"/>
    </xf>
    <xf numFmtId="2" fontId="14" fillId="0" borderId="0" xfId="0" applyNumberFormat="1" applyFont="1"/>
    <xf numFmtId="0" fontId="63" fillId="0" borderId="45" xfId="83" applyFont="1" applyBorder="1" applyAlignment="1">
      <alignment horizontal="center" vertical="top" wrapText="1"/>
    </xf>
    <xf numFmtId="0" fontId="63" fillId="0" borderId="38" xfId="83" applyFont="1" applyBorder="1" applyAlignment="1">
      <alignment horizontal="center" vertical="top" wrapText="1"/>
    </xf>
    <xf numFmtId="0" fontId="73" fillId="17" borderId="46" xfId="83" applyFont="1" applyFill="1" applyBorder="1" applyAlignment="1">
      <alignment horizontal="center" wrapText="1"/>
    </xf>
    <xf numFmtId="0" fontId="73" fillId="17" borderId="47" xfId="83" applyFont="1" applyFill="1" applyBorder="1" applyAlignment="1">
      <alignment horizontal="center" wrapText="1"/>
    </xf>
    <xf numFmtId="0" fontId="46" fillId="0" borderId="0" xfId="83" applyAlignment="1">
      <alignment horizontal="center"/>
    </xf>
    <xf numFmtId="9" fontId="46" fillId="0" borderId="0" xfId="83" applyNumberFormat="1"/>
    <xf numFmtId="0" fontId="72" fillId="0" borderId="45" xfId="83" applyFont="1" applyBorder="1" applyAlignment="1">
      <alignment horizontal="center" vertical="top" wrapText="1"/>
    </xf>
    <xf numFmtId="0" fontId="72" fillId="0" borderId="38" xfId="83" applyFont="1" applyBorder="1" applyAlignment="1">
      <alignment vertical="top" wrapText="1"/>
    </xf>
    <xf numFmtId="0" fontId="87" fillId="10" borderId="38" xfId="83" applyFont="1" applyFill="1" applyBorder="1" applyAlignment="1">
      <alignment wrapText="1"/>
    </xf>
    <xf numFmtId="0" fontId="87" fillId="10" borderId="48" xfId="83" applyFont="1" applyFill="1" applyBorder="1" applyAlignment="1">
      <alignment wrapText="1"/>
    </xf>
    <xf numFmtId="0" fontId="87" fillId="0" borderId="0" xfId="83" applyFont="1" applyAlignment="1">
      <alignment horizontal="left" indent="9"/>
    </xf>
    <xf numFmtId="0" fontId="88" fillId="0" borderId="0" xfId="83" applyFont="1" applyAlignment="1">
      <alignment horizontal="left" indent="6"/>
    </xf>
    <xf numFmtId="0" fontId="89" fillId="0" borderId="45" xfId="83" applyFont="1" applyBorder="1" applyAlignment="1">
      <alignment horizontal="center" vertical="top" wrapText="1"/>
    </xf>
    <xf numFmtId="0" fontId="72" fillId="0" borderId="0" xfId="83" applyFont="1"/>
    <xf numFmtId="0" fontId="46" fillId="19" borderId="0" xfId="83" applyFill="1"/>
    <xf numFmtId="3" fontId="72" fillId="0" borderId="45" xfId="83" applyNumberFormat="1" applyFont="1" applyBorder="1" applyAlignment="1">
      <alignment horizontal="right" wrapText="1"/>
    </xf>
    <xf numFmtId="0" fontId="87" fillId="0" borderId="0" xfId="83" applyFont="1" applyAlignment="1">
      <alignment wrapText="1"/>
    </xf>
    <xf numFmtId="0" fontId="87" fillId="0" borderId="0" xfId="83" applyFont="1" applyAlignment="1">
      <alignment horizontal="center" wrapText="1"/>
    </xf>
    <xf numFmtId="0" fontId="87" fillId="10" borderId="21" xfId="83" applyFont="1" applyFill="1" applyBorder="1" applyAlignment="1">
      <alignment horizontal="center" wrapText="1"/>
    </xf>
    <xf numFmtId="0" fontId="72" fillId="0" borderId="45" xfId="83" applyFont="1" applyBorder="1" applyAlignment="1">
      <alignment horizontal="center" wrapText="1"/>
    </xf>
    <xf numFmtId="0" fontId="87" fillId="10" borderId="47" xfId="83" applyFont="1" applyFill="1" applyBorder="1" applyAlignment="1">
      <alignment horizontal="center" vertical="top" wrapText="1"/>
    </xf>
    <xf numFmtId="0" fontId="72" fillId="0" borderId="45" xfId="83" applyFont="1" applyBorder="1" applyAlignment="1">
      <alignment horizontal="center"/>
    </xf>
    <xf numFmtId="0" fontId="87" fillId="10" borderId="30" xfId="83" applyFont="1" applyFill="1" applyBorder="1" applyAlignment="1">
      <alignment horizontal="center"/>
    </xf>
    <xf numFmtId="0" fontId="72" fillId="10" borderId="30" xfId="83" applyFont="1" applyFill="1" applyBorder="1" applyAlignment="1">
      <alignment horizontal="center"/>
    </xf>
    <xf numFmtId="0" fontId="72" fillId="10" borderId="47" xfId="83" applyFont="1" applyFill="1" applyBorder="1" applyAlignment="1">
      <alignment horizontal="center"/>
    </xf>
    <xf numFmtId="0" fontId="46" fillId="20" borderId="0" xfId="83" applyFill="1"/>
    <xf numFmtId="10" fontId="46" fillId="0" borderId="0" xfId="83" applyNumberFormat="1"/>
    <xf numFmtId="0" fontId="87" fillId="10" borderId="0" xfId="83" applyFont="1" applyFill="1" applyAlignment="1">
      <alignment wrapText="1"/>
    </xf>
    <xf numFmtId="2" fontId="72" fillId="0" borderId="45" xfId="83" applyNumberFormat="1" applyFont="1" applyBorder="1" applyAlignment="1">
      <alignment horizontal="center" vertical="top" wrapText="1"/>
    </xf>
    <xf numFmtId="9" fontId="87" fillId="10" borderId="45" xfId="83" applyNumberFormat="1" applyFont="1" applyFill="1" applyBorder="1" applyAlignment="1">
      <alignment horizontal="center" vertical="top" wrapText="1"/>
    </xf>
    <xf numFmtId="10" fontId="87" fillId="10" borderId="45" xfId="83" applyNumberFormat="1" applyFont="1" applyFill="1" applyBorder="1" applyAlignment="1">
      <alignment horizontal="center" vertical="top" wrapText="1"/>
    </xf>
    <xf numFmtId="0" fontId="63" fillId="14" borderId="28" xfId="83" applyFont="1" applyFill="1" applyBorder="1" applyAlignment="1" applyProtection="1">
      <alignment vertical="center" wrapText="1" shrinkToFit="1"/>
      <protection locked="0"/>
    </xf>
    <xf numFmtId="164" fontId="15" fillId="0" borderId="51" xfId="0" applyNumberFormat="1" applyFont="1" applyBorder="1" applyAlignment="1">
      <alignment horizontal="left" vertical="center" wrapText="1"/>
    </xf>
    <xf numFmtId="0" fontId="12" fillId="0" borderId="52" xfId="0" applyFont="1" applyBorder="1" applyAlignment="1">
      <alignment horizontal="left" vertical="center" wrapText="1"/>
    </xf>
    <xf numFmtId="0" fontId="12" fillId="0" borderId="52" xfId="0" applyFont="1" applyBorder="1" applyAlignment="1">
      <alignment horizontal="left" vertical="center"/>
    </xf>
    <xf numFmtId="6" fontId="91" fillId="0" borderId="5" xfId="84" applyNumberFormat="1" applyFont="1" applyBorder="1" applyAlignment="1">
      <alignment horizontal="center" vertical="top" wrapText="1"/>
    </xf>
    <xf numFmtId="165" fontId="91" fillId="0" borderId="22" xfId="84" applyNumberFormat="1" applyFont="1" applyBorder="1" applyAlignment="1">
      <alignment horizontal="right" vertical="top" wrapText="1"/>
    </xf>
    <xf numFmtId="0" fontId="95" fillId="0" borderId="0" xfId="0" applyFont="1" applyAlignment="1">
      <alignment vertical="center"/>
    </xf>
    <xf numFmtId="0" fontId="96" fillId="0" borderId="55" xfId="0" applyFont="1" applyBorder="1" applyAlignment="1">
      <alignment vertical="center" wrapText="1"/>
    </xf>
    <xf numFmtId="0" fontId="98" fillId="3" borderId="16" xfId="0" applyFont="1" applyFill="1" applyBorder="1"/>
    <xf numFmtId="0" fontId="46" fillId="0" borderId="0" xfId="93"/>
    <xf numFmtId="44" fontId="9" fillId="0" borderId="0" xfId="95" applyFont="1"/>
    <xf numFmtId="0" fontId="63" fillId="13" borderId="0" xfId="83" applyFont="1" applyFill="1" applyAlignment="1">
      <alignment horizontal="center" vertical="center"/>
    </xf>
    <xf numFmtId="0" fontId="63" fillId="7" borderId="0" xfId="83" applyFont="1" applyFill="1"/>
    <xf numFmtId="0" fontId="72" fillId="13" borderId="0" xfId="83" applyFont="1" applyFill="1"/>
    <xf numFmtId="2" fontId="63" fillId="13" borderId="33" xfId="83" applyNumberFormat="1" applyFont="1" applyFill="1" applyBorder="1" applyAlignment="1">
      <alignment horizontal="center" vertical="center"/>
    </xf>
    <xf numFmtId="3" fontId="63" fillId="13" borderId="33" xfId="83" applyNumberFormat="1" applyFont="1" applyFill="1" applyBorder="1" applyAlignment="1">
      <alignment horizontal="center" vertical="center"/>
    </xf>
    <xf numFmtId="0" fontId="46" fillId="7" borderId="0" xfId="83" applyFill="1"/>
    <xf numFmtId="0" fontId="63" fillId="7" borderId="0" xfId="83" applyFont="1" applyFill="1" applyAlignment="1">
      <alignment horizontal="center" vertical="center"/>
    </xf>
    <xf numFmtId="0" fontId="73" fillId="7" borderId="0" xfId="83" applyFont="1" applyFill="1" applyAlignment="1">
      <alignment horizontal="center" vertical="center"/>
    </xf>
    <xf numFmtId="0" fontId="73" fillId="10" borderId="48" xfId="83" applyFont="1" applyFill="1" applyBorder="1" applyAlignment="1">
      <alignment wrapText="1"/>
    </xf>
    <xf numFmtId="0" fontId="73" fillId="10" borderId="38" xfId="83" applyFont="1" applyFill="1" applyBorder="1" applyAlignment="1">
      <alignment wrapText="1"/>
    </xf>
    <xf numFmtId="0" fontId="73" fillId="10" borderId="45" xfId="83" applyFont="1" applyFill="1" applyBorder="1" applyAlignment="1">
      <alignment horizontal="center" vertical="top" wrapText="1"/>
    </xf>
    <xf numFmtId="0" fontId="46" fillId="0" borderId="0" xfId="83" applyAlignment="1">
      <alignment horizontal="left"/>
    </xf>
    <xf numFmtId="0" fontId="73" fillId="10" borderId="48" xfId="83" applyFont="1" applyFill="1" applyBorder="1" applyAlignment="1">
      <alignment horizontal="center" vertical="top" wrapText="1"/>
    </xf>
    <xf numFmtId="0" fontId="73" fillId="10" borderId="23" xfId="83" applyFont="1" applyFill="1" applyBorder="1" applyAlignment="1">
      <alignment horizontal="center" vertical="top" wrapText="1"/>
    </xf>
    <xf numFmtId="0" fontId="73" fillId="10" borderId="24" xfId="83" applyFont="1" applyFill="1" applyBorder="1" applyAlignment="1">
      <alignment horizontal="center" vertical="top" wrapText="1"/>
    </xf>
    <xf numFmtId="0" fontId="63" fillId="0" borderId="0" xfId="83" applyFont="1" applyAlignment="1">
      <alignment horizontal="left" vertical="top" wrapText="1"/>
    </xf>
    <xf numFmtId="0" fontId="73" fillId="10" borderId="59" xfId="83" applyFont="1" applyFill="1" applyBorder="1" applyAlignment="1">
      <alignment horizontal="center" vertical="top" wrapText="1"/>
    </xf>
    <xf numFmtId="0" fontId="73" fillId="10" borderId="21" xfId="83" applyFont="1" applyFill="1" applyBorder="1" applyAlignment="1">
      <alignment horizontal="center" vertical="top" wrapText="1"/>
    </xf>
    <xf numFmtId="0" fontId="73" fillId="10" borderId="0" xfId="83" applyFont="1" applyFill="1" applyAlignment="1">
      <alignment horizontal="center" vertical="top" wrapText="1"/>
    </xf>
    <xf numFmtId="0" fontId="46" fillId="10" borderId="38" xfId="83" applyFill="1" applyBorder="1" applyAlignment="1">
      <alignment vertical="top" wrapText="1"/>
    </xf>
    <xf numFmtId="0" fontId="46" fillId="10" borderId="45" xfId="83" applyFill="1" applyBorder="1" applyAlignment="1">
      <alignment vertical="top" wrapText="1"/>
    </xf>
    <xf numFmtId="0" fontId="46" fillId="10" borderId="49" xfId="83" applyFill="1" applyBorder="1" applyAlignment="1">
      <alignment vertical="top" wrapText="1"/>
    </xf>
    <xf numFmtId="0" fontId="63" fillId="0" borderId="49" xfId="83" applyFont="1" applyBorder="1" applyAlignment="1">
      <alignment horizontal="center" vertical="top" wrapText="1"/>
    </xf>
    <xf numFmtId="0" fontId="73" fillId="10" borderId="47" xfId="83" applyFont="1" applyFill="1" applyBorder="1" applyAlignment="1">
      <alignment vertical="top" wrapText="1"/>
    </xf>
    <xf numFmtId="9" fontId="63" fillId="0" borderId="30" xfId="83" applyNumberFormat="1" applyFont="1" applyBorder="1" applyAlignment="1">
      <alignment horizontal="center" wrapText="1"/>
    </xf>
    <xf numFmtId="10" fontId="63" fillId="0" borderId="30" xfId="83" applyNumberFormat="1" applyFont="1" applyBorder="1" applyAlignment="1">
      <alignment horizontal="center" wrapText="1"/>
    </xf>
    <xf numFmtId="0" fontId="73" fillId="10" borderId="38" xfId="83" applyFont="1" applyFill="1" applyBorder="1" applyAlignment="1">
      <alignment vertical="top" wrapText="1"/>
    </xf>
    <xf numFmtId="2" fontId="63" fillId="0" borderId="45" xfId="83" applyNumberFormat="1" applyFont="1" applyBorder="1" applyAlignment="1">
      <alignment horizontal="center" wrapText="1"/>
    </xf>
    <xf numFmtId="0" fontId="73" fillId="10" borderId="47" xfId="83" applyFont="1" applyFill="1" applyBorder="1" applyAlignment="1">
      <alignment horizontal="center" wrapText="1"/>
    </xf>
    <xf numFmtId="0" fontId="63" fillId="0" borderId="45" xfId="83" applyFont="1" applyBorder="1" applyAlignment="1">
      <alignment horizontal="center" wrapText="1"/>
    </xf>
    <xf numFmtId="0" fontId="63" fillId="0" borderId="60" xfId="83" applyFont="1" applyBorder="1" applyAlignment="1">
      <alignment horizontal="center" vertical="top" wrapText="1"/>
    </xf>
    <xf numFmtId="0" fontId="46" fillId="18" borderId="0" xfId="83" applyFill="1"/>
    <xf numFmtId="4" fontId="50" fillId="0" borderId="0" xfId="0" applyNumberFormat="1" applyFont="1"/>
    <xf numFmtId="0" fontId="97" fillId="22" borderId="55" xfId="0" applyFont="1" applyFill="1" applyBorder="1" applyAlignment="1">
      <alignment vertical="center" wrapText="1"/>
    </xf>
    <xf numFmtId="168" fontId="96" fillId="0" borderId="55" xfId="0" applyNumberFormat="1" applyFont="1" applyBorder="1" applyAlignment="1">
      <alignment vertical="center" wrapText="1"/>
    </xf>
    <xf numFmtId="0" fontId="96" fillId="0" borderId="0" xfId="0" applyFont="1" applyAlignment="1">
      <alignment vertical="center" wrapText="1"/>
    </xf>
    <xf numFmtId="1" fontId="96" fillId="0" borderId="55" xfId="0" applyNumberFormat="1" applyFont="1" applyBorder="1" applyAlignment="1">
      <alignment vertical="center" wrapText="1"/>
    </xf>
    <xf numFmtId="0" fontId="97" fillId="22" borderId="61" xfId="0" applyFont="1" applyFill="1" applyBorder="1" applyAlignment="1">
      <alignment vertical="center" wrapText="1"/>
    </xf>
    <xf numFmtId="173" fontId="96" fillId="0" borderId="55" xfId="0" applyNumberFormat="1" applyFont="1" applyBorder="1" applyAlignment="1">
      <alignment vertical="center" wrapText="1"/>
    </xf>
    <xf numFmtId="0" fontId="97" fillId="22" borderId="65" xfId="0" applyFont="1" applyFill="1" applyBorder="1" applyAlignment="1">
      <alignment vertical="center" wrapText="1"/>
    </xf>
    <xf numFmtId="0" fontId="97" fillId="22" borderId="62" xfId="0" applyFont="1" applyFill="1" applyBorder="1" applyAlignment="1">
      <alignment vertical="center" wrapText="1"/>
    </xf>
    <xf numFmtId="0" fontId="97" fillId="22" borderId="63" xfId="0" applyFont="1" applyFill="1" applyBorder="1" applyAlignment="1">
      <alignment vertical="center" wrapText="1"/>
    </xf>
    <xf numFmtId="0" fontId="97" fillId="22" borderId="64" xfId="0" applyFont="1" applyFill="1" applyBorder="1" applyAlignment="1">
      <alignment vertical="center" wrapText="1"/>
    </xf>
    <xf numFmtId="4" fontId="99" fillId="0" borderId="56" xfId="96" applyNumberFormat="1" applyAlignment="1"/>
    <xf numFmtId="49" fontId="50" fillId="7" borderId="26" xfId="83" applyNumberFormat="1" applyFont="1" applyFill="1" applyBorder="1" applyAlignment="1" applyProtection="1">
      <alignment horizontal="right" vertical="center"/>
      <protection locked="0"/>
    </xf>
    <xf numFmtId="0" fontId="50" fillId="7" borderId="26" xfId="83" applyFont="1" applyFill="1" applyBorder="1" applyAlignment="1" applyProtection="1">
      <alignment horizontal="right" vertical="center"/>
      <protection locked="0"/>
    </xf>
    <xf numFmtId="3" fontId="50" fillId="7" borderId="26" xfId="83" applyNumberFormat="1" applyFont="1" applyFill="1" applyBorder="1" applyAlignment="1" applyProtection="1">
      <alignment horizontal="right" vertical="center"/>
      <protection locked="0"/>
    </xf>
    <xf numFmtId="0" fontId="58" fillId="13" borderId="0" xfId="83" applyFont="1" applyFill="1" applyAlignment="1">
      <alignment horizontal="center" vertical="center"/>
    </xf>
    <xf numFmtId="0" fontId="77" fillId="13" borderId="0" xfId="83" applyFont="1" applyFill="1" applyAlignment="1">
      <alignment horizontal="left" vertical="center"/>
    </xf>
    <xf numFmtId="0" fontId="72" fillId="13" borderId="67" xfId="83" applyFont="1" applyFill="1" applyBorder="1" applyAlignment="1">
      <alignment vertical="center"/>
    </xf>
    <xf numFmtId="0" fontId="72" fillId="13" borderId="68" xfId="83" applyFont="1" applyFill="1" applyBorder="1" applyAlignment="1">
      <alignment vertical="center"/>
    </xf>
    <xf numFmtId="0" fontId="72" fillId="13" borderId="0" xfId="83" applyFont="1" applyFill="1" applyAlignment="1">
      <alignment horizontal="center" vertical="center"/>
    </xf>
    <xf numFmtId="0" fontId="44" fillId="6" borderId="0" xfId="83" applyFont="1" applyFill="1"/>
    <xf numFmtId="0" fontId="53" fillId="6" borderId="0" xfId="83" applyFont="1" applyFill="1"/>
    <xf numFmtId="0" fontId="54" fillId="6" borderId="0" xfId="83" applyFont="1" applyFill="1"/>
    <xf numFmtId="0" fontId="55" fillId="6" borderId="0" xfId="83" applyFont="1" applyFill="1"/>
    <xf numFmtId="0" fontId="54" fillId="0" borderId="0" xfId="83" applyFont="1"/>
    <xf numFmtId="0" fontId="52" fillId="6" borderId="0" xfId="83" applyFont="1" applyFill="1" applyAlignment="1">
      <alignment vertical="center"/>
    </xf>
    <xf numFmtId="0" fontId="53" fillId="6" borderId="0" xfId="83" applyFont="1" applyFill="1" applyAlignment="1">
      <alignment vertical="center"/>
    </xf>
    <xf numFmtId="0" fontId="49" fillId="6" borderId="0" xfId="83" applyFont="1" applyFill="1"/>
    <xf numFmtId="0" fontId="50" fillId="6" borderId="0" xfId="83" applyFont="1" applyFill="1" applyAlignment="1">
      <alignment horizontal="right" vertical="center"/>
    </xf>
    <xf numFmtId="174" fontId="50" fillId="7" borderId="27" xfId="83" applyNumberFormat="1" applyFont="1" applyFill="1" applyBorder="1" applyAlignment="1">
      <alignment horizontal="right" vertical="center"/>
    </xf>
    <xf numFmtId="0" fontId="52" fillId="6" borderId="20" xfId="83" applyFont="1" applyFill="1" applyBorder="1" applyAlignment="1">
      <alignment vertical="center"/>
    </xf>
    <xf numFmtId="0" fontId="51" fillId="6" borderId="0" xfId="83" applyFont="1" applyFill="1" applyAlignment="1">
      <alignment horizontal="left" vertical="center"/>
    </xf>
    <xf numFmtId="170" fontId="50" fillId="7" borderId="26" xfId="87" applyNumberFormat="1" applyFont="1" applyFill="1" applyBorder="1" applyAlignment="1">
      <alignment horizontal="right" vertical="center"/>
    </xf>
    <xf numFmtId="2" fontId="50" fillId="7" borderId="26" xfId="88" applyNumberFormat="1" applyFont="1" applyFill="1" applyBorder="1" applyAlignment="1">
      <alignment horizontal="right" vertical="center"/>
    </xf>
    <xf numFmtId="0" fontId="52" fillId="6" borderId="0" xfId="83" applyFont="1" applyFill="1" applyAlignment="1">
      <alignment horizontal="left" vertical="center"/>
    </xf>
    <xf numFmtId="4" fontId="50" fillId="7" borderId="26" xfId="87" applyNumberFormat="1" applyFont="1" applyFill="1" applyBorder="1" applyAlignment="1">
      <alignment horizontal="right" vertical="center"/>
    </xf>
    <xf numFmtId="0" fontId="49" fillId="7" borderId="0" xfId="83" applyFont="1" applyFill="1"/>
    <xf numFmtId="1" fontId="50" fillId="7" borderId="26" xfId="87" applyNumberFormat="1" applyFont="1" applyFill="1" applyBorder="1" applyAlignment="1" applyProtection="1">
      <alignment horizontal="right" vertical="center"/>
    </xf>
    <xf numFmtId="0" fontId="50" fillId="6" borderId="0" xfId="83" applyFont="1" applyFill="1" applyAlignment="1">
      <alignment horizontal="left" vertical="center" indent="15"/>
    </xf>
    <xf numFmtId="0" fontId="58" fillId="7" borderId="0" xfId="93" applyFont="1" applyFill="1"/>
    <xf numFmtId="0" fontId="60" fillId="16" borderId="32" xfId="93" applyFont="1" applyFill="1" applyBorder="1"/>
    <xf numFmtId="0" fontId="71" fillId="16" borderId="31" xfId="93" applyFont="1" applyFill="1" applyBorder="1" applyAlignment="1">
      <alignment horizontal="left" vertical="center"/>
    </xf>
    <xf numFmtId="0" fontId="60" fillId="16" borderId="31" xfId="93" applyFont="1" applyFill="1" applyBorder="1"/>
    <xf numFmtId="0" fontId="46" fillId="16" borderId="30" xfId="83" applyFill="1" applyBorder="1"/>
    <xf numFmtId="0" fontId="70" fillId="15" borderId="0" xfId="93" applyFont="1" applyFill="1" applyAlignment="1">
      <alignment vertical="center"/>
    </xf>
    <xf numFmtId="0" fontId="67" fillId="15" borderId="0" xfId="93" applyFont="1" applyFill="1" applyAlignment="1">
      <alignment horizontal="left" vertical="top" wrapText="1"/>
    </xf>
    <xf numFmtId="0" fontId="61" fillId="7" borderId="0" xfId="93" applyFont="1" applyFill="1" applyAlignment="1">
      <alignment horizontal="left" vertical="center"/>
    </xf>
    <xf numFmtId="0" fontId="67" fillId="7" borderId="0" xfId="93" applyFont="1" applyFill="1" applyAlignment="1">
      <alignment horizontal="left" vertical="center" wrapText="1"/>
    </xf>
    <xf numFmtId="0" fontId="67" fillId="7" borderId="0" xfId="93" applyFont="1" applyFill="1" applyAlignment="1">
      <alignment horizontal="left" vertical="top" wrapText="1"/>
    </xf>
    <xf numFmtId="0" fontId="58" fillId="7" borderId="0" xfId="93" quotePrefix="1" applyFont="1" applyFill="1" applyAlignment="1">
      <alignment horizontal="left" vertical="center"/>
    </xf>
    <xf numFmtId="0" fontId="69" fillId="7" borderId="0" xfId="93" applyFont="1" applyFill="1" applyAlignment="1">
      <alignment horizontal="left" vertical="center"/>
    </xf>
    <xf numFmtId="0" fontId="69" fillId="7" borderId="0" xfId="93" applyFont="1" applyFill="1" applyAlignment="1">
      <alignment horizontal="left" vertical="top"/>
    </xf>
    <xf numFmtId="0" fontId="67" fillId="7" borderId="0" xfId="93" applyFont="1" applyFill="1" applyAlignment="1">
      <alignment horizontal="left" vertical="top"/>
    </xf>
    <xf numFmtId="0" fontId="58" fillId="7" borderId="0" xfId="93" applyFont="1" applyFill="1" applyAlignment="1">
      <alignment vertical="center" wrapText="1"/>
    </xf>
    <xf numFmtId="0" fontId="58" fillId="7" borderId="0" xfId="93" applyFont="1" applyFill="1" applyAlignment="1">
      <alignment vertical="top" wrapText="1"/>
    </xf>
    <xf numFmtId="0" fontId="63" fillId="7" borderId="0" xfId="93" applyFont="1" applyFill="1" applyAlignment="1">
      <alignment vertical="top" wrapText="1"/>
    </xf>
    <xf numFmtId="0" fontId="58" fillId="7" borderId="0" xfId="93" applyFont="1" applyFill="1" applyAlignment="1">
      <alignment vertical="center"/>
    </xf>
    <xf numFmtId="0" fontId="60" fillId="7" borderId="0" xfId="93" quotePrefix="1" applyFont="1" applyFill="1" applyAlignment="1">
      <alignment vertical="center"/>
    </xf>
    <xf numFmtId="0" fontId="66" fillId="7" borderId="0" xfId="93" applyFont="1" applyFill="1" applyAlignment="1">
      <alignment vertical="top" wrapText="1"/>
    </xf>
    <xf numFmtId="0" fontId="65" fillId="7" borderId="0" xfId="93" applyFont="1" applyFill="1" applyAlignment="1">
      <alignment vertical="top" wrapText="1"/>
    </xf>
    <xf numFmtId="0" fontId="64" fillId="7" borderId="0" xfId="93" applyFont="1" applyFill="1" applyAlignment="1">
      <alignment horizontal="left" vertical="center"/>
    </xf>
    <xf numFmtId="0" fontId="58" fillId="7" borderId="0" xfId="93" quotePrefix="1" applyFont="1" applyFill="1" applyAlignment="1">
      <alignment horizontal="left"/>
    </xf>
    <xf numFmtId="0" fontId="63" fillId="7" borderId="0" xfId="93" quotePrefix="1" applyFont="1" applyFill="1" applyAlignment="1">
      <alignment horizontal="left"/>
    </xf>
    <xf numFmtId="0" fontId="58" fillId="7" borderId="0" xfId="93" quotePrefix="1" applyFont="1" applyFill="1" applyAlignment="1">
      <alignment horizontal="left" vertical="top"/>
    </xf>
    <xf numFmtId="0" fontId="63" fillId="7" borderId="0" xfId="93" quotePrefix="1" applyFont="1" applyFill="1" applyAlignment="1">
      <alignment horizontal="left" vertical="top"/>
    </xf>
    <xf numFmtId="3" fontId="58" fillId="13" borderId="73" xfId="93" applyNumberFormat="1" applyFont="1" applyFill="1" applyBorder="1" applyAlignment="1">
      <alignment vertical="center"/>
    </xf>
    <xf numFmtId="3" fontId="58" fillId="13" borderId="74" xfId="93" applyNumberFormat="1" applyFont="1" applyFill="1" applyBorder="1" applyAlignment="1">
      <alignment vertical="center"/>
    </xf>
    <xf numFmtId="0" fontId="58" fillId="7" borderId="0" xfId="93" quotePrefix="1" applyFont="1" applyFill="1" applyAlignment="1">
      <alignment vertical="center"/>
    </xf>
    <xf numFmtId="0" fontId="58" fillId="12" borderId="17" xfId="93" applyFont="1" applyFill="1" applyBorder="1" applyAlignment="1">
      <alignment vertical="center"/>
    </xf>
    <xf numFmtId="0" fontId="58" fillId="12" borderId="19" xfId="93" applyFont="1" applyFill="1" applyBorder="1" applyAlignment="1">
      <alignment vertical="center"/>
    </xf>
    <xf numFmtId="0" fontId="58" fillId="7" borderId="0" xfId="93" quotePrefix="1" applyFont="1" applyFill="1" applyAlignment="1">
      <alignment vertical="top"/>
    </xf>
    <xf numFmtId="0" fontId="58" fillId="9" borderId="17" xfId="93" applyFont="1" applyFill="1" applyBorder="1"/>
    <xf numFmtId="0" fontId="46" fillId="9" borderId="19" xfId="83" applyFill="1" applyBorder="1"/>
    <xf numFmtId="0" fontId="62" fillId="11" borderId="0" xfId="93" applyFont="1" applyFill="1"/>
    <xf numFmtId="0" fontId="61" fillId="11" borderId="0" xfId="93" applyFont="1" applyFill="1"/>
    <xf numFmtId="0" fontId="58" fillId="11" borderId="0" xfId="93" applyFont="1" applyFill="1"/>
    <xf numFmtId="0" fontId="62" fillId="7" borderId="0" xfId="93" applyFont="1" applyFill="1"/>
    <xf numFmtId="0" fontId="61" fillId="7" borderId="0" xfId="93" applyFont="1" applyFill="1"/>
    <xf numFmtId="0" fontId="46" fillId="8" borderId="0" xfId="83" applyFill="1"/>
    <xf numFmtId="0" fontId="58" fillId="8" borderId="0" xfId="93" applyFont="1" applyFill="1"/>
    <xf numFmtId="0" fontId="94" fillId="7" borderId="0" xfId="94" applyFill="1"/>
    <xf numFmtId="0" fontId="63" fillId="0" borderId="0" xfId="83" applyFont="1"/>
    <xf numFmtId="0" fontId="63" fillId="13" borderId="67" xfId="83" applyFont="1" applyFill="1" applyBorder="1" applyAlignment="1">
      <alignment vertical="center"/>
    </xf>
    <xf numFmtId="0" fontId="63" fillId="6" borderId="67" xfId="83" applyFont="1" applyFill="1" applyBorder="1" applyAlignment="1">
      <alignment vertical="center"/>
    </xf>
    <xf numFmtId="0" fontId="63" fillId="13" borderId="68" xfId="83" applyFont="1" applyFill="1" applyBorder="1" applyAlignment="1">
      <alignment vertical="center"/>
    </xf>
    <xf numFmtId="0" fontId="63" fillId="6" borderId="68" xfId="83" applyFont="1" applyFill="1" applyBorder="1" applyAlignment="1">
      <alignment vertical="center"/>
    </xf>
    <xf numFmtId="3" fontId="63" fillId="6" borderId="0" xfId="83" applyNumberFormat="1" applyFont="1" applyFill="1" applyAlignment="1">
      <alignment vertical="center"/>
    </xf>
    <xf numFmtId="0" fontId="63" fillId="13" borderId="67" xfId="83" applyFont="1" applyFill="1" applyBorder="1" applyAlignment="1">
      <alignment horizontal="center" vertical="center"/>
    </xf>
    <xf numFmtId="3" fontId="63" fillId="6" borderId="67" xfId="83" applyNumberFormat="1" applyFont="1" applyFill="1" applyBorder="1" applyAlignment="1">
      <alignment vertical="center"/>
    </xf>
    <xf numFmtId="3" fontId="63" fillId="6" borderId="68" xfId="83" applyNumberFormat="1" applyFont="1" applyFill="1" applyBorder="1" applyAlignment="1">
      <alignment vertical="center"/>
    </xf>
    <xf numFmtId="0" fontId="63" fillId="13" borderId="67" xfId="83" applyFont="1" applyFill="1" applyBorder="1"/>
    <xf numFmtId="0" fontId="72" fillId="13" borderId="67" xfId="83" applyFont="1" applyFill="1" applyBorder="1"/>
    <xf numFmtId="0" fontId="63" fillId="13" borderId="0" xfId="83" applyFont="1" applyFill="1" applyAlignment="1">
      <alignment horizontal="right"/>
    </xf>
    <xf numFmtId="0" fontId="58" fillId="13" borderId="0" xfId="83" applyFont="1" applyFill="1" applyAlignment="1">
      <alignment horizontal="right"/>
    </xf>
    <xf numFmtId="0" fontId="63" fillId="13" borderId="0" xfId="83" applyFont="1" applyFill="1" applyAlignment="1">
      <alignment vertical="top"/>
    </xf>
    <xf numFmtId="0" fontId="72" fillId="7" borderId="0" xfId="83" applyFont="1" applyFill="1" applyAlignment="1">
      <alignment horizontal="center" vertical="center"/>
    </xf>
    <xf numFmtId="0" fontId="80" fillId="24" borderId="43" xfId="83" applyFont="1" applyFill="1" applyBorder="1" applyAlignment="1">
      <alignment horizontal="center" vertical="center"/>
    </xf>
    <xf numFmtId="0" fontId="80" fillId="24" borderId="42" xfId="83" applyFont="1" applyFill="1" applyBorder="1" applyAlignment="1">
      <alignment horizontal="center" vertical="center"/>
    </xf>
    <xf numFmtId="0" fontId="80" fillId="24" borderId="0" xfId="83" applyFont="1" applyFill="1" applyAlignment="1">
      <alignment vertical="center"/>
    </xf>
    <xf numFmtId="0" fontId="73" fillId="13" borderId="0" xfId="83" applyFont="1" applyFill="1" applyAlignment="1">
      <alignment horizontal="center"/>
    </xf>
    <xf numFmtId="0" fontId="63" fillId="7" borderId="0" xfId="83" applyFont="1" applyFill="1" applyAlignment="1">
      <alignment horizontal="center"/>
    </xf>
    <xf numFmtId="0" fontId="73" fillId="13" borderId="0" xfId="83" applyFont="1" applyFill="1"/>
    <xf numFmtId="0" fontId="63" fillId="0" borderId="38" xfId="83" applyFont="1" applyBorder="1" applyAlignment="1">
      <alignment vertical="top" wrapText="1"/>
    </xf>
    <xf numFmtId="0" fontId="63" fillId="13" borderId="0" xfId="83" applyFont="1" applyFill="1" applyAlignment="1">
      <alignment horizontal="center" wrapText="1"/>
    </xf>
    <xf numFmtId="0" fontId="63" fillId="13" borderId="0" xfId="83" applyFont="1" applyFill="1" applyAlignment="1">
      <alignment horizontal="center" vertical="top" wrapText="1"/>
    </xf>
    <xf numFmtId="0" fontId="63" fillId="13" borderId="0" xfId="83" applyFont="1" applyFill="1" applyAlignment="1">
      <alignment vertical="top" wrapText="1"/>
    </xf>
    <xf numFmtId="0" fontId="60" fillId="13" borderId="0" xfId="83" applyFont="1" applyFill="1"/>
    <xf numFmtId="0" fontId="63" fillId="6" borderId="33" xfId="83" applyFont="1" applyFill="1" applyBorder="1" applyAlignment="1">
      <alignment horizontal="center" vertical="center"/>
    </xf>
    <xf numFmtId="49" fontId="63" fillId="13" borderId="34" xfId="83" applyNumberFormat="1" applyFont="1" applyFill="1" applyBorder="1" applyAlignment="1">
      <alignment horizontal="center" vertical="center"/>
    </xf>
    <xf numFmtId="49" fontId="63" fillId="7" borderId="58" xfId="83" applyNumberFormat="1" applyFont="1" applyFill="1" applyBorder="1" applyAlignment="1">
      <alignment horizontal="center" vertical="center"/>
    </xf>
    <xf numFmtId="49" fontId="63" fillId="13" borderId="83" xfId="83" applyNumberFormat="1" applyFont="1" applyFill="1" applyBorder="1" applyAlignment="1">
      <alignment horizontal="center" vertical="center"/>
    </xf>
    <xf numFmtId="49" fontId="63" fillId="7" borderId="84" xfId="83" applyNumberFormat="1" applyFont="1" applyFill="1" applyBorder="1" applyAlignment="1">
      <alignment horizontal="center" vertical="center"/>
    </xf>
    <xf numFmtId="0" fontId="80" fillId="24" borderId="57" xfId="83" applyFont="1" applyFill="1" applyBorder="1" applyAlignment="1">
      <alignment horizontal="center" vertical="center" wrapText="1"/>
    </xf>
    <xf numFmtId="0" fontId="80" fillId="24" borderId="57" xfId="83" applyFont="1" applyFill="1" applyBorder="1" applyAlignment="1">
      <alignment horizontal="center" vertical="center"/>
    </xf>
    <xf numFmtId="0" fontId="83" fillId="6" borderId="33" xfId="83" applyFont="1" applyFill="1" applyBorder="1" applyAlignment="1">
      <alignment vertical="center" wrapText="1"/>
    </xf>
    <xf numFmtId="3" fontId="63" fillId="14" borderId="34" xfId="83" applyNumberFormat="1" applyFont="1" applyFill="1" applyBorder="1" applyAlignment="1" applyProtection="1">
      <alignment horizontal="center" vertical="center" shrinkToFit="1"/>
      <protection locked="0"/>
    </xf>
    <xf numFmtId="3" fontId="63" fillId="14" borderId="33" xfId="83" applyNumberFormat="1" applyFont="1" applyFill="1" applyBorder="1" applyAlignment="1" applyProtection="1">
      <alignment horizontal="center" vertical="center" shrinkToFit="1"/>
      <protection locked="0"/>
    </xf>
    <xf numFmtId="0" fontId="84" fillId="6" borderId="33" xfId="83" applyFont="1" applyFill="1" applyBorder="1" applyAlignment="1">
      <alignment vertical="center"/>
    </xf>
    <xf numFmtId="0" fontId="84" fillId="6" borderId="33" xfId="83" applyFont="1" applyFill="1" applyBorder="1" applyAlignment="1">
      <alignment vertical="center" wrapText="1"/>
    </xf>
    <xf numFmtId="0" fontId="84" fillId="6" borderId="33" xfId="83" applyFont="1" applyFill="1" applyBorder="1" applyAlignment="1">
      <alignment horizontal="left" vertical="center" wrapText="1"/>
    </xf>
    <xf numFmtId="3" fontId="63" fillId="13" borderId="83" xfId="83" applyNumberFormat="1" applyFont="1" applyFill="1" applyBorder="1" applyAlignment="1">
      <alignment horizontal="center" vertical="center" shrinkToFit="1"/>
    </xf>
    <xf numFmtId="0" fontId="84" fillId="6" borderId="33" xfId="83" applyFont="1" applyFill="1" applyBorder="1" applyAlignment="1">
      <alignment horizontal="left" vertical="center"/>
    </xf>
    <xf numFmtId="0" fontId="83" fillId="6" borderId="58" xfId="83" applyFont="1" applyFill="1" applyBorder="1" applyAlignment="1">
      <alignment vertical="center"/>
    </xf>
    <xf numFmtId="0" fontId="83" fillId="6" borderId="36" xfId="83" applyFont="1" applyFill="1" applyBorder="1" applyAlignment="1">
      <alignment vertical="center"/>
    </xf>
    <xf numFmtId="0" fontId="83" fillId="6" borderId="34" xfId="83" applyFont="1" applyFill="1" applyBorder="1" applyAlignment="1">
      <alignment vertical="center"/>
    </xf>
    <xf numFmtId="2" fontId="63" fillId="13" borderId="57" xfId="83" applyNumberFormat="1" applyFont="1" applyFill="1" applyBorder="1" applyAlignment="1">
      <alignment horizontal="center" vertical="center" shrinkToFit="1"/>
    </xf>
    <xf numFmtId="0" fontId="83" fillId="6" borderId="33" xfId="83" applyFont="1" applyFill="1" applyBorder="1" applyAlignment="1">
      <alignment horizontal="left" vertical="center"/>
    </xf>
    <xf numFmtId="0" fontId="83" fillId="21" borderId="33" xfId="83" applyFont="1" applyFill="1" applyBorder="1" applyAlignment="1" applyProtection="1">
      <alignment vertical="center" wrapText="1"/>
      <protection locked="0"/>
    </xf>
    <xf numFmtId="0" fontId="84" fillId="6" borderId="33" xfId="83" applyFont="1" applyFill="1" applyBorder="1" applyAlignment="1">
      <alignment horizontal="center" vertical="center" wrapText="1"/>
    </xf>
    <xf numFmtId="0" fontId="84" fillId="6" borderId="33" xfId="83" quotePrefix="1" applyFont="1" applyFill="1" applyBorder="1" applyAlignment="1">
      <alignment horizontal="center" vertical="center" wrapText="1"/>
    </xf>
    <xf numFmtId="0" fontId="63" fillId="14" borderId="33" xfId="83" applyFont="1" applyFill="1" applyBorder="1" applyAlignment="1" applyProtection="1">
      <alignment horizontal="center" vertical="center" shrinkToFit="1"/>
      <protection locked="0"/>
    </xf>
    <xf numFmtId="0" fontId="63" fillId="6" borderId="33" xfId="83" applyFont="1" applyFill="1" applyBorder="1" applyAlignment="1">
      <alignment horizontal="left" vertical="center"/>
    </xf>
    <xf numFmtId="0" fontId="63" fillId="7" borderId="0" xfId="83" applyFont="1" applyFill="1" applyAlignment="1">
      <alignment horizontal="left" vertical="center"/>
    </xf>
    <xf numFmtId="168" fontId="46" fillId="0" borderId="26" xfId="93" applyNumberFormat="1" applyBorder="1"/>
    <xf numFmtId="0" fontId="46" fillId="0" borderId="0" xfId="93" applyAlignment="1">
      <alignment horizontal="center" vertical="center" wrapText="1"/>
    </xf>
    <xf numFmtId="0" fontId="46" fillId="0" borderId="0" xfId="93" applyAlignment="1">
      <alignment horizontal="center"/>
    </xf>
    <xf numFmtId="0" fontId="46" fillId="5" borderId="0" xfId="93" applyFill="1"/>
    <xf numFmtId="0" fontId="15" fillId="0" borderId="14" xfId="0" applyFont="1" applyBorder="1" applyAlignment="1">
      <alignment horizontal="center" wrapText="1"/>
    </xf>
    <xf numFmtId="0" fontId="15" fillId="0" borderId="14" xfId="0" applyFont="1" applyBorder="1" applyAlignment="1">
      <alignment wrapText="1"/>
    </xf>
    <xf numFmtId="0" fontId="91" fillId="0" borderId="6" xfId="0" applyFont="1" applyBorder="1" applyAlignment="1">
      <alignment wrapText="1"/>
    </xf>
    <xf numFmtId="0" fontId="15" fillId="0" borderId="26" xfId="0" applyFont="1" applyBorder="1" applyAlignment="1">
      <alignment horizontal="center" wrapText="1"/>
    </xf>
    <xf numFmtId="0" fontId="15" fillId="0" borderId="26" xfId="0" applyFont="1" applyBorder="1" applyAlignment="1">
      <alignment wrapText="1"/>
    </xf>
    <xf numFmtId="0" fontId="91" fillId="0" borderId="14" xfId="0" applyFont="1" applyBorder="1" applyAlignment="1">
      <alignment wrapText="1"/>
    </xf>
    <xf numFmtId="0" fontId="63" fillId="23" borderId="0" xfId="83" applyFont="1" applyFill="1" applyAlignment="1">
      <alignment horizontal="center" vertical="center"/>
    </xf>
    <xf numFmtId="0" fontId="63" fillId="23" borderId="0" xfId="83" applyFont="1" applyFill="1" applyAlignment="1">
      <alignment vertical="center"/>
    </xf>
    <xf numFmtId="0" fontId="73" fillId="23" borderId="67" xfId="83" applyFont="1" applyFill="1" applyBorder="1" applyAlignment="1">
      <alignment horizontal="center" vertical="center"/>
    </xf>
    <xf numFmtId="0" fontId="63" fillId="23" borderId="67" xfId="83" applyFont="1" applyFill="1" applyBorder="1" applyAlignment="1">
      <alignment vertical="center"/>
    </xf>
    <xf numFmtId="0" fontId="63" fillId="23" borderId="67" xfId="83" applyFont="1" applyFill="1" applyBorder="1" applyAlignment="1">
      <alignment horizontal="center" vertical="center"/>
    </xf>
    <xf numFmtId="0" fontId="63" fillId="23" borderId="67" xfId="83" applyFont="1" applyFill="1" applyBorder="1" applyAlignment="1">
      <alignment horizontal="left" vertical="center"/>
    </xf>
    <xf numFmtId="0" fontId="73" fillId="23" borderId="68" xfId="83" applyFont="1" applyFill="1" applyBorder="1" applyAlignment="1">
      <alignment horizontal="center" vertical="center"/>
    </xf>
    <xf numFmtId="0" fontId="63" fillId="23" borderId="68" xfId="83" applyFont="1" applyFill="1" applyBorder="1" applyAlignment="1">
      <alignment vertical="center"/>
    </xf>
    <xf numFmtId="0" fontId="63" fillId="23" borderId="68" xfId="83" applyFont="1" applyFill="1" applyBorder="1" applyAlignment="1">
      <alignment horizontal="center" vertical="center"/>
    </xf>
    <xf numFmtId="0" fontId="63" fillId="23" borderId="68" xfId="83" applyFont="1" applyFill="1" applyBorder="1" applyAlignment="1">
      <alignment horizontal="left" vertical="center"/>
    </xf>
    <xf numFmtId="2" fontId="63" fillId="23" borderId="0" xfId="83" applyNumberFormat="1" applyFont="1" applyFill="1" applyAlignment="1">
      <alignment horizontal="left" vertical="center"/>
    </xf>
    <xf numFmtId="0" fontId="63" fillId="23" borderId="0" xfId="83" applyFont="1" applyFill="1" applyAlignment="1">
      <alignment horizontal="left" vertical="center"/>
    </xf>
    <xf numFmtId="0" fontId="73" fillId="23" borderId="0" xfId="83" applyFont="1" applyFill="1" applyAlignment="1">
      <alignment horizontal="left" vertical="center"/>
    </xf>
    <xf numFmtId="49" fontId="63" fillId="23" borderId="0" xfId="83" applyNumberFormat="1" applyFont="1" applyFill="1" applyAlignment="1">
      <alignment horizontal="right" vertical="center"/>
    </xf>
    <xf numFmtId="0" fontId="73" fillId="23" borderId="0" xfId="83" applyFont="1" applyFill="1" applyAlignment="1">
      <alignment vertical="center"/>
    </xf>
    <xf numFmtId="0" fontId="63" fillId="23" borderId="0" xfId="83" applyFont="1" applyFill="1" applyAlignment="1">
      <alignment horizontal="right" vertical="center"/>
    </xf>
    <xf numFmtId="0" fontId="73" fillId="23" borderId="0" xfId="83" applyFont="1" applyFill="1" applyAlignment="1">
      <alignment horizontal="center" vertical="center"/>
    </xf>
    <xf numFmtId="0" fontId="63" fillId="23" borderId="67" xfId="83" applyFont="1" applyFill="1" applyBorder="1" applyAlignment="1">
      <alignment horizontal="right" vertical="center"/>
    </xf>
    <xf numFmtId="0" fontId="73" fillId="23" borderId="0" xfId="83" applyFont="1" applyFill="1" applyAlignment="1">
      <alignment horizontal="right" vertical="center"/>
    </xf>
    <xf numFmtId="2" fontId="63" fillId="23" borderId="67" xfId="83" applyNumberFormat="1" applyFont="1" applyFill="1" applyBorder="1" applyAlignment="1">
      <alignment vertical="center"/>
    </xf>
    <xf numFmtId="1" fontId="63" fillId="23" borderId="67" xfId="83" applyNumberFormat="1" applyFont="1" applyFill="1" applyBorder="1" applyAlignment="1">
      <alignment horizontal="center" vertical="center"/>
    </xf>
    <xf numFmtId="2" fontId="63" fillId="23" borderId="0" xfId="83" applyNumberFormat="1" applyFont="1" applyFill="1" applyAlignment="1">
      <alignment vertical="center"/>
    </xf>
    <xf numFmtId="0" fontId="73" fillId="23" borderId="67" xfId="83" applyFont="1" applyFill="1" applyBorder="1" applyAlignment="1">
      <alignment horizontal="right" vertical="center"/>
    </xf>
    <xf numFmtId="0" fontId="80" fillId="24" borderId="86" xfId="83" applyFont="1" applyFill="1" applyBorder="1" applyAlignment="1">
      <alignment horizontal="center" vertical="center"/>
    </xf>
    <xf numFmtId="0" fontId="63" fillId="14" borderId="86" xfId="83" applyFont="1" applyFill="1" applyBorder="1" applyAlignment="1" applyProtection="1">
      <alignment horizontal="center" vertical="center" wrapText="1"/>
      <protection locked="0"/>
    </xf>
    <xf numFmtId="49" fontId="63" fillId="23" borderId="0" xfId="83" applyNumberFormat="1" applyFont="1" applyFill="1" applyAlignment="1">
      <alignment vertical="center"/>
    </xf>
    <xf numFmtId="0" fontId="63" fillId="23" borderId="0" xfId="83" applyFont="1" applyFill="1" applyAlignment="1">
      <alignment vertical="center" wrapText="1"/>
    </xf>
    <xf numFmtId="49" fontId="63" fillId="23" borderId="0" xfId="83" applyNumberFormat="1" applyFont="1" applyFill="1" applyAlignment="1">
      <alignment horizontal="left" vertical="center"/>
    </xf>
    <xf numFmtId="0" fontId="63" fillId="23" borderId="68" xfId="83" applyFont="1" applyFill="1" applyBorder="1" applyAlignment="1">
      <alignment horizontal="right" vertical="center"/>
    </xf>
    <xf numFmtId="49" fontId="63" fillId="23" borderId="67" xfId="83" applyNumberFormat="1" applyFont="1" applyFill="1" applyBorder="1" applyAlignment="1">
      <alignment horizontal="left" vertical="center"/>
    </xf>
    <xf numFmtId="49" fontId="63" fillId="23" borderId="68" xfId="83" applyNumberFormat="1" applyFont="1" applyFill="1" applyBorder="1" applyAlignment="1">
      <alignment horizontal="left" vertical="center"/>
    </xf>
    <xf numFmtId="0" fontId="63" fillId="23" borderId="67" xfId="83" applyFont="1" applyFill="1" applyBorder="1" applyAlignment="1">
      <alignment horizontal="left" vertical="center" wrapText="1"/>
    </xf>
    <xf numFmtId="0" fontId="73" fillId="23" borderId="67" xfId="83" applyFont="1" applyFill="1" applyBorder="1" applyAlignment="1">
      <alignment horizontal="left" vertical="center"/>
    </xf>
    <xf numFmtId="0" fontId="73" fillId="23" borderId="68" xfId="83" applyFont="1" applyFill="1" applyBorder="1" applyAlignment="1">
      <alignment horizontal="left" vertical="center"/>
    </xf>
    <xf numFmtId="0" fontId="73" fillId="23" borderId="68" xfId="83" applyFont="1" applyFill="1" applyBorder="1" applyAlignment="1">
      <alignment horizontal="right" vertical="center"/>
    </xf>
    <xf numFmtId="0" fontId="63" fillId="23" borderId="67" xfId="83" applyFont="1" applyFill="1" applyBorder="1" applyAlignment="1">
      <alignment vertical="center" wrapText="1"/>
    </xf>
    <xf numFmtId="0" fontId="15" fillId="0" borderId="53" xfId="84" applyFont="1" applyBorder="1" applyAlignment="1">
      <alignment horizontal="left" vertical="center" wrapText="1"/>
    </xf>
    <xf numFmtId="0" fontId="15" fillId="0" borderId="5" xfId="0" applyFont="1" applyBorder="1" applyAlignment="1">
      <alignment horizontal="left" vertical="top" wrapText="1"/>
    </xf>
    <xf numFmtId="0" fontId="15" fillId="0" borderId="18" xfId="0" applyFont="1" applyBorder="1" applyAlignment="1">
      <alignment horizontal="left" vertical="top" wrapText="1"/>
    </xf>
    <xf numFmtId="0" fontId="12" fillId="0" borderId="105" xfId="0" applyFont="1" applyBorder="1" applyAlignment="1">
      <alignment vertical="center"/>
    </xf>
    <xf numFmtId="0" fontId="15" fillId="0" borderId="110" xfId="0" applyFont="1" applyBorder="1" applyAlignment="1">
      <alignment horizontal="left" vertical="top" wrapText="1"/>
    </xf>
    <xf numFmtId="0" fontId="15" fillId="0" borderId="111" xfId="0" applyFont="1" applyBorder="1" applyAlignment="1">
      <alignment horizontal="left" vertical="top" wrapText="1"/>
    </xf>
    <xf numFmtId="0" fontId="13" fillId="0" borderId="21" xfId="0" applyFont="1" applyBorder="1"/>
    <xf numFmtId="0" fontId="12" fillId="0" borderId="22" xfId="0" applyFont="1" applyBorder="1"/>
    <xf numFmtId="0" fontId="36" fillId="0" borderId="112" xfId="0" quotePrefix="1" applyFont="1" applyBorder="1" applyAlignment="1">
      <alignment horizontal="left"/>
    </xf>
    <xf numFmtId="0" fontId="9" fillId="0" borderId="21" xfId="0" applyFont="1" applyBorder="1"/>
    <xf numFmtId="165" fontId="15" fillId="0" borderId="22" xfId="84" applyNumberFormat="1" applyFont="1" applyBorder="1" applyAlignment="1">
      <alignment horizontal="right" wrapText="1"/>
    </xf>
    <xf numFmtId="0" fontId="11" fillId="0" borderId="0" xfId="0" applyFont="1"/>
    <xf numFmtId="0" fontId="11" fillId="0" borderId="21" xfId="0" applyFont="1" applyBorder="1"/>
    <xf numFmtId="0" fontId="39" fillId="0" borderId="116" xfId="0" quotePrefix="1" applyFont="1" applyBorder="1" applyAlignment="1">
      <alignment horizontal="left"/>
    </xf>
    <xf numFmtId="0" fontId="39" fillId="0" borderId="112" xfId="0" quotePrefix="1" applyFont="1" applyBorder="1" applyAlignment="1">
      <alignment horizontal="left"/>
    </xf>
    <xf numFmtId="165" fontId="15" fillId="0" borderId="117" xfId="84" applyNumberFormat="1" applyFont="1" applyBorder="1" applyAlignment="1">
      <alignment horizontal="right" wrapText="1"/>
    </xf>
    <xf numFmtId="165" fontId="15" fillId="0" borderId="118" xfId="84" applyNumberFormat="1" applyFont="1" applyBorder="1" applyAlignment="1">
      <alignment horizontal="right" wrapText="1"/>
    </xf>
    <xf numFmtId="0" fontId="15" fillId="0" borderId="121" xfId="0" applyFont="1" applyBorder="1" applyAlignment="1">
      <alignment wrapText="1"/>
    </xf>
    <xf numFmtId="0" fontId="15" fillId="0" borderId="121" xfId="0" applyFont="1" applyBorder="1" applyAlignment="1">
      <alignment horizontal="center" wrapText="1"/>
    </xf>
    <xf numFmtId="0" fontId="63" fillId="13" borderId="123" xfId="83" applyFont="1" applyFill="1" applyBorder="1" applyAlignment="1">
      <alignment vertical="center" wrapText="1"/>
    </xf>
    <xf numFmtId="9" fontId="63" fillId="13" borderId="123" xfId="83" applyNumberFormat="1" applyFont="1" applyFill="1" applyBorder="1" applyAlignment="1">
      <alignment vertical="center"/>
    </xf>
    <xf numFmtId="0" fontId="63" fillId="13" borderId="123" xfId="83" applyFont="1" applyFill="1" applyBorder="1" applyAlignment="1">
      <alignment vertical="center"/>
    </xf>
    <xf numFmtId="10" fontId="63" fillId="13" borderId="123" xfId="83" applyNumberFormat="1" applyFont="1" applyFill="1" applyBorder="1" applyAlignment="1">
      <alignment vertical="center"/>
    </xf>
    <xf numFmtId="0" fontId="46" fillId="0" borderId="123" xfId="83" applyBorder="1"/>
    <xf numFmtId="9" fontId="97" fillId="22" borderId="0" xfId="0" applyNumberFormat="1" applyFont="1" applyFill="1" applyAlignment="1">
      <alignment vertical="center" wrapText="1"/>
    </xf>
    <xf numFmtId="165" fontId="91" fillId="0" borderId="118" xfId="0" applyNumberFormat="1" applyFont="1" applyBorder="1" applyAlignment="1">
      <alignment horizontal="right" vertical="top" wrapText="1"/>
    </xf>
    <xf numFmtId="165" fontId="15" fillId="0" borderId="126" xfId="0" applyNumberFormat="1" applyFont="1" applyBorder="1" applyAlignment="1">
      <alignment horizontal="right" vertical="top" wrapText="1"/>
    </xf>
    <xf numFmtId="166" fontId="15" fillId="0" borderId="126" xfId="0" applyNumberFormat="1" applyFont="1" applyBorder="1" applyAlignment="1">
      <alignment horizontal="right" vertical="top" wrapText="1"/>
    </xf>
    <xf numFmtId="166" fontId="91" fillId="0" borderId="118" xfId="0" applyNumberFormat="1" applyFont="1" applyBorder="1" applyAlignment="1">
      <alignment horizontal="right" vertical="top" wrapText="1"/>
    </xf>
    <xf numFmtId="0" fontId="0" fillId="0" borderId="0" xfId="0" quotePrefix="1"/>
    <xf numFmtId="171" fontId="63" fillId="13" borderId="0" xfId="83" applyNumberFormat="1" applyFont="1" applyFill="1" applyAlignment="1">
      <alignment vertical="center"/>
    </xf>
    <xf numFmtId="171" fontId="58" fillId="13" borderId="0" xfId="83" applyNumberFormat="1" applyFont="1" applyFill="1" applyAlignment="1">
      <alignment vertical="center"/>
    </xf>
    <xf numFmtId="0" fontId="12" fillId="0" borderId="106" xfId="0" applyFont="1" applyBorder="1" applyAlignment="1" applyProtection="1">
      <alignment horizontal="left" vertical="top"/>
      <protection locked="0"/>
    </xf>
    <xf numFmtId="0" fontId="15" fillId="0" borderId="26" xfId="0" applyFont="1" applyBorder="1" applyAlignment="1" applyProtection="1">
      <alignment wrapText="1"/>
      <protection locked="0"/>
    </xf>
    <xf numFmtId="0" fontId="15" fillId="0" borderId="14" xfId="0" applyFont="1" applyBorder="1" applyAlignment="1" applyProtection="1">
      <alignment wrapText="1"/>
      <protection locked="0"/>
    </xf>
    <xf numFmtId="0" fontId="15" fillId="0" borderId="121" xfId="0" applyFont="1" applyBorder="1" applyAlignment="1" applyProtection="1">
      <alignment wrapText="1"/>
      <protection locked="0"/>
    </xf>
    <xf numFmtId="165" fontId="15" fillId="0" borderId="122" xfId="84" applyNumberFormat="1" applyFont="1" applyBorder="1" applyAlignment="1" applyProtection="1">
      <alignment horizontal="right" wrapText="1"/>
      <protection locked="0"/>
    </xf>
    <xf numFmtId="0" fontId="15" fillId="0" borderId="5" xfId="0" applyFont="1" applyBorder="1" applyAlignment="1" applyProtection="1">
      <alignment wrapText="1"/>
      <protection locked="0"/>
    </xf>
    <xf numFmtId="1" fontId="15" fillId="0" borderId="5" xfId="0" applyNumberFormat="1" applyFont="1" applyBorder="1" applyAlignment="1" applyProtection="1">
      <alignment wrapText="1"/>
      <protection locked="0"/>
    </xf>
    <xf numFmtId="165" fontId="15" fillId="0" borderId="22" xfId="84" applyNumberFormat="1" applyFont="1" applyBorder="1" applyAlignment="1" applyProtection="1">
      <alignment horizontal="right" wrapText="1"/>
      <protection locked="0"/>
    </xf>
    <xf numFmtId="0" fontId="63" fillId="6" borderId="41" xfId="83" applyFont="1" applyFill="1" applyBorder="1" applyAlignment="1">
      <alignment horizontal="center" vertical="center"/>
    </xf>
    <xf numFmtId="168" fontId="109" fillId="6" borderId="0" xfId="0" applyNumberFormat="1" applyFont="1" applyFill="1" applyAlignment="1">
      <alignment horizontal="center" vertical="center"/>
    </xf>
    <xf numFmtId="0" fontId="63" fillId="6" borderId="40" xfId="83" applyFont="1" applyFill="1" applyBorder="1" applyAlignment="1">
      <alignment horizontal="center" vertical="center"/>
    </xf>
    <xf numFmtId="168" fontId="109" fillId="6" borderId="66" xfId="0" applyNumberFormat="1" applyFont="1" applyFill="1" applyBorder="1" applyAlignment="1">
      <alignment horizontal="center" vertical="center"/>
    </xf>
    <xf numFmtId="0" fontId="63" fillId="6" borderId="40" xfId="83" applyFont="1" applyFill="1" applyBorder="1" applyAlignment="1">
      <alignment vertical="center" wrapText="1"/>
    </xf>
    <xf numFmtId="168" fontId="63" fillId="6" borderId="40" xfId="83" applyNumberFormat="1" applyFont="1" applyFill="1" applyBorder="1" applyAlignment="1">
      <alignment horizontal="center" vertical="center"/>
    </xf>
    <xf numFmtId="0" fontId="63" fillId="6" borderId="128" xfId="83" applyFont="1" applyFill="1" applyBorder="1" applyAlignment="1">
      <alignment horizontal="center" vertical="center"/>
    </xf>
    <xf numFmtId="168" fontId="109" fillId="6" borderId="15" xfId="0" applyNumberFormat="1" applyFont="1" applyFill="1" applyBorder="1" applyAlignment="1">
      <alignment horizontal="center" vertical="center"/>
    </xf>
    <xf numFmtId="0" fontId="80" fillId="25" borderId="40" xfId="83" applyFont="1" applyFill="1" applyBorder="1" applyAlignment="1">
      <alignment horizontal="center" vertical="center" wrapText="1"/>
    </xf>
    <xf numFmtId="0" fontId="63" fillId="7" borderId="0" xfId="83" applyFont="1" applyFill="1" applyAlignment="1">
      <alignment horizontal="left" vertical="top" wrapText="1"/>
    </xf>
    <xf numFmtId="0" fontId="0" fillId="7" borderId="0" xfId="0" applyFill="1"/>
    <xf numFmtId="0" fontId="72" fillId="7" borderId="0" xfId="83" applyFont="1" applyFill="1" applyAlignment="1">
      <alignment vertical="center"/>
    </xf>
    <xf numFmtId="0" fontId="97" fillId="22" borderId="0" xfId="0" applyFont="1" applyFill="1" applyAlignment="1">
      <alignment vertical="center" wrapText="1"/>
    </xf>
    <xf numFmtId="0" fontId="97" fillId="22" borderId="54" xfId="0" applyFont="1" applyFill="1" applyBorder="1" applyAlignment="1">
      <alignment vertical="center" wrapText="1"/>
    </xf>
    <xf numFmtId="0" fontId="87" fillId="10" borderId="23" xfId="83" applyFont="1" applyFill="1" applyBorder="1" applyAlignment="1">
      <alignment horizontal="center" wrapText="1"/>
    </xf>
    <xf numFmtId="0" fontId="87" fillId="10" borderId="45" xfId="83" applyFont="1" applyFill="1" applyBorder="1" applyAlignment="1">
      <alignment horizontal="center" wrapText="1"/>
    </xf>
    <xf numFmtId="0" fontId="72" fillId="0" borderId="38" xfId="83" applyFont="1" applyBorder="1" applyAlignment="1">
      <alignment wrapText="1"/>
    </xf>
    <xf numFmtId="0" fontId="87" fillId="10" borderId="48" xfId="83" applyFont="1" applyFill="1" applyBorder="1" applyAlignment="1">
      <alignment horizontal="center" wrapText="1"/>
    </xf>
    <xf numFmtId="0" fontId="87" fillId="10" borderId="38" xfId="83" applyFont="1" applyFill="1" applyBorder="1" applyAlignment="1">
      <alignment horizontal="center" wrapText="1"/>
    </xf>
    <xf numFmtId="0" fontId="87" fillId="10" borderId="30" xfId="83" applyFont="1" applyFill="1" applyBorder="1" applyAlignment="1">
      <alignment horizontal="center" vertical="top" wrapText="1"/>
    </xf>
    <xf numFmtId="0" fontId="88" fillId="0" borderId="0" xfId="83" applyFont="1"/>
    <xf numFmtId="0" fontId="87" fillId="0" borderId="0" xfId="83" applyFont="1"/>
    <xf numFmtId="168" fontId="72" fillId="0" borderId="45" xfId="83" applyNumberFormat="1" applyFont="1" applyBorder="1" applyAlignment="1">
      <alignment horizontal="center"/>
    </xf>
    <xf numFmtId="0" fontId="111" fillId="0" borderId="0" xfId="0" applyFont="1"/>
    <xf numFmtId="0" fontId="112" fillId="22" borderId="55" xfId="0" applyFont="1" applyFill="1" applyBorder="1" applyAlignment="1">
      <alignment vertical="center" wrapText="1"/>
    </xf>
    <xf numFmtId="0" fontId="112" fillId="22" borderId="55" xfId="0" applyFont="1" applyFill="1" applyBorder="1" applyAlignment="1">
      <alignment horizontal="center" vertical="center" wrapText="1"/>
    </xf>
    <xf numFmtId="0" fontId="113" fillId="0" borderId="55" xfId="0" applyFont="1" applyBorder="1" applyAlignment="1">
      <alignment vertical="center" wrapText="1"/>
    </xf>
    <xf numFmtId="0" fontId="113" fillId="0" borderId="55" xfId="0" applyFont="1" applyBorder="1" applyAlignment="1">
      <alignment horizontal="right" vertical="center" wrapText="1"/>
    </xf>
    <xf numFmtId="0" fontId="113" fillId="0" borderId="55" xfId="0" applyFont="1" applyBorder="1" applyAlignment="1">
      <alignment horizontal="center" vertical="center" wrapText="1"/>
    </xf>
    <xf numFmtId="176" fontId="46" fillId="0" borderId="0" xfId="83" applyNumberFormat="1"/>
    <xf numFmtId="9" fontId="0" fillId="0" borderId="0" xfId="0" applyNumberFormat="1"/>
    <xf numFmtId="1" fontId="0" fillId="0" borderId="0" xfId="0" applyNumberFormat="1"/>
    <xf numFmtId="9" fontId="0" fillId="0" borderId="0" xfId="82" applyFont="1"/>
    <xf numFmtId="0" fontId="0" fillId="0" borderId="0" xfId="0" quotePrefix="1" applyAlignment="1">
      <alignment horizontal="left"/>
    </xf>
    <xf numFmtId="176" fontId="0" fillId="0" borderId="0" xfId="0" applyNumberFormat="1"/>
    <xf numFmtId="176" fontId="0" fillId="5" borderId="0" xfId="0" applyNumberFormat="1" applyFill="1"/>
    <xf numFmtId="176" fontId="46" fillId="0" borderId="0" xfId="93" applyNumberFormat="1"/>
    <xf numFmtId="176" fontId="46" fillId="5" borderId="0" xfId="93" applyNumberFormat="1" applyFill="1"/>
    <xf numFmtId="0" fontId="114" fillId="0" borderId="0" xfId="83" applyFont="1"/>
    <xf numFmtId="0" fontId="17" fillId="2" borderId="102" xfId="0" applyFont="1" applyFill="1" applyBorder="1" applyAlignment="1">
      <alignment vertical="center"/>
    </xf>
    <xf numFmtId="0" fontId="18" fillId="2" borderId="103" xfId="0" applyFont="1" applyFill="1" applyBorder="1" applyAlignment="1">
      <alignment vertical="center"/>
    </xf>
    <xf numFmtId="0" fontId="18" fillId="2" borderId="104" xfId="0" applyFont="1" applyFill="1" applyBorder="1" applyAlignment="1">
      <alignment vertical="center"/>
    </xf>
    <xf numFmtId="0" fontId="12" fillId="0" borderId="107" xfId="0" applyFont="1" applyBorder="1" applyAlignment="1">
      <alignment horizontal="left" vertical="center" wrapText="1"/>
    </xf>
    <xf numFmtId="0" fontId="12" fillId="0" borderId="12" xfId="0" applyFont="1" applyBorder="1" applyAlignment="1">
      <alignment horizontal="left" vertical="center" wrapText="1"/>
    </xf>
    <xf numFmtId="0" fontId="15" fillId="0" borderId="109" xfId="0" applyFont="1" applyBorder="1" applyAlignment="1" applyProtection="1">
      <alignment horizontal="left" vertical="top" wrapText="1"/>
      <protection locked="0"/>
    </xf>
    <xf numFmtId="0" fontId="15" fillId="0" borderId="2" xfId="0" applyFont="1" applyBorder="1" applyAlignment="1" applyProtection="1">
      <alignment horizontal="left" vertical="top" wrapText="1"/>
      <protection locked="0"/>
    </xf>
    <xf numFmtId="0" fontId="15" fillId="0" borderId="1" xfId="0" applyFont="1" applyBorder="1" applyAlignment="1" applyProtection="1">
      <alignment horizontal="left" vertical="top" wrapText="1"/>
      <protection locked="0"/>
    </xf>
    <xf numFmtId="0" fontId="12" fillId="0" borderId="11" xfId="0" applyFont="1" applyBorder="1" applyAlignment="1">
      <alignment horizontal="left" vertical="center"/>
    </xf>
    <xf numFmtId="0" fontId="12" fillId="0" borderId="12" xfId="0" applyFont="1" applyBorder="1" applyAlignment="1">
      <alignment horizontal="left" vertical="center"/>
    </xf>
    <xf numFmtId="0" fontId="12" fillId="0" borderId="108" xfId="0" applyFont="1" applyBorder="1" applyAlignment="1">
      <alignment horizontal="left" vertical="center"/>
    </xf>
    <xf numFmtId="0" fontId="15" fillId="0" borderId="21" xfId="0" applyFont="1" applyBorder="1" applyAlignment="1" applyProtection="1">
      <alignment horizontal="left" vertical="top" wrapText="1"/>
      <protection locked="0"/>
    </xf>
    <xf numFmtId="0" fontId="15" fillId="0" borderId="53" xfId="84" applyFont="1" applyBorder="1" applyAlignment="1" applyProtection="1">
      <alignment horizontal="left" vertical="center" wrapText="1"/>
      <protection locked="0"/>
    </xf>
    <xf numFmtId="0" fontId="15" fillId="0" borderId="107" xfId="0" applyFont="1" applyBorder="1" applyAlignment="1">
      <alignment vertical="top" wrapText="1"/>
    </xf>
    <xf numFmtId="0" fontId="15" fillId="0" borderId="9" xfId="0" applyFont="1" applyBorder="1" applyAlignment="1">
      <alignment vertical="top" wrapText="1"/>
    </xf>
    <xf numFmtId="0" fontId="15" fillId="0" borderId="12" xfId="0" applyFont="1" applyBorder="1" applyAlignment="1">
      <alignment vertical="top" wrapText="1"/>
    </xf>
    <xf numFmtId="0" fontId="15" fillId="0" borderId="109" xfId="0" applyFont="1" applyBorder="1" applyAlignment="1">
      <alignment vertical="top" wrapText="1"/>
    </xf>
    <xf numFmtId="0" fontId="15" fillId="0" borderId="0" xfId="0" applyFont="1" applyAlignment="1">
      <alignment vertical="top" wrapText="1"/>
    </xf>
    <xf numFmtId="0" fontId="15" fillId="0" borderId="2" xfId="0" applyFont="1" applyBorder="1" applyAlignment="1">
      <alignment vertical="top" wrapText="1"/>
    </xf>
    <xf numFmtId="0" fontId="15" fillId="0" borderId="112" xfId="0" applyFont="1" applyBorder="1" applyAlignment="1">
      <alignment vertical="top" wrapText="1"/>
    </xf>
    <xf numFmtId="0" fontId="15" fillId="0" borderId="8" xfId="0" applyFont="1" applyBorder="1" applyAlignment="1">
      <alignment vertical="top" wrapText="1"/>
    </xf>
    <xf numFmtId="0" fontId="15" fillId="0" borderId="4" xfId="0" applyFont="1" applyBorder="1" applyAlignment="1">
      <alignment vertical="top" wrapText="1"/>
    </xf>
    <xf numFmtId="0" fontId="15" fillId="0" borderId="14" xfId="0" applyFont="1" applyBorder="1" applyAlignment="1">
      <alignment horizontal="left" vertical="top" wrapText="1"/>
    </xf>
    <xf numFmtId="0" fontId="15" fillId="0" borderId="5" xfId="0" applyFont="1" applyBorder="1" applyAlignment="1">
      <alignment horizontal="left" vertical="top" wrapText="1"/>
    </xf>
    <xf numFmtId="0" fontId="15" fillId="0" borderId="13" xfId="0" applyFont="1" applyBorder="1" applyAlignment="1">
      <alignment horizontal="left" vertical="top" wrapText="1"/>
    </xf>
    <xf numFmtId="0" fontId="12" fillId="0" borderId="3" xfId="0" applyFont="1" applyBorder="1" applyAlignment="1">
      <alignment horizontal="left" vertical="top" wrapText="1"/>
    </xf>
    <xf numFmtId="0" fontId="12" fillId="0" borderId="4" xfId="0" applyFont="1" applyBorder="1" applyAlignment="1">
      <alignment horizontal="left" vertical="top" wrapText="1"/>
    </xf>
    <xf numFmtId="0" fontId="15" fillId="0" borderId="11" xfId="0" applyFont="1" applyBorder="1" applyAlignment="1">
      <alignment horizontal="left" vertical="top" wrapText="1"/>
    </xf>
    <xf numFmtId="0" fontId="15" fillId="0" borderId="3" xfId="0" applyFont="1" applyBorder="1" applyAlignment="1">
      <alignment horizontal="left" vertical="top" wrapText="1"/>
    </xf>
    <xf numFmtId="6" fontId="91" fillId="0" borderId="13" xfId="84" applyNumberFormat="1" applyFont="1" applyBorder="1" applyAlignment="1">
      <alignment horizontal="center" vertical="top" wrapText="1"/>
    </xf>
    <xf numFmtId="6" fontId="91" fillId="0" borderId="14" xfId="84" applyNumberFormat="1" applyFont="1" applyBorder="1" applyAlignment="1">
      <alignment horizontal="center" vertical="top" wrapText="1"/>
    </xf>
    <xf numFmtId="0" fontId="12" fillId="0" borderId="8" xfId="0" applyFont="1" applyBorder="1" applyAlignment="1">
      <alignment horizontal="left" vertical="top" wrapText="1"/>
    </xf>
    <xf numFmtId="0" fontId="12" fillId="0" borderId="113" xfId="0" applyFont="1" applyBorder="1" applyAlignment="1">
      <alignment horizontal="left" vertical="top" wrapText="1"/>
    </xf>
    <xf numFmtId="0" fontId="12" fillId="0" borderId="112" xfId="0" applyFont="1" applyBorder="1" applyAlignment="1">
      <alignment vertical="top"/>
    </xf>
    <xf numFmtId="0" fontId="12" fillId="0" borderId="8" xfId="0" applyFont="1" applyBorder="1" applyAlignment="1">
      <alignment vertical="top"/>
    </xf>
    <xf numFmtId="0" fontId="12" fillId="0" borderId="4" xfId="0" applyFont="1" applyBorder="1" applyAlignment="1">
      <alignment vertical="top"/>
    </xf>
    <xf numFmtId="0" fontId="15" fillId="0" borderId="17" xfId="0" applyFont="1" applyBorder="1" applyAlignment="1">
      <alignment horizontal="left" vertical="top" wrapText="1"/>
    </xf>
    <xf numFmtId="0" fontId="15" fillId="0" borderId="18" xfId="0" applyFont="1" applyBorder="1" applyAlignment="1">
      <alignment horizontal="left" vertical="top" wrapText="1"/>
    </xf>
    <xf numFmtId="0" fontId="15" fillId="0" borderId="19" xfId="0" applyFont="1" applyBorder="1" applyAlignment="1">
      <alignment horizontal="left" vertical="top" wrapText="1"/>
    </xf>
    <xf numFmtId="0" fontId="20" fillId="0" borderId="107" xfId="0" applyFont="1" applyBorder="1" applyAlignment="1">
      <alignment horizontal="left" vertical="center"/>
    </xf>
    <xf numFmtId="0" fontId="20" fillId="0" borderId="9" xfId="0" applyFont="1" applyBorder="1" applyAlignment="1">
      <alignment horizontal="left" vertical="center"/>
    </xf>
    <xf numFmtId="0" fontId="12" fillId="0" borderId="20" xfId="0" applyFont="1" applyBorder="1" applyAlignment="1">
      <alignment horizontal="left"/>
    </xf>
    <xf numFmtId="0" fontId="28" fillId="0" borderId="120" xfId="0" applyFont="1" applyBorder="1" applyAlignment="1">
      <alignment wrapText="1"/>
    </xf>
    <xf numFmtId="0" fontId="28" fillId="0" borderId="121" xfId="0" applyFont="1" applyBorder="1" applyAlignment="1">
      <alignment wrapText="1"/>
    </xf>
    <xf numFmtId="0" fontId="28" fillId="0" borderId="115" xfId="0" applyFont="1" applyBorder="1"/>
    <xf numFmtId="0" fontId="28" fillId="0" borderId="5" xfId="0" applyFont="1" applyBorder="1"/>
    <xf numFmtId="0" fontId="90" fillId="0" borderId="119" xfId="0" applyFont="1" applyBorder="1"/>
    <xf numFmtId="0" fontId="90" fillId="0" borderId="14" xfId="0" applyFont="1" applyBorder="1"/>
    <xf numFmtId="0" fontId="90" fillId="0" borderId="115" xfId="0" applyFont="1" applyBorder="1"/>
    <xf numFmtId="0" fontId="90" fillId="0" borderId="5" xfId="0" applyFont="1" applyBorder="1"/>
    <xf numFmtId="0" fontId="12" fillId="0" borderId="6" xfId="0" applyFont="1" applyBorder="1" applyAlignment="1">
      <alignment horizontal="center" vertical="center" wrapText="1"/>
    </xf>
    <xf numFmtId="0" fontId="12" fillId="0" borderId="10" xfId="0" applyFont="1" applyBorder="1" applyAlignment="1">
      <alignment horizontal="center" vertical="center"/>
    </xf>
    <xf numFmtId="0" fontId="12" fillId="0" borderId="7" xfId="0" applyFont="1" applyBorder="1" applyAlignment="1">
      <alignment horizontal="center" vertical="center"/>
    </xf>
    <xf numFmtId="0" fontId="19" fillId="0" borderId="6" xfId="0" applyFont="1" applyBorder="1" applyAlignment="1">
      <alignment horizontal="center" vertical="center" wrapText="1"/>
    </xf>
    <xf numFmtId="0" fontId="19" fillId="0" borderId="114" xfId="0" applyFont="1" applyBorder="1" applyAlignment="1">
      <alignment horizontal="center" vertical="center" wrapText="1"/>
    </xf>
    <xf numFmtId="0" fontId="12" fillId="0" borderId="109" xfId="0" applyFont="1" applyBorder="1"/>
    <xf numFmtId="0" fontId="12" fillId="0" borderId="2" xfId="0" applyFont="1" applyBorder="1"/>
    <xf numFmtId="0" fontId="16" fillId="0" borderId="109" xfId="0" applyFont="1" applyBorder="1" applyAlignment="1">
      <alignment horizontal="left"/>
    </xf>
    <xf numFmtId="0" fontId="16" fillId="0" borderId="2" xfId="0" applyFont="1" applyBorder="1" applyAlignment="1">
      <alignment horizontal="left"/>
    </xf>
    <xf numFmtId="0" fontId="28" fillId="0" borderId="85" xfId="0" applyFont="1" applyBorder="1" applyAlignment="1">
      <alignment wrapText="1"/>
    </xf>
    <xf numFmtId="0" fontId="28" fillId="0" borderId="26" xfId="0" applyFont="1" applyBorder="1" applyAlignment="1">
      <alignment wrapText="1"/>
    </xf>
    <xf numFmtId="0" fontId="42" fillId="0" borderId="109" xfId="0" quotePrefix="1" applyFont="1" applyBorder="1" applyAlignment="1">
      <alignment horizontal="left"/>
    </xf>
    <xf numFmtId="0" fontId="42" fillId="0" borderId="0" xfId="0" quotePrefix="1" applyFont="1" applyAlignment="1">
      <alignment horizontal="left"/>
    </xf>
    <xf numFmtId="0" fontId="42" fillId="0" borderId="21" xfId="0" quotePrefix="1" applyFont="1" applyBorder="1" applyAlignment="1">
      <alignment horizontal="left"/>
    </xf>
    <xf numFmtId="0" fontId="50" fillId="7" borderId="26" xfId="83" applyFont="1" applyFill="1" applyBorder="1" applyAlignment="1">
      <alignment horizontal="left" vertical="center" wrapText="1"/>
    </xf>
    <xf numFmtId="0" fontId="50" fillId="7" borderId="17" xfId="83" applyFont="1" applyFill="1" applyBorder="1" applyAlignment="1">
      <alignment horizontal="left" vertical="center" wrapText="1"/>
    </xf>
    <xf numFmtId="0" fontId="50" fillId="7" borderId="18" xfId="83" applyFont="1" applyFill="1" applyBorder="1" applyAlignment="1">
      <alignment horizontal="left" vertical="center" wrapText="1"/>
    </xf>
    <xf numFmtId="0" fontId="50" fillId="7" borderId="19" xfId="83" applyFont="1" applyFill="1" applyBorder="1" applyAlignment="1">
      <alignment horizontal="left" vertical="center" wrapText="1"/>
    </xf>
    <xf numFmtId="0" fontId="58" fillId="7" borderId="0" xfId="93" applyFont="1" applyFill="1" applyAlignment="1">
      <alignment horizontal="left" vertical="center" wrapText="1"/>
    </xf>
    <xf numFmtId="0" fontId="59" fillId="7" borderId="0" xfId="89" quotePrefix="1" applyFill="1" applyAlignment="1" applyProtection="1">
      <alignment horizontal="left" vertical="center"/>
    </xf>
    <xf numFmtId="2" fontId="58" fillId="14" borderId="29" xfId="93" applyNumberFormat="1" applyFont="1" applyFill="1" applyBorder="1" applyAlignment="1" applyProtection="1">
      <alignment horizontal="center" vertical="center"/>
      <protection locked="0"/>
    </xf>
    <xf numFmtId="2" fontId="58" fillId="14" borderId="28" xfId="93" applyNumberFormat="1" applyFont="1" applyFill="1" applyBorder="1" applyAlignment="1" applyProtection="1">
      <alignment horizontal="center" vertical="center"/>
      <protection locked="0"/>
    </xf>
    <xf numFmtId="167" fontId="63" fillId="13" borderId="75" xfId="83" applyNumberFormat="1" applyFont="1" applyFill="1" applyBorder="1" applyAlignment="1">
      <alignment horizontal="center" vertical="center"/>
    </xf>
    <xf numFmtId="167" fontId="63" fillId="13" borderId="76" xfId="83" applyNumberFormat="1" applyFont="1" applyFill="1" applyBorder="1" applyAlignment="1">
      <alignment horizontal="center" vertical="center"/>
    </xf>
    <xf numFmtId="0" fontId="63" fillId="23" borderId="0" xfId="83" applyFont="1" applyFill="1" applyAlignment="1">
      <alignment horizontal="left" vertical="center"/>
    </xf>
    <xf numFmtId="0" fontId="63" fillId="23" borderId="0" xfId="83" applyFont="1" applyFill="1" applyAlignment="1">
      <alignment horizontal="center" vertical="center"/>
    </xf>
    <xf numFmtId="0" fontId="73" fillId="23" borderId="35" xfId="83" applyFont="1" applyFill="1" applyBorder="1" applyAlignment="1">
      <alignment horizontal="center" vertical="center"/>
    </xf>
    <xf numFmtId="0" fontId="73" fillId="23" borderId="0" xfId="83" applyFont="1" applyFill="1" applyAlignment="1">
      <alignment horizontal="center" vertical="center"/>
    </xf>
    <xf numFmtId="0" fontId="63" fillId="6" borderId="0" xfId="83" applyFont="1" applyFill="1" applyAlignment="1">
      <alignment horizontal="center" vertical="center"/>
    </xf>
    <xf numFmtId="0" fontId="63" fillId="23" borderId="20" xfId="83" applyFont="1" applyFill="1" applyBorder="1" applyAlignment="1">
      <alignment horizontal="center" vertical="center"/>
    </xf>
    <xf numFmtId="0" fontId="103" fillId="23" borderId="20" xfId="83" applyFont="1" applyFill="1" applyBorder="1" applyAlignment="1">
      <alignment horizontal="center" vertical="center"/>
    </xf>
    <xf numFmtId="49" fontId="63" fillId="23" borderId="0" xfId="83" applyNumberFormat="1" applyFont="1" applyFill="1" applyAlignment="1">
      <alignment horizontal="center" vertical="center"/>
    </xf>
    <xf numFmtId="170" fontId="63" fillId="13" borderId="87" xfId="87" applyNumberFormat="1" applyFont="1" applyFill="1" applyBorder="1" applyAlignment="1" applyProtection="1">
      <alignment horizontal="center" vertical="center"/>
    </xf>
    <xf numFmtId="170" fontId="63" fillId="13" borderId="89" xfId="87" applyNumberFormat="1" applyFont="1" applyFill="1" applyBorder="1" applyAlignment="1" applyProtection="1">
      <alignment horizontal="center" vertical="center"/>
    </xf>
    <xf numFmtId="0" fontId="73" fillId="23" borderId="20" xfId="83" applyFont="1" applyFill="1" applyBorder="1" applyAlignment="1">
      <alignment horizontal="center" vertical="center"/>
    </xf>
    <xf numFmtId="3" fontId="63" fillId="13" borderId="20" xfId="83" applyNumberFormat="1" applyFont="1" applyFill="1" applyBorder="1" applyAlignment="1">
      <alignment horizontal="center" vertical="center"/>
    </xf>
    <xf numFmtId="168" fontId="71" fillId="13" borderId="77" xfId="83" applyNumberFormat="1" applyFont="1" applyFill="1" applyBorder="1" applyAlignment="1">
      <alignment horizontal="center" vertical="center"/>
    </xf>
    <xf numFmtId="168" fontId="71" fillId="13" borderId="78" xfId="83" applyNumberFormat="1" applyFont="1" applyFill="1" applyBorder="1" applyAlignment="1">
      <alignment horizontal="center" vertical="center"/>
    </xf>
    <xf numFmtId="168" fontId="71" fillId="13" borderId="79" xfId="83" applyNumberFormat="1" applyFont="1" applyFill="1" applyBorder="1" applyAlignment="1">
      <alignment horizontal="center" vertical="center"/>
    </xf>
    <xf numFmtId="168" fontId="71" fillId="13" borderId="80" xfId="83" applyNumberFormat="1" applyFont="1" applyFill="1" applyBorder="1" applyAlignment="1">
      <alignment horizontal="center" vertical="center"/>
    </xf>
    <xf numFmtId="3" fontId="63" fillId="13" borderId="35" xfId="83" applyNumberFormat="1" applyFont="1" applyFill="1" applyBorder="1" applyAlignment="1">
      <alignment horizontal="center" vertical="center"/>
    </xf>
    <xf numFmtId="170" fontId="63" fillId="13" borderId="87" xfId="87" applyNumberFormat="1" applyFont="1" applyFill="1" applyBorder="1" applyAlignment="1" applyProtection="1">
      <alignment horizontal="center" vertical="center" shrinkToFit="1"/>
    </xf>
    <xf numFmtId="170" fontId="63" fillId="13" borderId="89" xfId="87" applyNumberFormat="1" applyFont="1" applyFill="1" applyBorder="1" applyAlignment="1" applyProtection="1">
      <alignment horizontal="center" vertical="center" shrinkToFit="1"/>
    </xf>
    <xf numFmtId="2" fontId="63" fillId="14" borderId="87" xfId="83" applyNumberFormat="1" applyFont="1" applyFill="1" applyBorder="1" applyAlignment="1" applyProtection="1">
      <alignment horizontal="center" vertical="center"/>
      <protection locked="0"/>
    </xf>
    <xf numFmtId="2" fontId="63" fillId="14" borderId="89" xfId="83" applyNumberFormat="1" applyFont="1" applyFill="1" applyBorder="1" applyAlignment="1" applyProtection="1">
      <alignment horizontal="center" vertical="center"/>
      <protection locked="0"/>
    </xf>
    <xf numFmtId="0" fontId="102" fillId="12" borderId="26" xfId="94" applyFont="1" applyFill="1" applyBorder="1" applyAlignment="1" applyProtection="1">
      <alignment horizontal="left" vertical="center"/>
    </xf>
    <xf numFmtId="170" fontId="63" fillId="21" borderId="0" xfId="87" applyNumberFormat="1" applyFont="1" applyFill="1" applyBorder="1" applyAlignment="1" applyProtection="1">
      <alignment horizontal="center" vertical="center"/>
      <protection locked="0"/>
    </xf>
    <xf numFmtId="4" fontId="63" fillId="14" borderId="87" xfId="83" applyNumberFormat="1" applyFont="1" applyFill="1" applyBorder="1" applyAlignment="1" applyProtection="1">
      <alignment horizontal="center" vertical="center"/>
      <protection locked="0"/>
    </xf>
    <xf numFmtId="4" fontId="63" fillId="14" borderId="89" xfId="83" applyNumberFormat="1" applyFont="1" applyFill="1" applyBorder="1" applyAlignment="1" applyProtection="1">
      <alignment horizontal="center" vertical="center"/>
      <protection locked="0"/>
    </xf>
    <xf numFmtId="170" fontId="63" fillId="13" borderId="0" xfId="87" applyNumberFormat="1" applyFont="1" applyFill="1" applyBorder="1" applyAlignment="1" applyProtection="1">
      <alignment horizontal="center" vertical="center"/>
    </xf>
    <xf numFmtId="0" fontId="63" fillId="14" borderId="87" xfId="83" applyFont="1" applyFill="1" applyBorder="1" applyAlignment="1" applyProtection="1">
      <alignment horizontal="left" vertical="center" wrapText="1" shrinkToFit="1"/>
      <protection locked="0"/>
    </xf>
    <xf numFmtId="0" fontId="63" fillId="14" borderId="88" xfId="83" applyFont="1" applyFill="1" applyBorder="1" applyAlignment="1" applyProtection="1">
      <alignment horizontal="left" vertical="center" wrapText="1" shrinkToFit="1"/>
      <protection locked="0"/>
    </xf>
    <xf numFmtId="0" fontId="63" fillId="14" borderId="89" xfId="83" applyFont="1" applyFill="1" applyBorder="1" applyAlignment="1" applyProtection="1">
      <alignment horizontal="left" vertical="center" wrapText="1" shrinkToFit="1"/>
      <protection locked="0"/>
    </xf>
    <xf numFmtId="9" fontId="63" fillId="23" borderId="0" xfId="82" applyFont="1" applyFill="1" applyAlignment="1">
      <alignment horizontal="center" vertical="center"/>
    </xf>
    <xf numFmtId="0" fontId="63" fillId="14" borderId="87" xfId="83" applyFont="1" applyFill="1" applyBorder="1" applyAlignment="1" applyProtection="1">
      <alignment horizontal="center" vertical="center"/>
      <protection locked="0"/>
    </xf>
    <xf numFmtId="0" fontId="63" fillId="14" borderId="88" xfId="83" applyFont="1" applyFill="1" applyBorder="1" applyAlignment="1" applyProtection="1">
      <alignment horizontal="center" vertical="center"/>
      <protection locked="0"/>
    </xf>
    <xf numFmtId="0" fontId="63" fillId="14" borderId="89" xfId="83" applyFont="1" applyFill="1" applyBorder="1" applyAlignment="1" applyProtection="1">
      <alignment horizontal="center" vertical="center"/>
      <protection locked="0"/>
    </xf>
    <xf numFmtId="49" fontId="63" fillId="14" borderId="87" xfId="83" applyNumberFormat="1" applyFont="1" applyFill="1" applyBorder="1" applyAlignment="1" applyProtection="1">
      <alignment horizontal="center" vertical="center"/>
      <protection locked="0"/>
    </xf>
    <xf numFmtId="49" fontId="63" fillId="14" borderId="88" xfId="83" applyNumberFormat="1" applyFont="1" applyFill="1" applyBorder="1" applyAlignment="1" applyProtection="1">
      <alignment horizontal="center" vertical="center"/>
      <protection locked="0"/>
    </xf>
    <xf numFmtId="49" fontId="63" fillId="14" borderId="89" xfId="83" applyNumberFormat="1" applyFont="1" applyFill="1" applyBorder="1" applyAlignment="1" applyProtection="1">
      <alignment horizontal="center" vertical="center"/>
      <protection locked="0"/>
    </xf>
    <xf numFmtId="3" fontId="63" fillId="14" borderId="87" xfId="83" applyNumberFormat="1" applyFont="1" applyFill="1" applyBorder="1" applyAlignment="1" applyProtection="1">
      <alignment horizontal="center" vertical="center"/>
      <protection locked="0"/>
    </xf>
    <xf numFmtId="3" fontId="63" fillId="14" borderId="88" xfId="83" applyNumberFormat="1" applyFont="1" applyFill="1" applyBorder="1" applyAlignment="1" applyProtection="1">
      <alignment horizontal="center" vertical="center"/>
      <protection locked="0"/>
    </xf>
    <xf numFmtId="3" fontId="63" fillId="14" borderId="89" xfId="83" applyNumberFormat="1" applyFont="1" applyFill="1" applyBorder="1" applyAlignment="1" applyProtection="1">
      <alignment horizontal="center" vertical="center"/>
      <protection locked="0"/>
    </xf>
    <xf numFmtId="10" fontId="63" fillId="14" borderId="87" xfId="83" applyNumberFormat="1" applyFont="1" applyFill="1" applyBorder="1" applyAlignment="1" applyProtection="1">
      <alignment horizontal="center" vertical="center"/>
      <protection locked="0"/>
    </xf>
    <xf numFmtId="10" fontId="63" fillId="14" borderId="88" xfId="83" applyNumberFormat="1" applyFont="1" applyFill="1" applyBorder="1" applyAlignment="1" applyProtection="1">
      <alignment horizontal="center" vertical="center"/>
      <protection locked="0"/>
    </xf>
    <xf numFmtId="10" fontId="63" fillId="14" borderId="89" xfId="83" applyNumberFormat="1" applyFont="1" applyFill="1" applyBorder="1" applyAlignment="1" applyProtection="1">
      <alignment horizontal="center" vertical="center"/>
      <protection locked="0"/>
    </xf>
    <xf numFmtId="0" fontId="63" fillId="23" borderId="68" xfId="83" applyFont="1" applyFill="1" applyBorder="1" applyAlignment="1">
      <alignment horizontal="left" vertical="center"/>
    </xf>
    <xf numFmtId="175" fontId="63" fillId="14" borderId="87" xfId="83" applyNumberFormat="1" applyFont="1" applyFill="1" applyBorder="1" applyAlignment="1" applyProtection="1">
      <alignment horizontal="center" vertical="center"/>
      <protection locked="0"/>
    </xf>
    <xf numFmtId="175" fontId="63" fillId="14" borderId="88" xfId="83" applyNumberFormat="1" applyFont="1" applyFill="1" applyBorder="1" applyAlignment="1" applyProtection="1">
      <alignment horizontal="center" vertical="center"/>
      <protection locked="0"/>
    </xf>
    <xf numFmtId="175" fontId="63" fillId="14" borderId="89" xfId="83" applyNumberFormat="1" applyFont="1" applyFill="1" applyBorder="1" applyAlignment="1" applyProtection="1">
      <alignment horizontal="center" vertical="center"/>
      <protection locked="0"/>
    </xf>
    <xf numFmtId="0" fontId="63" fillId="0" borderId="0" xfId="83" applyFont="1" applyAlignment="1">
      <alignment horizontal="left" wrapText="1"/>
    </xf>
    <xf numFmtId="0" fontId="0" fillId="0" borderId="0" xfId="0"/>
    <xf numFmtId="3" fontId="63" fillId="13" borderId="0" xfId="83" applyNumberFormat="1" applyFont="1" applyFill="1" applyAlignment="1">
      <alignment horizontal="center" vertical="center"/>
    </xf>
    <xf numFmtId="0" fontId="63" fillId="14" borderId="86" xfId="83" applyFont="1" applyFill="1" applyBorder="1" applyAlignment="1" applyProtection="1">
      <alignment horizontal="center" vertical="center"/>
      <protection locked="0"/>
    </xf>
    <xf numFmtId="3" fontId="63" fillId="14" borderId="86" xfId="83" applyNumberFormat="1" applyFont="1" applyFill="1" applyBorder="1" applyAlignment="1" applyProtection="1">
      <alignment horizontal="center" vertical="center"/>
      <protection locked="0"/>
    </xf>
    <xf numFmtId="2" fontId="63" fillId="13" borderId="86" xfId="83" applyNumberFormat="1" applyFont="1" applyFill="1" applyBorder="1" applyAlignment="1">
      <alignment horizontal="center" vertical="center"/>
    </xf>
    <xf numFmtId="3" fontId="63" fillId="13" borderId="86" xfId="83" applyNumberFormat="1" applyFont="1" applyFill="1" applyBorder="1" applyAlignment="1">
      <alignment horizontal="center" vertical="center"/>
    </xf>
    <xf numFmtId="3" fontId="63" fillId="13" borderId="90" xfId="83" applyNumberFormat="1" applyFont="1" applyFill="1" applyBorder="1" applyAlignment="1">
      <alignment horizontal="center" vertical="center"/>
    </xf>
    <xf numFmtId="3" fontId="63" fillId="13" borderId="91" xfId="83" applyNumberFormat="1" applyFont="1" applyFill="1" applyBorder="1" applyAlignment="1">
      <alignment horizontal="center" vertical="center"/>
    </xf>
    <xf numFmtId="3" fontId="63" fillId="13" borderId="92" xfId="83" applyNumberFormat="1" applyFont="1" applyFill="1" applyBorder="1" applyAlignment="1">
      <alignment horizontal="center" vertical="center"/>
    </xf>
    <xf numFmtId="0" fontId="63" fillId="7" borderId="0" xfId="83" applyFont="1" applyFill="1" applyAlignment="1">
      <alignment horizontal="center" vertical="center"/>
    </xf>
    <xf numFmtId="0" fontId="80" fillId="24" borderId="86" xfId="83" applyFont="1" applyFill="1" applyBorder="1" applyAlignment="1">
      <alignment horizontal="center" vertical="center"/>
    </xf>
    <xf numFmtId="4" fontId="63" fillId="14" borderId="0" xfId="83" applyNumberFormat="1" applyFont="1" applyFill="1" applyAlignment="1" applyProtection="1">
      <alignment horizontal="center" vertical="center"/>
      <protection locked="0"/>
    </xf>
    <xf numFmtId="0" fontId="63" fillId="13" borderId="0" xfId="83" applyFont="1" applyFill="1" applyAlignment="1">
      <alignment horizontal="left" vertical="center" wrapText="1"/>
    </xf>
    <xf numFmtId="2" fontId="63" fillId="14" borderId="86" xfId="83" applyNumberFormat="1" applyFont="1" applyFill="1" applyBorder="1" applyAlignment="1" applyProtection="1">
      <alignment horizontal="center" vertical="center"/>
      <protection locked="0"/>
    </xf>
    <xf numFmtId="1" fontId="63" fillId="14" borderId="86" xfId="83" applyNumberFormat="1" applyFont="1" applyFill="1" applyBorder="1" applyAlignment="1" applyProtection="1">
      <alignment horizontal="center" vertical="center"/>
      <protection locked="0"/>
    </xf>
    <xf numFmtId="3" fontId="63" fillId="13" borderId="86" xfId="83" applyNumberFormat="1" applyFont="1" applyFill="1" applyBorder="1" applyAlignment="1">
      <alignment horizontal="center" vertical="center" wrapText="1"/>
    </xf>
    <xf numFmtId="0" fontId="63" fillId="14" borderId="86" xfId="83" applyFont="1" applyFill="1" applyBorder="1" applyAlignment="1" applyProtection="1">
      <alignment horizontal="center" vertical="center" wrapText="1"/>
      <protection locked="0"/>
    </xf>
    <xf numFmtId="3" fontId="63" fillId="14" borderId="86" xfId="83" applyNumberFormat="1" applyFont="1" applyFill="1" applyBorder="1" applyAlignment="1" applyProtection="1">
      <alignment horizontal="center" vertical="center" wrapText="1"/>
      <protection locked="0"/>
    </xf>
    <xf numFmtId="3" fontId="63" fillId="14" borderId="0" xfId="83" applyNumberFormat="1" applyFont="1" applyFill="1" applyAlignment="1" applyProtection="1">
      <alignment horizontal="center" vertical="center"/>
      <protection locked="0"/>
    </xf>
    <xf numFmtId="0" fontId="63" fillId="7" borderId="86" xfId="83" applyFont="1" applyFill="1" applyBorder="1" applyAlignment="1">
      <alignment horizontal="center" vertical="center"/>
    </xf>
    <xf numFmtId="0" fontId="63" fillId="21" borderId="0" xfId="83" applyFont="1" applyFill="1" applyAlignment="1" applyProtection="1">
      <alignment horizontal="left" vertical="top" wrapText="1"/>
      <protection locked="0"/>
    </xf>
    <xf numFmtId="3" fontId="63" fillId="13" borderId="93" xfId="83" applyNumberFormat="1" applyFont="1" applyFill="1" applyBorder="1" applyAlignment="1">
      <alignment horizontal="center" vertical="center"/>
    </xf>
    <xf numFmtId="3" fontId="63" fillId="13" borderId="94" xfId="83" applyNumberFormat="1" applyFont="1" applyFill="1" applyBorder="1" applyAlignment="1">
      <alignment horizontal="center" vertical="center"/>
    </xf>
    <xf numFmtId="3" fontId="63" fillId="13" borderId="95" xfId="83" applyNumberFormat="1" applyFont="1" applyFill="1" applyBorder="1" applyAlignment="1">
      <alignment horizontal="center" vertical="center"/>
    </xf>
    <xf numFmtId="0" fontId="63" fillId="13" borderId="0" xfId="83" applyFont="1" applyFill="1" applyAlignment="1">
      <alignment horizontal="center"/>
    </xf>
    <xf numFmtId="2" fontId="63" fillId="13" borderId="0" xfId="83" applyNumberFormat="1" applyFont="1" applyFill="1" applyAlignment="1">
      <alignment horizontal="center"/>
    </xf>
    <xf numFmtId="0" fontId="63" fillId="23" borderId="0" xfId="83" quotePrefix="1" applyFont="1" applyFill="1" applyAlignment="1">
      <alignment horizontal="right" vertical="center"/>
    </xf>
    <xf numFmtId="0" fontId="63" fillId="23" borderId="0" xfId="83" applyFont="1" applyFill="1" applyAlignment="1">
      <alignment horizontal="right" vertical="center"/>
    </xf>
    <xf numFmtId="0" fontId="63" fillId="23" borderId="40" xfId="83" applyFont="1" applyFill="1" applyBorder="1" applyAlignment="1">
      <alignment horizontal="left" vertical="center" wrapText="1"/>
    </xf>
    <xf numFmtId="0" fontId="63" fillId="23" borderId="40" xfId="83" applyFont="1" applyFill="1" applyBorder="1" applyAlignment="1">
      <alignment horizontal="center" vertical="center" wrapText="1"/>
    </xf>
    <xf numFmtId="0" fontId="63" fillId="23" borderId="81" xfId="83" applyFont="1" applyFill="1" applyBorder="1" applyAlignment="1">
      <alignment horizontal="center" vertical="center" wrapText="1"/>
    </xf>
    <xf numFmtId="4" fontId="63" fillId="14" borderId="96" xfId="83" applyNumberFormat="1" applyFont="1" applyFill="1" applyBorder="1" applyAlignment="1" applyProtection="1">
      <alignment horizontal="center" vertical="center" wrapText="1"/>
      <protection locked="0"/>
    </xf>
    <xf numFmtId="0" fontId="63" fillId="23" borderId="96" xfId="83" applyFont="1" applyFill="1" applyBorder="1" applyAlignment="1">
      <alignment horizontal="center" vertical="center" wrapText="1"/>
    </xf>
    <xf numFmtId="3" fontId="63" fillId="7" borderId="93" xfId="83" applyNumberFormat="1" applyFont="1" applyFill="1" applyBorder="1" applyAlignment="1">
      <alignment horizontal="center" vertical="center"/>
    </xf>
    <xf numFmtId="3" fontId="63" fillId="7" borderId="94" xfId="83" applyNumberFormat="1" applyFont="1" applyFill="1" applyBorder="1" applyAlignment="1">
      <alignment horizontal="center" vertical="center"/>
    </xf>
    <xf numFmtId="3" fontId="63" fillId="7" borderId="95" xfId="83" applyNumberFormat="1" applyFont="1" applyFill="1" applyBorder="1" applyAlignment="1">
      <alignment horizontal="center" vertical="center"/>
    </xf>
    <xf numFmtId="167" fontId="63" fillId="7" borderId="93" xfId="83" applyNumberFormat="1" applyFont="1" applyFill="1" applyBorder="1" applyAlignment="1">
      <alignment horizontal="center" vertical="center"/>
    </xf>
    <xf numFmtId="167" fontId="63" fillId="7" borderId="94" xfId="83" applyNumberFormat="1" applyFont="1" applyFill="1" applyBorder="1" applyAlignment="1">
      <alignment horizontal="center" vertical="center"/>
    </xf>
    <xf numFmtId="167" fontId="63" fillId="7" borderId="95" xfId="83" applyNumberFormat="1" applyFont="1" applyFill="1" applyBorder="1" applyAlignment="1">
      <alignment horizontal="center" vertical="center"/>
    </xf>
    <xf numFmtId="4" fontId="63" fillId="14" borderId="93" xfId="83" applyNumberFormat="1" applyFont="1" applyFill="1" applyBorder="1" applyAlignment="1" applyProtection="1">
      <alignment horizontal="center" vertical="center"/>
      <protection locked="0"/>
    </xf>
    <xf numFmtId="4" fontId="63" fillId="14" borderId="94" xfId="83" applyNumberFormat="1" applyFont="1" applyFill="1" applyBorder="1" applyAlignment="1" applyProtection="1">
      <alignment horizontal="center" vertical="center"/>
      <protection locked="0"/>
    </xf>
    <xf numFmtId="4" fontId="63" fillId="14" borderId="95" xfId="83" applyNumberFormat="1" applyFont="1" applyFill="1" applyBorder="1" applyAlignment="1" applyProtection="1">
      <alignment horizontal="center" vertical="center"/>
      <protection locked="0"/>
    </xf>
    <xf numFmtId="0" fontId="63" fillId="24" borderId="44" xfId="83" applyFont="1" applyFill="1" applyBorder="1" applyAlignment="1">
      <alignment horizontal="center" vertical="center" wrapText="1"/>
    </xf>
    <xf numFmtId="0" fontId="63" fillId="24" borderId="43" xfId="83" applyFont="1" applyFill="1" applyBorder="1" applyAlignment="1">
      <alignment horizontal="center" vertical="center" wrapText="1"/>
    </xf>
    <xf numFmtId="0" fontId="80" fillId="24" borderId="43" xfId="83" applyFont="1" applyFill="1" applyBorder="1" applyAlignment="1">
      <alignment horizontal="center" vertical="center" wrapText="1"/>
    </xf>
    <xf numFmtId="0" fontId="80" fillId="24" borderId="42" xfId="83" applyFont="1" applyFill="1" applyBorder="1" applyAlignment="1">
      <alignment horizontal="center" vertical="center" wrapText="1"/>
    </xf>
    <xf numFmtId="0" fontId="63" fillId="0" borderId="0" xfId="83" applyFont="1" applyAlignment="1">
      <alignment horizontal="left"/>
    </xf>
    <xf numFmtId="0" fontId="63" fillId="14" borderId="0" xfId="83" applyFont="1" applyFill="1" applyAlignment="1" applyProtection="1">
      <alignment horizontal="center" vertical="center"/>
      <protection locked="0"/>
    </xf>
    <xf numFmtId="0" fontId="63" fillId="23" borderId="67" xfId="83" applyFont="1" applyFill="1" applyBorder="1" applyAlignment="1">
      <alignment horizontal="center" vertical="center"/>
    </xf>
    <xf numFmtId="9" fontId="63" fillId="7" borderId="0" xfId="83" applyNumberFormat="1" applyFont="1" applyFill="1" applyAlignment="1">
      <alignment horizontal="center" vertical="center"/>
    </xf>
    <xf numFmtId="0" fontId="63" fillId="23" borderId="35" xfId="83" applyFont="1" applyFill="1" applyBorder="1" applyAlignment="1">
      <alignment horizontal="center" vertical="center"/>
    </xf>
    <xf numFmtId="10" fontId="63" fillId="14" borderId="97" xfId="83" applyNumberFormat="1" applyFont="1" applyFill="1" applyBorder="1" applyAlignment="1" applyProtection="1">
      <alignment horizontal="center" vertical="center" wrapText="1"/>
      <protection locked="0"/>
    </xf>
    <xf numFmtId="10" fontId="63" fillId="14" borderId="98" xfId="83" applyNumberFormat="1" applyFont="1" applyFill="1" applyBorder="1" applyAlignment="1" applyProtection="1">
      <alignment horizontal="center" vertical="center" wrapText="1"/>
      <protection locked="0"/>
    </xf>
    <xf numFmtId="10" fontId="63" fillId="14" borderId="99" xfId="83" applyNumberFormat="1" applyFont="1" applyFill="1" applyBorder="1" applyAlignment="1" applyProtection="1">
      <alignment horizontal="center" vertical="center" wrapText="1"/>
      <protection locked="0"/>
    </xf>
    <xf numFmtId="2" fontId="63" fillId="13" borderId="100" xfId="83" applyNumberFormat="1" applyFont="1" applyFill="1" applyBorder="1" applyAlignment="1">
      <alignment horizontal="center" vertical="center" wrapText="1"/>
    </xf>
    <xf numFmtId="2" fontId="63" fillId="13" borderId="15" xfId="83" applyNumberFormat="1" applyFont="1" applyFill="1" applyBorder="1" applyAlignment="1">
      <alignment horizontal="center" vertical="center" wrapText="1"/>
    </xf>
    <xf numFmtId="2" fontId="63" fillId="13" borderId="101" xfId="83" applyNumberFormat="1" applyFont="1" applyFill="1" applyBorder="1" applyAlignment="1">
      <alignment horizontal="center" vertical="center" wrapText="1"/>
    </xf>
    <xf numFmtId="0" fontId="63" fillId="23" borderId="82" xfId="83" applyFont="1" applyFill="1" applyBorder="1" applyAlignment="1">
      <alignment horizontal="center" vertical="center" wrapText="1"/>
    </xf>
    <xf numFmtId="2" fontId="63" fillId="14" borderId="97" xfId="83" applyNumberFormat="1" applyFont="1" applyFill="1" applyBorder="1" applyAlignment="1" applyProtection="1">
      <alignment horizontal="center" vertical="center" wrapText="1"/>
      <protection locked="0"/>
    </xf>
    <xf numFmtId="2" fontId="63" fillId="14" borderId="98" xfId="83" applyNumberFormat="1" applyFont="1" applyFill="1" applyBorder="1" applyAlignment="1" applyProtection="1">
      <alignment horizontal="center" vertical="center" wrapText="1"/>
      <protection locked="0"/>
    </xf>
    <xf numFmtId="2" fontId="63" fillId="14" borderId="99" xfId="83" applyNumberFormat="1" applyFont="1" applyFill="1" applyBorder="1" applyAlignment="1" applyProtection="1">
      <alignment horizontal="center" vertical="center" wrapText="1"/>
      <protection locked="0"/>
    </xf>
    <xf numFmtId="0" fontId="63" fillId="23" borderId="41" xfId="83" applyFont="1" applyFill="1" applyBorder="1" applyAlignment="1">
      <alignment horizontal="left" vertical="center" wrapText="1"/>
    </xf>
    <xf numFmtId="0" fontId="63" fillId="23" borderId="41" xfId="83" applyFont="1" applyFill="1" applyBorder="1" applyAlignment="1">
      <alignment horizontal="center" vertical="center" wrapText="1"/>
    </xf>
    <xf numFmtId="0" fontId="63" fillId="23" borderId="70" xfId="83" applyFont="1" applyFill="1" applyBorder="1" applyAlignment="1">
      <alignment horizontal="center" vertical="center" wrapText="1"/>
    </xf>
    <xf numFmtId="0" fontId="63" fillId="23" borderId="69" xfId="83" applyFont="1" applyFill="1" applyBorder="1" applyAlignment="1">
      <alignment horizontal="center" vertical="center" wrapText="1"/>
    </xf>
    <xf numFmtId="9" fontId="63" fillId="7" borderId="93" xfId="88" applyFont="1" applyFill="1" applyBorder="1" applyAlignment="1" applyProtection="1">
      <alignment horizontal="center" vertical="center"/>
    </xf>
    <xf numFmtId="9" fontId="63" fillId="7" borderId="94" xfId="88" applyFont="1" applyFill="1" applyBorder="1" applyAlignment="1" applyProtection="1">
      <alignment horizontal="center" vertical="center"/>
    </xf>
    <xf numFmtId="9" fontId="63" fillId="7" borderId="95" xfId="88" applyFont="1" applyFill="1" applyBorder="1" applyAlignment="1" applyProtection="1">
      <alignment horizontal="center" vertical="center"/>
    </xf>
    <xf numFmtId="0" fontId="81" fillId="24" borderId="44" xfId="83" applyFont="1" applyFill="1" applyBorder="1" applyAlignment="1">
      <alignment horizontal="center" vertical="center" wrapText="1"/>
    </xf>
    <xf numFmtId="0" fontId="81" fillId="24" borderId="43" xfId="83" applyFont="1" applyFill="1" applyBorder="1" applyAlignment="1">
      <alignment horizontal="center" vertical="center" wrapText="1"/>
    </xf>
    <xf numFmtId="0" fontId="46" fillId="0" borderId="124" xfId="83" applyBorder="1" applyAlignment="1">
      <alignment horizontal="center"/>
    </xf>
    <xf numFmtId="0" fontId="46" fillId="0" borderId="125" xfId="83" applyBorder="1" applyAlignment="1">
      <alignment horizontal="center"/>
    </xf>
    <xf numFmtId="176" fontId="63" fillId="13" borderId="124" xfId="83" applyNumberFormat="1" applyFont="1" applyFill="1" applyBorder="1" applyAlignment="1">
      <alignment horizontal="center" vertical="center"/>
    </xf>
    <xf numFmtId="176" fontId="63" fillId="13" borderId="125" xfId="83" applyNumberFormat="1" applyFont="1" applyFill="1" applyBorder="1" applyAlignment="1">
      <alignment horizontal="center" vertical="center"/>
    </xf>
    <xf numFmtId="0" fontId="97" fillId="22" borderId="0" xfId="0" applyFont="1" applyFill="1" applyAlignment="1">
      <alignment vertical="center" wrapText="1"/>
    </xf>
    <xf numFmtId="0" fontId="97" fillId="22" borderId="54" xfId="0" applyFont="1" applyFill="1" applyBorder="1" applyAlignment="1">
      <alignment vertical="center" wrapText="1"/>
    </xf>
    <xf numFmtId="0" fontId="63" fillId="23" borderId="40" xfId="83" applyFont="1" applyFill="1" applyBorder="1" applyAlignment="1">
      <alignment horizontal="left" vertical="center"/>
    </xf>
    <xf numFmtId="0" fontId="63" fillId="23" borderId="81" xfId="83" applyFont="1" applyFill="1" applyBorder="1" applyAlignment="1">
      <alignment horizontal="left" vertical="center"/>
    </xf>
    <xf numFmtId="171" fontId="63" fillId="13" borderId="86" xfId="83" applyNumberFormat="1" applyFont="1" applyFill="1" applyBorder="1" applyAlignment="1">
      <alignment horizontal="center" vertical="center"/>
    </xf>
    <xf numFmtId="0" fontId="107" fillId="0" borderId="0" xfId="83" applyFont="1"/>
    <xf numFmtId="172" fontId="63" fillId="13" borderId="86" xfId="87" applyNumberFormat="1" applyFont="1" applyFill="1" applyBorder="1" applyAlignment="1" applyProtection="1">
      <alignment horizontal="center" vertical="center"/>
    </xf>
    <xf numFmtId="0" fontId="63" fillId="23" borderId="81" xfId="83" applyFont="1" applyFill="1" applyBorder="1" applyAlignment="1">
      <alignment horizontal="left" vertical="center" wrapText="1"/>
    </xf>
    <xf numFmtId="0" fontId="63" fillId="13" borderId="86" xfId="83" applyFont="1" applyFill="1" applyBorder="1" applyAlignment="1">
      <alignment horizontal="center" vertical="center"/>
    </xf>
    <xf numFmtId="0" fontId="94" fillId="12" borderId="17" xfId="94" applyFill="1" applyBorder="1" applyAlignment="1" applyProtection="1">
      <alignment horizontal="left" vertical="center"/>
    </xf>
    <xf numFmtId="0" fontId="94" fillId="12" borderId="18" xfId="94" applyFill="1" applyBorder="1" applyAlignment="1" applyProtection="1">
      <alignment horizontal="left" vertical="center"/>
    </xf>
    <xf numFmtId="0" fontId="94" fillId="12" borderId="19" xfId="94" applyFill="1" applyBorder="1" applyAlignment="1" applyProtection="1">
      <alignment horizontal="left" vertical="center"/>
    </xf>
    <xf numFmtId="169" fontId="63" fillId="13" borderId="86" xfId="83" applyNumberFormat="1" applyFont="1" applyFill="1" applyBorder="1" applyAlignment="1">
      <alignment horizontal="center" vertical="center"/>
    </xf>
    <xf numFmtId="9" fontId="63" fillId="14" borderId="86" xfId="82" applyFont="1" applyFill="1" applyBorder="1" applyAlignment="1" applyProtection="1">
      <alignment horizontal="center" vertical="center"/>
      <protection locked="0"/>
    </xf>
    <xf numFmtId="9" fontId="63" fillId="13" borderId="86" xfId="82" applyFont="1" applyFill="1" applyBorder="1" applyAlignment="1">
      <alignment horizontal="center" vertical="center"/>
    </xf>
    <xf numFmtId="0" fontId="63" fillId="23" borderId="39" xfId="83" applyFont="1" applyFill="1" applyBorder="1" applyAlignment="1">
      <alignment horizontal="left" vertical="center" wrapText="1"/>
    </xf>
    <xf numFmtId="0" fontId="63" fillId="23" borderId="72" xfId="83" applyFont="1" applyFill="1" applyBorder="1" applyAlignment="1">
      <alignment horizontal="left" vertical="center" wrapText="1"/>
    </xf>
    <xf numFmtId="0" fontId="63" fillId="23" borderId="39" xfId="83" applyFont="1" applyFill="1" applyBorder="1" applyAlignment="1">
      <alignment horizontal="center" vertical="center" wrapText="1"/>
    </xf>
    <xf numFmtId="0" fontId="63" fillId="23" borderId="41" xfId="83" applyFont="1" applyFill="1" applyBorder="1" applyAlignment="1">
      <alignment horizontal="left" vertical="center"/>
    </xf>
    <xf numFmtId="0" fontId="63" fillId="23" borderId="70" xfId="83" applyFont="1" applyFill="1" applyBorder="1" applyAlignment="1">
      <alignment horizontal="left" vertical="center"/>
    </xf>
    <xf numFmtId="168" fontId="63" fillId="6" borderId="40" xfId="83" applyNumberFormat="1" applyFont="1" applyFill="1" applyBorder="1" applyAlignment="1">
      <alignment horizontal="center" vertical="center"/>
    </xf>
    <xf numFmtId="0" fontId="63" fillId="6" borderId="128" xfId="83" applyFont="1" applyFill="1" applyBorder="1" applyAlignment="1">
      <alignment horizontal="center" vertical="center"/>
    </xf>
    <xf numFmtId="0" fontId="63" fillId="6" borderId="40" xfId="83" applyFont="1" applyFill="1" applyBorder="1" applyAlignment="1">
      <alignment vertical="center" wrapText="1"/>
    </xf>
    <xf numFmtId="168" fontId="63" fillId="6" borderId="41" xfId="83" applyNumberFormat="1" applyFont="1" applyFill="1" applyBorder="1" applyAlignment="1">
      <alignment horizontal="center" vertical="center"/>
    </xf>
    <xf numFmtId="0" fontId="63" fillId="6" borderId="127" xfId="83" applyFont="1" applyFill="1" applyBorder="1" applyAlignment="1">
      <alignment horizontal="center" vertical="center"/>
    </xf>
    <xf numFmtId="0" fontId="80" fillId="24" borderId="0" xfId="83" applyFont="1" applyFill="1" applyAlignment="1">
      <alignment horizontal="center" vertical="center"/>
    </xf>
    <xf numFmtId="0" fontId="80" fillId="24" borderId="44" xfId="83" applyFont="1" applyFill="1" applyBorder="1" applyAlignment="1">
      <alignment horizontal="center" vertical="center"/>
    </xf>
    <xf numFmtId="168" fontId="63" fillId="23" borderId="86" xfId="83" applyNumberFormat="1" applyFont="1" applyFill="1" applyBorder="1" applyAlignment="1">
      <alignment horizontal="center" vertical="center"/>
    </xf>
    <xf numFmtId="0" fontId="63" fillId="6" borderId="41" xfId="83" applyFont="1" applyFill="1" applyBorder="1" applyAlignment="1">
      <alignment vertical="center" wrapText="1"/>
    </xf>
    <xf numFmtId="0" fontId="63" fillId="14" borderId="93" xfId="83" applyFont="1" applyFill="1" applyBorder="1" applyAlignment="1" applyProtection="1">
      <alignment horizontal="center" vertical="center"/>
      <protection locked="0"/>
    </xf>
    <xf numFmtId="0" fontId="63" fillId="14" borderId="94" xfId="83" applyFont="1" applyFill="1" applyBorder="1" applyAlignment="1" applyProtection="1">
      <alignment horizontal="center" vertical="center"/>
      <protection locked="0"/>
    </xf>
    <xf numFmtId="0" fontId="63" fillId="14" borderId="95" xfId="83" applyFont="1" applyFill="1" applyBorder="1" applyAlignment="1" applyProtection="1">
      <alignment horizontal="center" vertical="center"/>
      <protection locked="0"/>
    </xf>
    <xf numFmtId="0" fontId="80" fillId="24" borderId="69" xfId="83" applyFont="1" applyFill="1" applyBorder="1" applyAlignment="1">
      <alignment horizontal="left" vertical="center"/>
    </xf>
    <xf numFmtId="0" fontId="80" fillId="24" borderId="41" xfId="83" applyFont="1" applyFill="1" applyBorder="1" applyAlignment="1">
      <alignment horizontal="left" vertical="center"/>
    </xf>
    <xf numFmtId="0" fontId="80" fillId="24" borderId="71" xfId="83" applyFont="1" applyFill="1" applyBorder="1" applyAlignment="1">
      <alignment horizontal="left" vertical="center"/>
    </xf>
    <xf numFmtId="0" fontId="80" fillId="24" borderId="39" xfId="83" applyFont="1" applyFill="1" applyBorder="1" applyAlignment="1">
      <alignment horizontal="left" vertical="center"/>
    </xf>
    <xf numFmtId="0" fontId="80" fillId="24" borderId="41" xfId="83" applyFont="1" applyFill="1" applyBorder="1" applyAlignment="1">
      <alignment horizontal="center" vertical="center"/>
    </xf>
    <xf numFmtId="0" fontId="80" fillId="24" borderId="70" xfId="83" applyFont="1" applyFill="1" applyBorder="1" applyAlignment="1">
      <alignment horizontal="center" vertical="center"/>
    </xf>
    <xf numFmtId="0" fontId="80" fillId="24" borderId="39" xfId="83" applyFont="1" applyFill="1" applyBorder="1" applyAlignment="1">
      <alignment horizontal="center" vertical="center"/>
    </xf>
    <xf numFmtId="0" fontId="80" fillId="24" borderId="39" xfId="83" applyFont="1" applyFill="1" applyBorder="1" applyAlignment="1">
      <alignment horizontal="center" vertical="center" wrapText="1"/>
    </xf>
    <xf numFmtId="0" fontId="80" fillId="24" borderId="72" xfId="83" applyFont="1" applyFill="1" applyBorder="1" applyAlignment="1">
      <alignment horizontal="center" vertical="center" wrapText="1"/>
    </xf>
    <xf numFmtId="0" fontId="63" fillId="12" borderId="26" xfId="83" applyFont="1" applyFill="1" applyBorder="1" applyAlignment="1">
      <alignment horizontal="left" vertical="top" wrapText="1"/>
    </xf>
    <xf numFmtId="0" fontId="63" fillId="7" borderId="93" xfId="83" applyFont="1" applyFill="1" applyBorder="1" applyAlignment="1">
      <alignment horizontal="center" vertical="center"/>
    </xf>
    <xf numFmtId="0" fontId="63" fillId="7" borderId="94" xfId="83" applyFont="1" applyFill="1" applyBorder="1" applyAlignment="1">
      <alignment horizontal="center" vertical="center"/>
    </xf>
    <xf numFmtId="0" fontId="63" fillId="7" borderId="95" xfId="83" applyFont="1" applyFill="1" applyBorder="1" applyAlignment="1">
      <alignment horizontal="center" vertical="center"/>
    </xf>
    <xf numFmtId="0" fontId="73" fillId="23" borderId="33" xfId="83" applyFont="1" applyFill="1" applyBorder="1" applyAlignment="1">
      <alignment horizontal="center" vertical="center"/>
    </xf>
    <xf numFmtId="0" fontId="63" fillId="12" borderId="35" xfId="83" applyFont="1" applyFill="1" applyBorder="1" applyAlignment="1">
      <alignment horizontal="left" vertical="center" wrapText="1"/>
    </xf>
    <xf numFmtId="0" fontId="63" fillId="12" borderId="0" xfId="83" applyFont="1" applyFill="1" applyAlignment="1">
      <alignment horizontal="left" vertical="center" wrapText="1"/>
    </xf>
    <xf numFmtId="0" fontId="80" fillId="24" borderId="57" xfId="83" quotePrefix="1" applyFont="1" applyFill="1" applyBorder="1" applyAlignment="1">
      <alignment horizontal="left" vertical="center"/>
    </xf>
    <xf numFmtId="0" fontId="84" fillId="6" borderId="58" xfId="83" applyFont="1" applyFill="1" applyBorder="1" applyAlignment="1">
      <alignment horizontal="left" vertical="center" wrapText="1"/>
    </xf>
    <xf numFmtId="0" fontId="84" fillId="6" borderId="36" xfId="83" applyFont="1" applyFill="1" applyBorder="1" applyAlignment="1">
      <alignment horizontal="left" vertical="center" wrapText="1"/>
    </xf>
    <xf numFmtId="0" fontId="84" fillId="6" borderId="34" xfId="83" applyFont="1" applyFill="1" applyBorder="1" applyAlignment="1">
      <alignment horizontal="left" vertical="center" wrapText="1"/>
    </xf>
    <xf numFmtId="0" fontId="84" fillId="6" borderId="33" xfId="83" applyFont="1" applyFill="1" applyBorder="1" applyAlignment="1">
      <alignment horizontal="left" vertical="center" wrapText="1"/>
    </xf>
    <xf numFmtId="0" fontId="76" fillId="12" borderId="26" xfId="89" applyFont="1" applyFill="1" applyBorder="1" applyAlignment="1" applyProtection="1">
      <alignment horizontal="left" vertical="center"/>
    </xf>
    <xf numFmtId="0" fontId="113" fillId="0" borderId="130" xfId="0" applyFont="1" applyBorder="1" applyAlignment="1">
      <alignment horizontal="center" vertical="center" wrapText="1"/>
    </xf>
    <xf numFmtId="0" fontId="112" fillId="22" borderId="129" xfId="0" applyFont="1" applyFill="1" applyBorder="1" applyAlignment="1">
      <alignment horizontal="center" vertical="center" wrapText="1"/>
    </xf>
    <xf numFmtId="0" fontId="110" fillId="0" borderId="0" xfId="0" applyFont="1" applyAlignment="1">
      <alignment vertical="center"/>
    </xf>
    <xf numFmtId="0" fontId="112" fillId="22" borderId="54" xfId="0" applyFont="1" applyFill="1" applyBorder="1" applyAlignment="1">
      <alignment vertical="center" wrapText="1"/>
    </xf>
    <xf numFmtId="0" fontId="87" fillId="10" borderId="32" xfId="83" applyFont="1" applyFill="1" applyBorder="1" applyAlignment="1">
      <alignment horizontal="center" wrapText="1"/>
    </xf>
    <xf numFmtId="0" fontId="87" fillId="10" borderId="31" xfId="83" applyFont="1" applyFill="1" applyBorder="1" applyAlignment="1">
      <alignment horizontal="center" wrapText="1"/>
    </xf>
    <xf numFmtId="0" fontId="87" fillId="10" borderId="30" xfId="83" applyFont="1" applyFill="1" applyBorder="1" applyAlignment="1">
      <alignment horizontal="center" wrapText="1"/>
    </xf>
    <xf numFmtId="0" fontId="87" fillId="10" borderId="25" xfId="83" applyFont="1" applyFill="1" applyBorder="1" applyAlignment="1">
      <alignment horizontal="center" wrapText="1"/>
    </xf>
    <xf numFmtId="0" fontId="87" fillId="10" borderId="23" xfId="83" applyFont="1" applyFill="1" applyBorder="1" applyAlignment="1">
      <alignment horizontal="center" wrapText="1"/>
    </xf>
    <xf numFmtId="0" fontId="87" fillId="10" borderId="24" xfId="83" applyFont="1" applyFill="1" applyBorder="1" applyAlignment="1">
      <alignment horizontal="center" wrapText="1"/>
    </xf>
    <xf numFmtId="0" fontId="87" fillId="10" borderId="50" xfId="83" applyFont="1" applyFill="1" applyBorder="1" applyAlignment="1">
      <alignment horizontal="center" wrapText="1"/>
    </xf>
    <xf numFmtId="0" fontId="87" fillId="10" borderId="49" xfId="83" applyFont="1" applyFill="1" applyBorder="1" applyAlignment="1">
      <alignment horizontal="center" wrapText="1"/>
    </xf>
    <xf numFmtId="0" fontId="87" fillId="10" borderId="45" xfId="83" applyFont="1" applyFill="1" applyBorder="1" applyAlignment="1">
      <alignment horizontal="center" wrapText="1"/>
    </xf>
    <xf numFmtId="0" fontId="72" fillId="0" borderId="48" xfId="83" applyFont="1" applyBorder="1" applyAlignment="1">
      <alignment wrapText="1"/>
    </xf>
    <xf numFmtId="0" fontId="72" fillId="0" borderId="38" xfId="83" applyFont="1" applyBorder="1" applyAlignment="1">
      <alignment wrapText="1"/>
    </xf>
    <xf numFmtId="168" fontId="72" fillId="0" borderId="48" xfId="83" applyNumberFormat="1" applyFont="1" applyBorder="1" applyAlignment="1">
      <alignment horizontal="center"/>
    </xf>
    <xf numFmtId="168" fontId="72" fillId="0" borderId="38" xfId="83" applyNumberFormat="1" applyFont="1" applyBorder="1" applyAlignment="1">
      <alignment horizontal="center"/>
    </xf>
    <xf numFmtId="0" fontId="73" fillId="10" borderId="32" xfId="83" applyFont="1" applyFill="1" applyBorder="1" applyAlignment="1">
      <alignment horizontal="center" vertical="top" wrapText="1"/>
    </xf>
    <xf numFmtId="0" fontId="73" fillId="10" borderId="31" xfId="83" applyFont="1" applyFill="1" applyBorder="1" applyAlignment="1">
      <alignment horizontal="center" vertical="top" wrapText="1"/>
    </xf>
    <xf numFmtId="0" fontId="73" fillId="10" borderId="30" xfId="83" applyFont="1" applyFill="1" applyBorder="1" applyAlignment="1">
      <alignment horizontal="center" vertical="top" wrapText="1"/>
    </xf>
    <xf numFmtId="0" fontId="87" fillId="10" borderId="32" xfId="83" applyFont="1" applyFill="1" applyBorder="1" applyAlignment="1">
      <alignment horizontal="center" vertical="top" wrapText="1"/>
    </xf>
    <xf numFmtId="0" fontId="87" fillId="10" borderId="31" xfId="83" applyFont="1" applyFill="1" applyBorder="1" applyAlignment="1">
      <alignment horizontal="center" vertical="top" wrapText="1"/>
    </xf>
    <xf numFmtId="0" fontId="87" fillId="10" borderId="30" xfId="83" applyFont="1" applyFill="1" applyBorder="1" applyAlignment="1">
      <alignment horizontal="center" vertical="top" wrapText="1"/>
    </xf>
    <xf numFmtId="0" fontId="87" fillId="10" borderId="48" xfId="83" applyFont="1" applyFill="1" applyBorder="1" applyAlignment="1">
      <alignment horizontal="center" wrapText="1"/>
    </xf>
    <xf numFmtId="0" fontId="87" fillId="10" borderId="38" xfId="83" applyFont="1" applyFill="1" applyBorder="1" applyAlignment="1">
      <alignment horizontal="center" wrapText="1"/>
    </xf>
  </cellXfs>
  <cellStyles count="98">
    <cellStyle name="Comma 2" xfId="87" xr:uid="{A12BBEAD-BCF8-49CE-B705-0DF73C2E90BA}"/>
    <cellStyle name="Currency" xfId="95" builtinId="4"/>
    <cellStyle name="Currency 2" xfId="85" xr:uid="{48E9535A-4BBB-4913-A356-80C910C0DABD}"/>
    <cellStyle name="Followed Hyperlink" xfId="72" builtinId="9" hidden="1"/>
    <cellStyle name="Followed Hyperlink" xfId="76" builtinId="9" hidden="1"/>
    <cellStyle name="Followed Hyperlink" xfId="80" builtinId="9" hidden="1"/>
    <cellStyle name="Followed Hyperlink" xfId="78" builtinId="9" hidden="1"/>
    <cellStyle name="Followed Hyperlink" xfId="74" builtinId="9" hidden="1"/>
    <cellStyle name="Followed Hyperlink" xfId="70" builtinId="9" hidden="1"/>
    <cellStyle name="Followed Hyperlink" xfId="24" builtinId="9" hidden="1"/>
    <cellStyle name="Followed Hyperlink" xfId="28" builtinId="9" hidden="1"/>
    <cellStyle name="Followed Hyperlink" xfId="30" builtinId="9" hidden="1"/>
    <cellStyle name="Followed Hyperlink" xfId="32" builtinId="9" hidden="1"/>
    <cellStyle name="Followed Hyperlink" xfId="36" builtinId="9" hidden="1"/>
    <cellStyle name="Followed Hyperlink" xfId="38" builtinId="9" hidden="1"/>
    <cellStyle name="Followed Hyperlink" xfId="40" builtinId="9" hidden="1"/>
    <cellStyle name="Followed Hyperlink" xfId="44" builtinId="9" hidden="1"/>
    <cellStyle name="Followed Hyperlink" xfId="46" builtinId="9" hidden="1"/>
    <cellStyle name="Followed Hyperlink" xfId="48" builtinId="9" hidden="1"/>
    <cellStyle name="Followed Hyperlink" xfId="52" builtinId="9" hidden="1"/>
    <cellStyle name="Followed Hyperlink" xfId="54" builtinId="9" hidden="1"/>
    <cellStyle name="Followed Hyperlink" xfId="56" builtinId="9" hidden="1"/>
    <cellStyle name="Followed Hyperlink" xfId="60" builtinId="9" hidden="1"/>
    <cellStyle name="Followed Hyperlink" xfId="62" builtinId="9" hidden="1"/>
    <cellStyle name="Followed Hyperlink" xfId="64" builtinId="9" hidden="1"/>
    <cellStyle name="Followed Hyperlink" xfId="68" builtinId="9" hidden="1"/>
    <cellStyle name="Followed Hyperlink" xfId="66" builtinId="9" hidden="1"/>
    <cellStyle name="Followed Hyperlink" xfId="58" builtinId="9" hidden="1"/>
    <cellStyle name="Followed Hyperlink" xfId="50" builtinId="9" hidden="1"/>
    <cellStyle name="Followed Hyperlink" xfId="42" builtinId="9" hidden="1"/>
    <cellStyle name="Followed Hyperlink" xfId="34" builtinId="9" hidden="1"/>
    <cellStyle name="Followed Hyperlink" xfId="26" builtinId="9" hidden="1"/>
    <cellStyle name="Followed Hyperlink" xfId="12" builtinId="9" hidden="1"/>
    <cellStyle name="Followed Hyperlink" xfId="14" builtinId="9" hidden="1"/>
    <cellStyle name="Followed Hyperlink" xfId="16" builtinId="9" hidden="1"/>
    <cellStyle name="Followed Hyperlink" xfId="18" builtinId="9" hidden="1"/>
    <cellStyle name="Followed Hyperlink" xfId="20" builtinId="9" hidden="1"/>
    <cellStyle name="Followed Hyperlink" xfId="22" builtinId="9" hidden="1"/>
    <cellStyle name="Followed Hyperlink" xfId="10" builtinId="9" hidden="1"/>
    <cellStyle name="Followed Hyperlink" xfId="6" builtinId="9" hidden="1"/>
    <cellStyle name="Followed Hyperlink" xfId="8" builtinId="9" hidden="1"/>
    <cellStyle name="Followed Hyperlink" xfId="4" builtinId="9" hidden="1"/>
    <cellStyle name="Followed Hyperlink" xfId="2" builtinId="9" hidden="1"/>
    <cellStyle name="Guide 2" xfId="90" xr:uid="{DC938552-4938-476D-9EEF-8BB3938764CC}"/>
    <cellStyle name="Heading 1" xfId="96" builtinId="16"/>
    <cellStyle name="Hyperlink" xfId="55" builtinId="8" hidden="1"/>
    <cellStyle name="Hyperlink" xfId="57" builtinId="8" hidden="1"/>
    <cellStyle name="Hyperlink" xfId="61" builtinId="8" hidden="1"/>
    <cellStyle name="Hyperlink" xfId="63" builtinId="8" hidden="1"/>
    <cellStyle name="Hyperlink" xfId="65" builtinId="8" hidden="1"/>
    <cellStyle name="Hyperlink" xfId="69" builtinId="8" hidden="1"/>
    <cellStyle name="Hyperlink" xfId="71" builtinId="8" hidden="1"/>
    <cellStyle name="Hyperlink" xfId="73" builtinId="8" hidden="1"/>
    <cellStyle name="Hyperlink" xfId="77" builtinId="8" hidden="1"/>
    <cellStyle name="Hyperlink" xfId="79" builtinId="8" hidden="1"/>
    <cellStyle name="Hyperlink" xfId="75" builtinId="8" hidden="1"/>
    <cellStyle name="Hyperlink" xfId="67" builtinId="8" hidden="1"/>
    <cellStyle name="Hyperlink" xfId="59" builtinId="8" hidden="1"/>
    <cellStyle name="Hyperlink" xfId="23" builtinId="8" hidden="1"/>
    <cellStyle name="Hyperlink" xfId="25" builtinId="8" hidden="1"/>
    <cellStyle name="Hyperlink" xfId="29" builtinId="8" hidden="1"/>
    <cellStyle name="Hyperlink" xfId="31" builtinId="8" hidden="1"/>
    <cellStyle name="Hyperlink" xfId="33" builtinId="8" hidden="1"/>
    <cellStyle name="Hyperlink" xfId="35" builtinId="8" hidden="1"/>
    <cellStyle name="Hyperlink" xfId="37" builtinId="8" hidden="1"/>
    <cellStyle name="Hyperlink" xfId="39" builtinId="8" hidden="1"/>
    <cellStyle name="Hyperlink" xfId="41" builtinId="8" hidden="1"/>
    <cellStyle name="Hyperlink" xfId="45" builtinId="8" hidden="1"/>
    <cellStyle name="Hyperlink" xfId="47" builtinId="8" hidden="1"/>
    <cellStyle name="Hyperlink" xfId="49" builtinId="8" hidden="1"/>
    <cellStyle name="Hyperlink" xfId="51" builtinId="8" hidden="1"/>
    <cellStyle name="Hyperlink" xfId="53" builtinId="8" hidden="1"/>
    <cellStyle name="Hyperlink" xfId="43" builtinId="8" hidden="1"/>
    <cellStyle name="Hyperlink" xfId="27" builtinId="8" hidden="1"/>
    <cellStyle name="Hyperlink" xfId="11" builtinId="8" hidden="1"/>
    <cellStyle name="Hyperlink" xfId="13" builtinId="8" hidden="1"/>
    <cellStyle name="Hyperlink" xfId="15" builtinId="8" hidden="1"/>
    <cellStyle name="Hyperlink" xfId="17" builtinId="8" hidden="1"/>
    <cellStyle name="Hyperlink" xfId="19" builtinId="8" hidden="1"/>
    <cellStyle name="Hyperlink" xfId="21" builtinId="8" hidden="1"/>
    <cellStyle name="Hyperlink" xfId="5" builtinId="8" hidden="1"/>
    <cellStyle name="Hyperlink" xfId="7" builtinId="8" hidden="1"/>
    <cellStyle name="Hyperlink" xfId="9" builtinId="8" hidden="1"/>
    <cellStyle name="Hyperlink" xfId="3" builtinId="8" hidden="1"/>
    <cellStyle name="Hyperlink" xfId="1" builtinId="8" hidden="1"/>
    <cellStyle name="Hyperlink 2" xfId="89" xr:uid="{D80E7DEB-BF43-4C40-B277-BD69021E181E}"/>
    <cellStyle name="Hyperlink 3" xfId="94" xr:uid="{AE1CE98B-9FF5-4206-8045-ED5AEF4BF1F6}"/>
    <cellStyle name="Normal" xfId="0" builtinId="0"/>
    <cellStyle name="Normal 2" xfId="81" xr:uid="{9536E22F-F561-47B5-B69F-4DEF154759D8}"/>
    <cellStyle name="Normal 2 2" xfId="83" xr:uid="{5749FFBF-9983-4708-946C-EFFF6D9E8AC1}"/>
    <cellStyle name="Normal 2 3" xfId="86" xr:uid="{235FE15D-5045-40A8-89CD-F9E09DB4D66E}"/>
    <cellStyle name="Normal 3" xfId="91" xr:uid="{1D643F36-E354-418C-98F2-521475E2B5E9}"/>
    <cellStyle name="Normal 3 2" xfId="92" xr:uid="{DDAC7F30-9272-45E8-9346-AFDE749BD2D6}"/>
    <cellStyle name="Normal 3 3" xfId="93" xr:uid="{C29FE08E-AA36-4563-BD16-CDD3C0284C31}"/>
    <cellStyle name="Normal 3 4" xfId="97" xr:uid="{7CCD4969-16D9-4283-AB2E-6EE0057CD867}"/>
    <cellStyle name="Normal 4" xfId="84" xr:uid="{2B503718-233B-4094-8BC1-130161330E56}"/>
    <cellStyle name="Percent" xfId="82" builtinId="5"/>
    <cellStyle name="Percent 2" xfId="88" xr:uid="{26281F73-04E5-448F-AAE2-179826EC63C2}"/>
  </cellStyles>
  <dxfs count="6">
    <dxf>
      <font>
        <b val="0"/>
        <i val="0"/>
        <strike val="0"/>
        <condense val="0"/>
        <extend val="0"/>
        <outline val="0"/>
        <shadow val="0"/>
        <u val="none"/>
        <vertAlign val="baseline"/>
        <sz val="12"/>
        <color theme="1"/>
        <name val="Calibri"/>
        <scheme val="minor"/>
      </font>
      <fill>
        <patternFill patternType="solid">
          <fgColor theme="4" tint="0.59999389629810485"/>
          <bgColor theme="4" tint="0.59999389629810485"/>
        </patternFill>
      </fill>
      <border diagonalUp="0" diagonalDown="0">
        <left/>
        <right/>
        <top style="thin">
          <color theme="0"/>
        </top>
        <bottom style="thin">
          <color theme="0"/>
        </bottom>
      </border>
    </dxf>
    <dxf>
      <border outline="0">
        <bottom style="thin">
          <color theme="0"/>
        </bottom>
      </border>
    </dxf>
    <dxf>
      <font>
        <b val="0"/>
        <i val="0"/>
        <strike val="0"/>
        <condense val="0"/>
        <extend val="0"/>
        <outline val="0"/>
        <shadow val="0"/>
        <u val="none"/>
        <vertAlign val="baseline"/>
        <sz val="12"/>
        <color theme="1"/>
        <name val="Calibri"/>
        <scheme val="minor"/>
      </font>
      <fill>
        <patternFill patternType="solid">
          <fgColor theme="4" tint="0.59999389629810485"/>
          <bgColor theme="4" tint="0.59999389629810485"/>
        </patternFill>
      </fill>
    </dxf>
    <dxf>
      <font>
        <b val="0"/>
        <i val="0"/>
        <strike val="0"/>
        <condense val="0"/>
        <extend val="0"/>
        <outline val="0"/>
        <shadow val="0"/>
        <u val="none"/>
        <vertAlign val="baseline"/>
        <sz val="12"/>
        <color theme="1"/>
        <name val="Calibri"/>
        <scheme val="minor"/>
      </font>
      <fill>
        <patternFill patternType="solid">
          <fgColor theme="4" tint="0.59999389629810485"/>
          <bgColor theme="4" tint="0.59999389629810485"/>
        </patternFill>
      </fill>
      <border diagonalUp="0" diagonalDown="0">
        <left/>
        <right/>
        <top style="thin">
          <color theme="0"/>
        </top>
        <bottom style="thin">
          <color theme="0"/>
        </bottom>
      </border>
    </dxf>
    <dxf>
      <border outline="0">
        <bottom style="thin">
          <color theme="0"/>
        </bottom>
      </border>
    </dxf>
    <dxf>
      <font>
        <b val="0"/>
        <i val="0"/>
        <strike val="0"/>
        <condense val="0"/>
        <extend val="0"/>
        <outline val="0"/>
        <shadow val="0"/>
        <u val="none"/>
        <vertAlign val="baseline"/>
        <sz val="12"/>
        <color theme="1"/>
        <name val="Calibri"/>
        <scheme val="minor"/>
      </font>
      <fill>
        <patternFill patternType="solid">
          <fgColor theme="4" tint="0.59999389629810485"/>
          <bgColor theme="4" tint="0.59999389629810485"/>
        </patternFill>
      </fill>
    </dxf>
  </dxfs>
  <tableStyles count="0" defaultTableStyle="TableStyleMedium9" defaultPivotStyle="PivotStyleMedium4"/>
  <colors>
    <mruColors>
      <color rgb="FFFFFFCC"/>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worksheet" Target="worksheets/sheet8.xml"/><Relationship Id="rId13" Type="http://schemas.openxmlformats.org/officeDocument/2006/relationships/worksheet" Target="worksheets/sheet13.xml"/><Relationship Id="rId18" Type="http://schemas.openxmlformats.org/officeDocument/2006/relationships/theme" Target="theme/theme1.xml"/><Relationship Id="rId3" Type="http://schemas.openxmlformats.org/officeDocument/2006/relationships/worksheet" Target="worksheets/sheet3.xml"/><Relationship Id="rId21" Type="http://schemas.openxmlformats.org/officeDocument/2006/relationships/sheetMetadata" Target="metadata.xml"/><Relationship Id="rId7" Type="http://schemas.openxmlformats.org/officeDocument/2006/relationships/worksheet" Target="worksheets/sheet7.xml"/><Relationship Id="rId12" Type="http://schemas.openxmlformats.org/officeDocument/2006/relationships/worksheet" Target="worksheets/sheet12.xml"/><Relationship Id="rId17" Type="http://schemas.openxmlformats.org/officeDocument/2006/relationships/worksheet" Target="worksheets/sheet17.xml"/><Relationship Id="rId25" Type="http://schemas.openxmlformats.org/officeDocument/2006/relationships/customXml" Target="../customXml/item3.xml"/><Relationship Id="rId2" Type="http://schemas.openxmlformats.org/officeDocument/2006/relationships/worksheet" Target="worksheets/sheet2.xml"/><Relationship Id="rId16" Type="http://schemas.openxmlformats.org/officeDocument/2006/relationships/worksheet" Target="worksheets/sheet16.xml"/><Relationship Id="rId20" Type="http://schemas.openxmlformats.org/officeDocument/2006/relationships/sharedStrings" Target="sharedStrings.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worksheet" Target="worksheets/sheet11.xml"/><Relationship Id="rId24" Type="http://schemas.openxmlformats.org/officeDocument/2006/relationships/customXml" Target="../customXml/item2.xml"/><Relationship Id="rId5" Type="http://schemas.openxmlformats.org/officeDocument/2006/relationships/worksheet" Target="worksheets/sheet5.xml"/><Relationship Id="rId15" Type="http://schemas.openxmlformats.org/officeDocument/2006/relationships/worksheet" Target="worksheets/sheet15.xml"/><Relationship Id="rId23" Type="http://schemas.openxmlformats.org/officeDocument/2006/relationships/customXml" Target="../customXml/item1.xml"/><Relationship Id="rId10" Type="http://schemas.openxmlformats.org/officeDocument/2006/relationships/worksheet" Target="worksheets/sheet10.xml"/><Relationship Id="rId19" Type="http://schemas.openxmlformats.org/officeDocument/2006/relationships/styles" Target="styles.xml"/><Relationship Id="rId4" Type="http://schemas.openxmlformats.org/officeDocument/2006/relationships/worksheet" Target="worksheets/sheet4.xml"/><Relationship Id="rId9" Type="http://schemas.openxmlformats.org/officeDocument/2006/relationships/worksheet" Target="worksheets/sheet9.xml"/><Relationship Id="rId14" Type="http://schemas.openxmlformats.org/officeDocument/2006/relationships/worksheet" Target="worksheets/sheet14.xml"/><Relationship Id="rId22" Type="http://schemas.openxmlformats.org/officeDocument/2006/relationships/calcChain" Target="calcChain.xml"/></Relationships>
</file>

<file path=xl/ctrlProps/ctrlProp1.xml><?xml version="1.0" encoding="utf-8"?>
<formControlPr xmlns="http://schemas.microsoft.com/office/spreadsheetml/2009/9/main" objectType="CheckBox" lockText="1" noThreeD="1"/>
</file>

<file path=xl/drawings/_rels/drawing4.xml.rels><?xml version="1.0" encoding="UTF-8" standalone="yes"?>
<Relationships xmlns="http://schemas.openxmlformats.org/package/2006/relationships"><Relationship Id="rId2" Type="http://schemas.openxmlformats.org/officeDocument/2006/relationships/image" Target="../media/image2.png"/><Relationship Id="rId1" Type="http://schemas.openxmlformats.org/officeDocument/2006/relationships/image" Target="../media/image1.png"/></Relationships>
</file>

<file path=xl/drawings/drawing1.xml><?xml version="1.0" encoding="utf-8"?>
<xdr:wsDr xmlns:xdr="http://schemas.openxmlformats.org/drawingml/2006/spreadsheetDrawing" xmlns:a="http://schemas.openxmlformats.org/drawingml/2006/main">
  <xdr:twoCellAnchor>
    <xdr:from>
      <xdr:col>1</xdr:col>
      <xdr:colOff>1818640</xdr:colOff>
      <xdr:row>14</xdr:row>
      <xdr:rowOff>375920</xdr:rowOff>
    </xdr:from>
    <xdr:to>
      <xdr:col>2</xdr:col>
      <xdr:colOff>1158240</xdr:colOff>
      <xdr:row>15</xdr:row>
      <xdr:rowOff>0</xdr:rowOff>
    </xdr:to>
    <xdr:sp macro="[0]!InsertCopyRow1" textlink="">
      <xdr:nvSpPr>
        <xdr:cNvPr id="3" name="TextBox 2">
          <a:extLst>
            <a:ext uri="{FF2B5EF4-FFF2-40B4-BE49-F238E27FC236}">
              <a16:creationId xmlns:a16="http://schemas.microsoft.com/office/drawing/2014/main" id="{00000000-0008-0000-0000-000003000000}"/>
            </a:ext>
          </a:extLst>
        </xdr:cNvPr>
        <xdr:cNvSpPr txBox="1"/>
      </xdr:nvSpPr>
      <xdr:spPr>
        <a:xfrm>
          <a:off x="2052320" y="2956560"/>
          <a:ext cx="1320800" cy="518160"/>
        </a:xfrm>
        <a:prstGeom prst="rect">
          <a:avLst/>
        </a:prstGeom>
        <a:solidFill>
          <a:schemeClr val="tx2">
            <a:lumMod val="60000"/>
            <a:lumOff val="40000"/>
          </a:schemeClr>
        </a:solidFill>
        <a:ln w="9525" cmpd="sng">
          <a:noFill/>
        </a:ln>
        <a:effectLst>
          <a:softEdge rad="12700"/>
        </a:effectLst>
      </xdr:spPr>
      <xdr:style>
        <a:lnRef idx="0">
          <a:scrgbClr r="0" g="0" b="0"/>
        </a:lnRef>
        <a:fillRef idx="0">
          <a:scrgbClr r="0" g="0" b="0"/>
        </a:fillRef>
        <a:effectRef idx="0">
          <a:scrgbClr r="0" g="0" b="0"/>
        </a:effectRef>
        <a:fontRef idx="minor">
          <a:schemeClr val="dk1"/>
        </a:fontRef>
      </xdr:style>
      <xdr:txBody>
        <a:bodyPr vertOverflow="clip" horzOverflow="clip" wrap="square" rtlCol="0" anchor="b"/>
        <a:lstStyle/>
        <a:p>
          <a:pPr algn="ctr"/>
          <a:r>
            <a:rPr lang="en-US" sz="1000" b="0" i="0">
              <a:solidFill>
                <a:schemeClr val="bg1"/>
              </a:solidFill>
              <a:latin typeface="Calibri"/>
            </a:rPr>
            <a:t>Select</a:t>
          </a:r>
          <a:r>
            <a:rPr lang="en-US" sz="1000" b="0" i="0" baseline="0">
              <a:solidFill>
                <a:schemeClr val="bg1"/>
              </a:solidFill>
              <a:latin typeface="Calibri"/>
            </a:rPr>
            <a:t> the </a:t>
          </a:r>
          <a:r>
            <a:rPr lang="en-US" sz="1000" b="0" i="0">
              <a:solidFill>
                <a:schemeClr val="bg1"/>
              </a:solidFill>
              <a:latin typeface="Calibri"/>
            </a:rPr>
            <a:t>row above and click to insert new row</a:t>
          </a:r>
        </a:p>
      </xdr:txBody>
    </xdr:sp>
    <xdr:clientData/>
  </xdr:twoCellAnchor>
  <mc:AlternateContent xmlns:mc="http://schemas.openxmlformats.org/markup-compatibility/2006">
    <mc:Choice xmlns:a14="http://schemas.microsoft.com/office/drawing/2010/main" Requires="a14">
      <xdr:twoCellAnchor editAs="oneCell">
        <xdr:from>
          <xdr:col>8</xdr:col>
          <xdr:colOff>830580</xdr:colOff>
          <xdr:row>2</xdr:row>
          <xdr:rowOff>289560</xdr:rowOff>
        </xdr:from>
        <xdr:to>
          <xdr:col>8</xdr:col>
          <xdr:colOff>1219200</xdr:colOff>
          <xdr:row>2</xdr:row>
          <xdr:rowOff>609600</xdr:rowOff>
        </xdr:to>
        <xdr:sp macro="" textlink="">
          <xdr:nvSpPr>
            <xdr:cNvPr id="2161" name="Check Box 113" hidden="1">
              <a:extLst>
                <a:ext uri="{63B3BB69-23CF-44E3-9099-C40C66FF867C}">
                  <a14:compatExt spid="_x0000_s2161"/>
                </a:ext>
                <a:ext uri="{FF2B5EF4-FFF2-40B4-BE49-F238E27FC236}">
                  <a16:creationId xmlns:a16="http://schemas.microsoft.com/office/drawing/2014/main" id="{00000000-0008-0000-0000-00007108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xdr:wsDr>
</file>

<file path=xl/drawings/drawing2.xml><?xml version="1.0" encoding="utf-8"?>
<xdr:wsDr xmlns:xdr="http://schemas.openxmlformats.org/drawingml/2006/spreadsheetDrawing" xmlns:a="http://schemas.openxmlformats.org/drawingml/2006/main">
  <xdr:twoCellAnchor>
    <xdr:from>
      <xdr:col>0</xdr:col>
      <xdr:colOff>0</xdr:colOff>
      <xdr:row>2</xdr:row>
      <xdr:rowOff>0</xdr:rowOff>
    </xdr:from>
    <xdr:to>
      <xdr:col>0</xdr:col>
      <xdr:colOff>0</xdr:colOff>
      <xdr:row>2</xdr:row>
      <xdr:rowOff>180975</xdr:rowOff>
    </xdr:to>
    <xdr:sp macro="" textlink="">
      <xdr:nvSpPr>
        <xdr:cNvPr id="2" name="Line 15">
          <a:extLst>
            <a:ext uri="{FF2B5EF4-FFF2-40B4-BE49-F238E27FC236}">
              <a16:creationId xmlns:a16="http://schemas.microsoft.com/office/drawing/2014/main" id="{00000000-0008-0000-0600-000002000000}"/>
            </a:ext>
          </a:extLst>
        </xdr:cNvPr>
        <xdr:cNvSpPr>
          <a:spLocks noChangeShapeType="1"/>
        </xdr:cNvSpPr>
      </xdr:nvSpPr>
      <xdr:spPr bwMode="auto">
        <a:xfrm>
          <a:off x="0" y="457200"/>
          <a:ext cx="0" cy="142875"/>
        </a:xfrm>
        <a:prstGeom prst="line">
          <a:avLst/>
        </a:prstGeom>
        <a:noFill/>
        <a:ln w="15875">
          <a:solidFill>
            <a:srgbClr val="000000"/>
          </a:solidFill>
          <a:round/>
          <a:headEnd/>
          <a:tailEnd/>
        </a:ln>
        <a:extLst>
          <a:ext uri="{909E8E84-426E-40DD-AFC4-6F175D3DCCD1}">
            <a14:hiddenFill xmlns:a14="http://schemas.microsoft.com/office/drawing/2010/main">
              <a:noFill/>
            </a14:hiddenFill>
          </a:ext>
        </a:extLst>
      </xdr:spPr>
    </xdr:sp>
    <xdr:clientData/>
  </xdr:twoCellAnchor>
</xdr:wsDr>
</file>

<file path=xl/drawings/drawing3.xml><?xml version="1.0" encoding="utf-8"?>
<xdr:wsDr xmlns:xdr="http://schemas.openxmlformats.org/drawingml/2006/spreadsheetDrawing" xmlns:a="http://schemas.openxmlformats.org/drawingml/2006/main">
  <xdr:twoCellAnchor>
    <xdr:from>
      <xdr:col>0</xdr:col>
      <xdr:colOff>0</xdr:colOff>
      <xdr:row>2</xdr:row>
      <xdr:rowOff>0</xdr:rowOff>
    </xdr:from>
    <xdr:to>
      <xdr:col>0</xdr:col>
      <xdr:colOff>0</xdr:colOff>
      <xdr:row>2</xdr:row>
      <xdr:rowOff>180975</xdr:rowOff>
    </xdr:to>
    <xdr:sp macro="" textlink="">
      <xdr:nvSpPr>
        <xdr:cNvPr id="2" name="Line 15">
          <a:extLst>
            <a:ext uri="{FF2B5EF4-FFF2-40B4-BE49-F238E27FC236}">
              <a16:creationId xmlns:a16="http://schemas.microsoft.com/office/drawing/2014/main" id="{00000000-0008-0000-0700-000002000000}"/>
            </a:ext>
          </a:extLst>
        </xdr:cNvPr>
        <xdr:cNvSpPr>
          <a:spLocks noChangeShapeType="1"/>
        </xdr:cNvSpPr>
      </xdr:nvSpPr>
      <xdr:spPr bwMode="auto">
        <a:xfrm>
          <a:off x="0" y="457200"/>
          <a:ext cx="0" cy="142875"/>
        </a:xfrm>
        <a:prstGeom prst="line">
          <a:avLst/>
        </a:prstGeom>
        <a:noFill/>
        <a:ln w="15875">
          <a:solidFill>
            <a:srgbClr val="000000"/>
          </a:solidFill>
          <a:round/>
          <a:headEnd/>
          <a:tailEnd/>
        </a:ln>
        <a:extLst>
          <a:ext uri="{909E8E84-426E-40DD-AFC4-6F175D3DCCD1}">
            <a14:hiddenFill xmlns:a14="http://schemas.microsoft.com/office/drawing/2010/main">
              <a:noFill/>
            </a14:hiddenFill>
          </a:ext>
        </a:extLst>
      </xdr:spPr>
    </xdr:sp>
    <xdr:clientData/>
  </xdr:twoCellAnchor>
</xdr:wsDr>
</file>

<file path=xl/drawings/drawing4.xml><?xml version="1.0" encoding="utf-8"?>
<xdr:wsDr xmlns:xdr="http://schemas.openxmlformats.org/drawingml/2006/spreadsheetDrawing" xmlns:a="http://schemas.openxmlformats.org/drawingml/2006/main">
  <xdr:twoCellAnchor editAs="oneCell">
    <xdr:from>
      <xdr:col>19</xdr:col>
      <xdr:colOff>314325</xdr:colOff>
      <xdr:row>10</xdr:row>
      <xdr:rowOff>228600</xdr:rowOff>
    </xdr:from>
    <xdr:to>
      <xdr:col>29</xdr:col>
      <xdr:colOff>377190</xdr:colOff>
      <xdr:row>23</xdr:row>
      <xdr:rowOff>190500</xdr:rowOff>
    </xdr:to>
    <xdr:pic>
      <xdr:nvPicPr>
        <xdr:cNvPr id="2" name="Picture 1">
          <a:extLst>
            <a:ext uri="{FF2B5EF4-FFF2-40B4-BE49-F238E27FC236}">
              <a16:creationId xmlns:a16="http://schemas.microsoft.com/office/drawing/2014/main" id="{00000000-0008-0000-0900-000002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6686550" y="2028825"/>
          <a:ext cx="6143625" cy="27813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19</xdr:col>
      <xdr:colOff>314325</xdr:colOff>
      <xdr:row>24</xdr:row>
      <xdr:rowOff>200025</xdr:rowOff>
    </xdr:from>
    <xdr:to>
      <xdr:col>28</xdr:col>
      <xdr:colOff>156210</xdr:colOff>
      <xdr:row>40</xdr:row>
      <xdr:rowOff>0</xdr:rowOff>
    </xdr:to>
    <xdr:pic>
      <xdr:nvPicPr>
        <xdr:cNvPr id="3" name="Picture 3">
          <a:extLst>
            <a:ext uri="{FF2B5EF4-FFF2-40B4-BE49-F238E27FC236}">
              <a16:creationId xmlns:a16="http://schemas.microsoft.com/office/drawing/2014/main" id="{00000000-0008-0000-0900-000003000000}"/>
            </a:ext>
          </a:extLst>
        </xdr:cNvPr>
        <xdr:cNvPicPr>
          <a:picLocks noChangeAspect="1" noChangeArrowheads="1"/>
        </xdr:cNvPicPr>
      </xdr:nvPicPr>
      <xdr:blipFill>
        <a:blip xmlns:r="http://schemas.openxmlformats.org/officeDocument/2006/relationships" r:embed="rId2">
          <a:extLst>
            <a:ext uri="{28A0092B-C50C-407E-A947-70E740481C1C}">
              <a14:useLocalDpi xmlns:a14="http://schemas.microsoft.com/office/drawing/2010/main" val="0"/>
            </a:ext>
          </a:extLst>
        </a:blip>
        <a:srcRect/>
        <a:stretch>
          <a:fillRect/>
        </a:stretch>
      </xdr:blipFill>
      <xdr:spPr bwMode="auto">
        <a:xfrm>
          <a:off x="6686550" y="5067300"/>
          <a:ext cx="5334000" cy="20383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wsDr>
</file>

<file path=xl/tables/table1.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2" xr:uid="{C57326E0-29CB-42F0-AD65-16B169A96799}" name="Table393" displayName="Table393" ref="C8:C73" totalsRowShown="0" dataDxfId="5" tableBorderDxfId="4">
  <autoFilter ref="C8:C73" xr:uid="{B1A56325-0761-466F-B055-3CE24CCDF249}"/>
  <tableColumns count="1">
    <tableColumn id="1" xr3:uid="{F42C1F80-5E9E-45DE-A213-E4984358F9ED}" name="Measures" dataDxfId="3"/>
  </tableColumns>
  <tableStyleInfo name="TableStyleMedium9" showFirstColumn="0" showLastColumn="0" showRowStripes="1" showColumnStripes="0"/>
</table>
</file>

<file path=xl/tables/table2.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39" xr:uid="{00000000-000C-0000-FFFF-FFFF05000000}" name="Table39" displayName="Table39" ref="A12:A97" totalsRowShown="0" dataDxfId="2" tableBorderDxfId="1">
  <autoFilter ref="A12:A97" xr:uid="{00000000-0009-0000-0100-000027000000}"/>
  <tableColumns count="1">
    <tableColumn id="1" xr3:uid="{00000000-0010-0000-0500-000001000000}" name="Measures" dataDxfId="0"/>
  </tableColumns>
  <tableStyleInfo name="TableStyleMedium9" showFirstColumn="0" showLastColumn="0" showRowStripes="1" showColumnStripes="0"/>
</table>
</file>

<file path=xl/tables/table3.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8" xr:uid="{00000000-000C-0000-FFFF-FFFF04000000}" name="Table8" displayName="Table8" ref="I1:I10" totalsRowShown="0">
  <autoFilter ref="I1:I10" xr:uid="{00000000-0009-0000-0100-000008000000}"/>
  <tableColumns count="1">
    <tableColumn id="1" xr3:uid="{00000000-0010-0000-0400-000001000000}" name="Inclusive access benefits"/>
  </tableColumns>
  <tableStyleInfo name="TableStyleMedium9" showFirstColumn="0" showLastColumn="0" showRowStripes="1" showColumnStripes="0"/>
</table>
</file>

<file path=xl/tables/table4.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7" xr:uid="{00000000-000C-0000-FFFF-FFFF03000000}" name="Table7" displayName="Table7" ref="G1:G6" totalsRowShown="0">
  <autoFilter ref="G1:G6" xr:uid="{00000000-0009-0000-0100-000007000000}"/>
  <tableColumns count="1">
    <tableColumn id="1" xr3:uid="{00000000-0010-0000-0300-000001000000}" name="Environmental sustainability benefits"/>
  </tableColumns>
  <tableStyleInfo name="TableStyleMedium9" showFirstColumn="0" showLastColumn="0" showRowStripes="1" showColumnStripes="0"/>
</table>
</file>

<file path=xl/tables/table5.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6" xr:uid="{00000000-000C-0000-FFFF-FFFF02000000}" name="Table6" displayName="Table6" ref="E1:E8" totalsRowShown="0">
  <autoFilter ref="E1:E8" xr:uid="{00000000-0009-0000-0100-000006000000}"/>
  <tableColumns count="1">
    <tableColumn id="1" xr3:uid="{00000000-0010-0000-0200-000001000000}" name="Economic Prosperity benefits"/>
  </tableColumns>
  <tableStyleInfo name="TableStyleMedium9" showFirstColumn="0" showLastColumn="0" showRowStripes="1" showColumnStripes="0"/>
</table>
</file>

<file path=xl/tables/table6.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5" xr:uid="{00000000-000C-0000-FFFF-FFFF01000000}" name="Table5" displayName="Table5" ref="C1:C3" totalsRowShown="0">
  <autoFilter ref="C1:C3" xr:uid="{00000000-0009-0000-0100-000005000000}"/>
  <tableColumns count="1">
    <tableColumn id="1" xr3:uid="{00000000-0010-0000-0100-000001000000}" name="Resilience and security benefits"/>
  </tableColumns>
  <tableStyleInfo name="TableStyleMedium9" showFirstColumn="0" showLastColumn="0" showRowStripes="1" showColumnStripes="0"/>
</table>
</file>

<file path=xl/tables/table7.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1" xr:uid="{00000000-000C-0000-FFFF-FFFF00000000}" name="Table1" displayName="Table1" ref="A1:A8" totalsRowShown="0">
  <autoFilter ref="A1:A8" xr:uid="{00000000-0009-0000-0100-000001000000}"/>
  <tableColumns count="1">
    <tableColumn id="1" xr3:uid="{00000000-0010-0000-0000-000001000000}" name="Healthy and safe people benefits"/>
  </tableColumns>
  <tableStyleInfo name="TableStyleMedium9" showFirstColumn="0" showLastColumn="0" showRowStripes="1" showColumnStripes="0"/>
</table>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tint val="100000"/>
                <a:shade val="100000"/>
                <a:satMod val="130000"/>
              </a:schemeClr>
            </a:gs>
            <a:gs pos="100000">
              <a:schemeClr val="phClr">
                <a:tint val="50000"/>
                <a:shade val="100000"/>
                <a:satMod val="350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spDef>
      <a:spPr/>
      <a:bodyPr/>
      <a:lstStyle/>
      <a:style>
        <a:lnRef idx="1">
          <a:schemeClr val="accent1"/>
        </a:lnRef>
        <a:fillRef idx="3">
          <a:schemeClr val="accent1"/>
        </a:fillRef>
        <a:effectRef idx="2">
          <a:schemeClr val="accent1"/>
        </a:effectRef>
        <a:fontRef idx="minor">
          <a:schemeClr val="lt1"/>
        </a:fontRef>
      </a:style>
    </a:spDef>
    <a:lnDef>
      <a:spPr/>
      <a:bodyPr/>
      <a:lstStyle/>
      <a:style>
        <a:lnRef idx="2">
          <a:schemeClr val="accent1"/>
        </a:lnRef>
        <a:fillRef idx="0">
          <a:schemeClr val="accent1"/>
        </a:fillRef>
        <a:effectRef idx="1">
          <a:schemeClr val="accent1"/>
        </a:effectRef>
        <a:fontRef idx="minor">
          <a:schemeClr val="tx1"/>
        </a:fontRef>
      </a:style>
    </a:lnDef>
  </a:objectDefaults>
  <a:extraClrSchemeLst/>
</a:theme>
</file>

<file path=xl/worksheets/_rels/sheet1.xml.rels><?xml version="1.0" encoding="UTF-8" standalone="yes"?>
<Relationships xmlns="http://schemas.openxmlformats.org/package/2006/relationships"><Relationship Id="rId3" Type="http://schemas.openxmlformats.org/officeDocument/2006/relationships/vmlDrawing" Target="../drawings/vmlDrawing1.vml"/><Relationship Id="rId2" Type="http://schemas.openxmlformats.org/officeDocument/2006/relationships/drawing" Target="../drawings/drawing1.xml"/><Relationship Id="rId1" Type="http://schemas.openxmlformats.org/officeDocument/2006/relationships/printerSettings" Target="../printerSettings/printerSettings1.bin"/><Relationship Id="rId5" Type="http://schemas.openxmlformats.org/officeDocument/2006/relationships/comments" Target="../comments1.xml"/><Relationship Id="rId4" Type="http://schemas.openxmlformats.org/officeDocument/2006/relationships/ctrlProp" Target="../ctrlProps/ctrlProp1.xml"/></Relationships>
</file>

<file path=xl/worksheets/_rels/sheet2.xml.rels><?xml version="1.0" encoding="UTF-8" standalone="yes"?>
<Relationships xmlns="http://schemas.openxmlformats.org/package/2006/relationships"><Relationship Id="rId3" Type="http://schemas.openxmlformats.org/officeDocument/2006/relationships/table" Target="../tables/table3.xml"/><Relationship Id="rId7" Type="http://schemas.openxmlformats.org/officeDocument/2006/relationships/table" Target="../tables/table7.xml"/><Relationship Id="rId2" Type="http://schemas.openxmlformats.org/officeDocument/2006/relationships/table" Target="../tables/table2.xml"/><Relationship Id="rId1" Type="http://schemas.openxmlformats.org/officeDocument/2006/relationships/table" Target="../tables/table1.xml"/><Relationship Id="rId6" Type="http://schemas.openxmlformats.org/officeDocument/2006/relationships/table" Target="../tables/table6.xml"/><Relationship Id="rId5" Type="http://schemas.openxmlformats.org/officeDocument/2006/relationships/table" Target="../tables/table5.xml"/><Relationship Id="rId4" Type="http://schemas.openxmlformats.org/officeDocument/2006/relationships/table" Target="../tables/table4.xml"/></Relationships>
</file>

<file path=xl/worksheets/_rels/sheet3.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_rels/sheet4.xml.rels><?xml version="1.0" encoding="UTF-8" standalone="yes"?>
<Relationships xmlns="http://schemas.openxmlformats.org/package/2006/relationships"><Relationship Id="rId3" Type="http://schemas.openxmlformats.org/officeDocument/2006/relationships/printerSettings" Target="../printerSettings/printerSettings3.bin"/><Relationship Id="rId2" Type="http://schemas.openxmlformats.org/officeDocument/2006/relationships/hyperlink" Target="https://www.nzta.govt.nz/resources/monetised-benefits-and-costs-manual" TargetMode="External"/><Relationship Id="rId1" Type="http://schemas.openxmlformats.org/officeDocument/2006/relationships/hyperlink" Target="https://www.nzta.govt.nz/assets/resources/economic-evaluation-manual/economic-evaluation-manual/docs/eem-manual-2016.pdf" TargetMode="External"/></Relationships>
</file>

<file path=xl/worksheets/_rels/sheet5.xml.rels><?xml version="1.0" encoding="UTF-8" standalone="yes"?>
<Relationships xmlns="http://schemas.openxmlformats.org/package/2006/relationships"><Relationship Id="rId3" Type="http://schemas.openxmlformats.org/officeDocument/2006/relationships/printerSettings" Target="../printerSettings/printerSettings4.bin"/><Relationship Id="rId2" Type="http://schemas.openxmlformats.org/officeDocument/2006/relationships/hyperlink" Target="https://www.nzta.govt.nz/resources/monetised-benefits-and-costs-manual" TargetMode="External"/><Relationship Id="rId1" Type="http://schemas.openxmlformats.org/officeDocument/2006/relationships/hyperlink" Target="https://www.nzta.govt.nz/resources/economic-evaluation-manual" TargetMode="External"/><Relationship Id="rId5" Type="http://schemas.openxmlformats.org/officeDocument/2006/relationships/comments" Target="../comments2.xml"/><Relationship Id="rId4" Type="http://schemas.openxmlformats.org/officeDocument/2006/relationships/vmlDrawing" Target="../drawings/vmlDrawing2.vml"/></Relationships>
</file>

<file path=xl/worksheets/_rels/sheet6.xml.rels><?xml version="1.0" encoding="UTF-8" standalone="yes"?>
<Relationships xmlns="http://schemas.openxmlformats.org/package/2006/relationships"><Relationship Id="rId3" Type="http://schemas.openxmlformats.org/officeDocument/2006/relationships/comments" Target="../comments3.xml"/><Relationship Id="rId2" Type="http://schemas.openxmlformats.org/officeDocument/2006/relationships/vmlDrawing" Target="../drawings/vmlDrawing3.vml"/><Relationship Id="rId1" Type="http://schemas.openxmlformats.org/officeDocument/2006/relationships/printerSettings" Target="../printerSettings/printerSettings5.bin"/></Relationships>
</file>

<file path=xl/worksheets/_rels/sheet7.xml.rels><?xml version="1.0" encoding="UTF-8" standalone="yes"?>
<Relationships xmlns="http://schemas.openxmlformats.org/package/2006/relationships"><Relationship Id="rId3" Type="http://schemas.openxmlformats.org/officeDocument/2006/relationships/vmlDrawing" Target="../drawings/vmlDrawing4.vml"/><Relationship Id="rId2" Type="http://schemas.openxmlformats.org/officeDocument/2006/relationships/drawing" Target="../drawings/drawing2.xml"/><Relationship Id="rId1" Type="http://schemas.openxmlformats.org/officeDocument/2006/relationships/printerSettings" Target="../printerSettings/printerSettings6.bin"/><Relationship Id="rId4" Type="http://schemas.openxmlformats.org/officeDocument/2006/relationships/comments" Target="../comments4.xml"/></Relationships>
</file>

<file path=xl/worksheets/_rels/sheet8.xml.rels><?xml version="1.0" encoding="UTF-8" standalone="yes"?>
<Relationships xmlns="http://schemas.openxmlformats.org/package/2006/relationships"><Relationship Id="rId3" Type="http://schemas.openxmlformats.org/officeDocument/2006/relationships/vmlDrawing" Target="../drawings/vmlDrawing5.vml"/><Relationship Id="rId2" Type="http://schemas.openxmlformats.org/officeDocument/2006/relationships/drawing" Target="../drawings/drawing3.xml"/><Relationship Id="rId1" Type="http://schemas.openxmlformats.org/officeDocument/2006/relationships/printerSettings" Target="../printerSettings/printerSettings7.bin"/><Relationship Id="rId4" Type="http://schemas.openxmlformats.org/officeDocument/2006/relationships/comments" Target="../comments5.xml"/></Relationships>
</file>

<file path=xl/worksheets/_rels/sheet9.xml.rels><?xml version="1.0" encoding="UTF-8" standalone="yes"?>
<Relationships xmlns="http://schemas.openxmlformats.org/package/2006/relationships"><Relationship Id="rId3" Type="http://schemas.openxmlformats.org/officeDocument/2006/relationships/comments" Target="../comments6.xml"/><Relationship Id="rId2" Type="http://schemas.openxmlformats.org/officeDocument/2006/relationships/vmlDrawing" Target="../drawings/vmlDrawing6.vml"/><Relationship Id="rId1" Type="http://schemas.openxmlformats.org/officeDocument/2006/relationships/printerSettings" Target="../printerSettings/printerSettings8.bin"/></Relationships>
</file>

<file path=xl/worksheets/_rels/sheet10.xml.rels><?xml version="1.0" encoding="UTF-8" standalone="yes"?>
<Relationships xmlns="http://schemas.openxmlformats.org/package/2006/relationships"><Relationship Id="rId3" Type="http://schemas.openxmlformats.org/officeDocument/2006/relationships/vmlDrawing" Target="../drawings/vmlDrawing7.vml"/><Relationship Id="rId2" Type="http://schemas.openxmlformats.org/officeDocument/2006/relationships/drawing" Target="../drawings/drawing4.xml"/><Relationship Id="rId1" Type="http://schemas.openxmlformats.org/officeDocument/2006/relationships/printerSettings" Target="../printerSettings/printerSettings9.bin"/><Relationship Id="rId4" Type="http://schemas.openxmlformats.org/officeDocument/2006/relationships/comments" Target="../comments7.xml"/></Relationships>
</file>

<file path=xl/worksheets/_rels/sheet11.xml.rels><?xml version="1.0" encoding="UTF-8" standalone="yes"?>
<Relationships xmlns="http://schemas.openxmlformats.org/package/2006/relationships"><Relationship Id="rId3" Type="http://schemas.openxmlformats.org/officeDocument/2006/relationships/vmlDrawing" Target="../drawings/vmlDrawing8.vml"/><Relationship Id="rId2" Type="http://schemas.openxmlformats.org/officeDocument/2006/relationships/printerSettings" Target="../printerSettings/printerSettings10.bin"/><Relationship Id="rId1" Type="http://schemas.openxmlformats.org/officeDocument/2006/relationships/hyperlink" Target="http://www.nzta.govt.nz/assets/resources/economic-evaluation-manual/economic-evaluation-manual/docs/crash-risk-factors-guidelines-compendium.pdf" TargetMode="External"/><Relationship Id="rId4" Type="http://schemas.openxmlformats.org/officeDocument/2006/relationships/comments" Target="../comments8.xml"/></Relationships>
</file>

<file path=xl/worksheets/_rels/sheet12.xml.rels><?xml version="1.0" encoding="UTF-8" standalone="yes"?>
<Relationships xmlns="http://schemas.openxmlformats.org/package/2006/relationships"><Relationship Id="rId3" Type="http://schemas.openxmlformats.org/officeDocument/2006/relationships/printerSettings" Target="../printerSettings/printerSettings11.bin"/><Relationship Id="rId2" Type="http://schemas.openxmlformats.org/officeDocument/2006/relationships/hyperlink" Target="https://www.nzta.govt.nz/resources/monetised-benefits-and-costs-manual" TargetMode="External"/><Relationship Id="rId1" Type="http://schemas.openxmlformats.org/officeDocument/2006/relationships/hyperlink" Target="https://www.nzta.govt.nz/assets/resources/economic-evaluation-manual/economic-evaluation-manual/docs/eem-manual-2016.pdf" TargetMode="External"/><Relationship Id="rId5" Type="http://schemas.openxmlformats.org/officeDocument/2006/relationships/comments" Target="../comments9.xml"/><Relationship Id="rId4" Type="http://schemas.openxmlformats.org/officeDocument/2006/relationships/vmlDrawing" Target="../drawings/vmlDrawing9.vml"/></Relationships>
</file>

<file path=xl/worksheets/_rels/sheet13.xml.rels><?xml version="1.0" encoding="UTF-8" standalone="yes"?>
<Relationships xmlns="http://schemas.openxmlformats.org/package/2006/relationships"><Relationship Id="rId1" Type="http://schemas.openxmlformats.org/officeDocument/2006/relationships/printerSettings" Target="../printerSettings/printerSettings12.bin"/></Relationships>
</file>

<file path=xl/worksheets/_rels/sheet14.xml.rels><?xml version="1.0" encoding="UTF-8" standalone="yes"?>
<Relationships xmlns="http://schemas.openxmlformats.org/package/2006/relationships"><Relationship Id="rId1" Type="http://schemas.openxmlformats.org/officeDocument/2006/relationships/printerSettings" Target="../printerSettings/printerSettings13.bin"/></Relationships>
</file>

<file path=xl/worksheets/_rels/sheet15.xml.rels><?xml version="1.0" encoding="UTF-8" standalone="yes"?>
<Relationships xmlns="http://schemas.openxmlformats.org/package/2006/relationships"><Relationship Id="rId1" Type="http://schemas.openxmlformats.org/officeDocument/2006/relationships/printerSettings" Target="../printerSettings/printerSettings14.bin"/></Relationships>
</file>

<file path=xl/worksheets/_rels/sheet16.xml.rels><?xml version="1.0" encoding="UTF-8" standalone="yes"?>
<Relationships xmlns="http://schemas.openxmlformats.org/package/2006/relationships"><Relationship Id="rId1" Type="http://schemas.openxmlformats.org/officeDocument/2006/relationships/printerSettings" Target="../printerSettings/printerSettings15.bin"/></Relationships>
</file>

<file path=xl/worksheets/_rels/sheet17.xml.rels><?xml version="1.0" encoding="UTF-8" standalone="yes"?>
<Relationships xmlns="http://schemas.openxmlformats.org/package/2006/relationships"><Relationship Id="rId1" Type="http://schemas.openxmlformats.org/officeDocument/2006/relationships/printerSettings" Target="../printerSettings/printerSettings16.bin"/></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sheetPr codeName="Sheet2">
    <pageSetUpPr fitToPage="1"/>
  </sheetPr>
  <dimension ref="B1:T34"/>
  <sheetViews>
    <sheetView showGridLines="0" zoomScale="80" zoomScaleNormal="80" workbookViewId="0">
      <selection activeCell="B2" sqref="B2:I2"/>
    </sheetView>
  </sheetViews>
  <sheetFormatPr defaultColWidth="11" defaultRowHeight="15.6"/>
  <cols>
    <col min="1" max="1" width="4.5" customWidth="1"/>
    <col min="2" max="2" width="26" style="1" customWidth="1"/>
    <col min="3" max="3" width="41.8984375" style="1" customWidth="1"/>
    <col min="4" max="4" width="32" style="1" customWidth="1"/>
    <col min="5" max="9" width="26" style="1" customWidth="1"/>
    <col min="10" max="10" width="15.19921875" style="1" bestFit="1" customWidth="1"/>
    <col min="11" max="11" width="11" style="1"/>
    <col min="12" max="12" width="13.69921875" style="1" bestFit="1" customWidth="1"/>
    <col min="13" max="13" width="11" style="1"/>
    <col min="14" max="14" width="12.59765625" bestFit="1" customWidth="1"/>
  </cols>
  <sheetData>
    <row r="1" spans="2:20" ht="33" customHeight="1" thickBot="1"/>
    <row r="2" spans="2:20" ht="66" customHeight="1" thickBot="1">
      <c r="B2" s="413" t="s">
        <v>0</v>
      </c>
      <c r="C2" s="414"/>
      <c r="D2" s="414"/>
      <c r="E2" s="414"/>
      <c r="F2" s="414"/>
      <c r="G2" s="414"/>
      <c r="H2" s="414"/>
      <c r="I2" s="415"/>
      <c r="J2" t="s">
        <v>1</v>
      </c>
      <c r="K2"/>
      <c r="L2"/>
      <c r="M2"/>
    </row>
    <row r="3" spans="2:20" ht="57" customHeight="1" thickTop="1" thickBot="1">
      <c r="B3" s="337" t="s">
        <v>2</v>
      </c>
      <c r="C3" s="113">
        <f ca="1">NOW()</f>
        <v>45785.47319016204</v>
      </c>
      <c r="D3" s="114" t="s">
        <v>884</v>
      </c>
      <c r="E3" s="334" t="str">
        <f>_xlfn.CONCAT(_xlfn.VALUETOTEXT('SP4-1'!I25)," - ",_xlfn.VALUETOTEXT('SP4-1'!I25+'SP4-1'!I27))</f>
        <v xml:space="preserve"> - 40</v>
      </c>
      <c r="F3" s="115" t="s">
        <v>3</v>
      </c>
      <c r="G3" s="425"/>
      <c r="H3" s="425"/>
      <c r="I3" s="366" t="s">
        <v>4</v>
      </c>
      <c r="J3" s="112" t="s">
        <v>5</v>
      </c>
      <c r="K3"/>
      <c r="L3" s="14"/>
      <c r="M3" s="14"/>
      <c r="N3" s="14"/>
      <c r="O3" s="14"/>
      <c r="P3" s="14"/>
      <c r="Q3" s="14"/>
      <c r="R3" s="14"/>
      <c r="S3" s="14"/>
      <c r="T3" s="14"/>
    </row>
    <row r="4" spans="2:20" s="3" customFormat="1" ht="27.9" customHeight="1" thickTop="1">
      <c r="B4" s="416" t="s">
        <v>6</v>
      </c>
      <c r="C4" s="417"/>
      <c r="D4" s="421" t="s">
        <v>7</v>
      </c>
      <c r="E4" s="422"/>
      <c r="F4" s="421" t="s">
        <v>8</v>
      </c>
      <c r="G4" s="422"/>
      <c r="H4" s="421" t="s">
        <v>9</v>
      </c>
      <c r="I4" s="423"/>
      <c r="J4" s="14"/>
      <c r="K4" s="14"/>
      <c r="L4" s="14"/>
      <c r="M4" s="14"/>
      <c r="N4" s="14"/>
      <c r="O4" s="14"/>
      <c r="P4" s="14"/>
      <c r="Q4" s="14"/>
      <c r="R4" s="14"/>
      <c r="S4" s="14"/>
      <c r="T4" s="14"/>
    </row>
    <row r="5" spans="2:20" s="12" customFormat="1" ht="27.9" customHeight="1">
      <c r="B5" s="418" t="s">
        <v>10</v>
      </c>
      <c r="C5" s="419"/>
      <c r="D5" s="420" t="s">
        <v>10</v>
      </c>
      <c r="E5" s="419"/>
      <c r="F5" s="420" t="s">
        <v>10</v>
      </c>
      <c r="G5" s="419"/>
      <c r="H5" s="420" t="s">
        <v>10</v>
      </c>
      <c r="I5" s="424"/>
    </row>
    <row r="6" spans="2:20" s="12" customFormat="1" ht="27.9" customHeight="1">
      <c r="B6" s="338"/>
      <c r="C6" s="336"/>
      <c r="D6" s="336"/>
      <c r="E6" s="336"/>
      <c r="F6" s="336"/>
      <c r="G6" s="336"/>
      <c r="H6" s="336"/>
      <c r="I6" s="339"/>
    </row>
    <row r="7" spans="2:20" s="8" customFormat="1" ht="51" customHeight="1">
      <c r="B7" s="446" t="s">
        <v>11</v>
      </c>
      <c r="C7" s="447"/>
      <c r="D7" s="448"/>
      <c r="E7" s="438" t="s">
        <v>12</v>
      </c>
      <c r="F7" s="439"/>
      <c r="G7" s="438" t="s">
        <v>13</v>
      </c>
      <c r="H7" s="444"/>
      <c r="I7" s="445"/>
      <c r="J7" s="6"/>
      <c r="K7" s="6"/>
    </row>
    <row r="8" spans="2:20" s="7" customFormat="1" ht="35.1" customHeight="1">
      <c r="B8" s="426" t="s">
        <v>14</v>
      </c>
      <c r="C8" s="427"/>
      <c r="D8" s="428"/>
      <c r="E8" s="440" t="s">
        <v>15</v>
      </c>
      <c r="F8" s="442">
        <f>'SP4-3 (1)'!K8</f>
        <v>0</v>
      </c>
      <c r="G8" s="437" t="s">
        <v>822</v>
      </c>
      <c r="H8" s="437"/>
      <c r="I8" s="359">
        <f>'SP4-1'!J54</f>
        <v>0</v>
      </c>
      <c r="J8" s="4"/>
      <c r="K8" s="4"/>
    </row>
    <row r="9" spans="2:20" s="4" customFormat="1" ht="35.1" customHeight="1">
      <c r="B9" s="429"/>
      <c r="C9" s="430"/>
      <c r="D9" s="431"/>
      <c r="E9" s="441"/>
      <c r="F9" s="443"/>
      <c r="G9" s="435"/>
      <c r="H9" s="435"/>
      <c r="I9" s="360"/>
    </row>
    <row r="10" spans="2:20" s="4" customFormat="1" ht="35.1" customHeight="1">
      <c r="B10" s="429"/>
      <c r="C10" s="430"/>
      <c r="D10" s="431"/>
      <c r="E10" s="440" t="s">
        <v>17</v>
      </c>
      <c r="F10" s="442">
        <f>'SP4-3 (1)'!Q13+'SP4-3 (1)'!K16*('SP4-1'!I27-1)+SUM('SP4-3 (1)'!K22:M30)</f>
        <v>0</v>
      </c>
      <c r="G10" s="436" t="s">
        <v>18</v>
      </c>
      <c r="H10" s="436"/>
      <c r="I10" s="117">
        <f>'SP4-1'!J55</f>
        <v>0</v>
      </c>
    </row>
    <row r="11" spans="2:20" s="4" customFormat="1" ht="35.1" customHeight="1">
      <c r="B11" s="429"/>
      <c r="C11" s="430"/>
      <c r="D11" s="431"/>
      <c r="E11" s="441"/>
      <c r="F11" s="443"/>
      <c r="G11" s="437" t="s">
        <v>823</v>
      </c>
      <c r="H11" s="437"/>
      <c r="I11" s="362">
        <f>'SP4-1'!M54</f>
        <v>0</v>
      </c>
    </row>
    <row r="12" spans="2:20" s="4" customFormat="1" ht="57" customHeight="1">
      <c r="B12" s="432"/>
      <c r="C12" s="433"/>
      <c r="D12" s="434"/>
      <c r="E12" s="335" t="s">
        <v>19</v>
      </c>
      <c r="F12" s="116">
        <f>'SP4-3 (2)'!K16*39</f>
        <v>0</v>
      </c>
      <c r="G12" s="435"/>
      <c r="H12" s="435"/>
      <c r="I12" s="361"/>
    </row>
    <row r="13" spans="2:20" s="4" customFormat="1" ht="24.9" customHeight="1">
      <c r="B13" s="452"/>
      <c r="C13" s="453"/>
      <c r="I13" s="340"/>
    </row>
    <row r="14" spans="2:20" s="3" customFormat="1" ht="42.9" customHeight="1">
      <c r="B14" s="470" t="s">
        <v>20</v>
      </c>
      <c r="C14" s="471"/>
      <c r="D14" s="463" t="s">
        <v>21</v>
      </c>
      <c r="E14" s="464"/>
      <c r="F14" s="464"/>
      <c r="G14" s="465"/>
      <c r="H14" s="466" t="s">
        <v>22</v>
      </c>
      <c r="I14" s="467"/>
      <c r="J14" s="2"/>
      <c r="K14" s="2"/>
      <c r="L14" s="2"/>
      <c r="M14" s="2"/>
    </row>
    <row r="15" spans="2:20" s="6" customFormat="1" ht="27.9" customHeight="1">
      <c r="B15" s="468" t="s">
        <v>23</v>
      </c>
      <c r="C15" s="469"/>
      <c r="D15" s="5" t="s">
        <v>24</v>
      </c>
      <c r="E15" s="5" t="s">
        <v>25</v>
      </c>
      <c r="F15" s="5" t="s">
        <v>26</v>
      </c>
      <c r="G15" s="5" t="s">
        <v>27</v>
      </c>
      <c r="H15" s="5" t="s">
        <v>26</v>
      </c>
      <c r="I15" s="341" t="s">
        <v>27</v>
      </c>
      <c r="J15" s="4"/>
      <c r="L15" s="75"/>
      <c r="M15" s="75"/>
      <c r="N15" s="75"/>
      <c r="O15" s="4"/>
      <c r="P15" s="4"/>
      <c r="Q15" s="4"/>
      <c r="R15" s="4"/>
      <c r="S15" s="4"/>
    </row>
    <row r="16" spans="2:20" ht="27.9" customHeight="1">
      <c r="B16" s="342" t="s">
        <v>28</v>
      </c>
      <c r="C16" s="21"/>
      <c r="I16" s="343"/>
      <c r="J16" s="4"/>
      <c r="K16"/>
      <c r="L16" s="4"/>
      <c r="M16" s="4"/>
      <c r="N16" s="4"/>
      <c r="O16" s="4"/>
      <c r="P16" s="4"/>
      <c r="Q16" s="4"/>
      <c r="R16" s="4"/>
      <c r="S16" s="4"/>
    </row>
    <row r="17" spans="2:18" s="4" customFormat="1" ht="27.9" customHeight="1">
      <c r="B17" s="461" t="s">
        <v>29</v>
      </c>
      <c r="C17" s="462"/>
      <c r="D17" s="73" t="s">
        <v>30</v>
      </c>
      <c r="E17" s="17" t="s">
        <v>16</v>
      </c>
      <c r="F17" s="72"/>
      <c r="G17" s="72"/>
      <c r="H17" s="72"/>
      <c r="I17" s="344">
        <f>'SP4-6'!J41/'SP4-6'!F70*Tables!K327</f>
        <v>0</v>
      </c>
      <c r="L17" s="77"/>
      <c r="M17" s="78"/>
      <c r="N17" s="76"/>
    </row>
    <row r="18" spans="2:18" ht="27.9" customHeight="1">
      <c r="B18" s="342" t="s">
        <v>33</v>
      </c>
      <c r="C18" s="22"/>
      <c r="D18" s="345"/>
      <c r="E18" s="345"/>
      <c r="F18" s="345"/>
      <c r="G18" s="345"/>
      <c r="H18" s="345"/>
      <c r="I18" s="346"/>
      <c r="K18"/>
      <c r="M18" s="4"/>
      <c r="N18" s="4"/>
    </row>
    <row r="19" spans="2:18" s="4" customFormat="1" ht="27.9" customHeight="1">
      <c r="B19" s="457"/>
      <c r="C19" s="458"/>
      <c r="D19" s="13"/>
      <c r="E19" s="17" t="s">
        <v>16</v>
      </c>
      <c r="F19" s="371" t="s">
        <v>10</v>
      </c>
      <c r="G19" s="371" t="s">
        <v>10</v>
      </c>
      <c r="H19" s="372" t="s">
        <v>10</v>
      </c>
      <c r="I19" s="373" t="s">
        <v>10</v>
      </c>
      <c r="L19" s="77"/>
      <c r="M19" s="78"/>
      <c r="N19" s="74"/>
    </row>
    <row r="20" spans="2:18" ht="27.9" customHeight="1">
      <c r="B20" s="347" t="s">
        <v>34</v>
      </c>
      <c r="C20" s="23"/>
      <c r="D20" s="345"/>
      <c r="E20" s="345"/>
      <c r="F20" s="345"/>
      <c r="G20" s="345"/>
      <c r="H20" s="345"/>
      <c r="I20" s="346"/>
      <c r="K20"/>
      <c r="M20" s="4"/>
      <c r="N20" s="4"/>
    </row>
    <row r="21" spans="2:18" ht="27.9" customHeight="1">
      <c r="B21" s="457" t="s">
        <v>35</v>
      </c>
      <c r="C21" s="458"/>
      <c r="D21" s="13" t="s">
        <v>36</v>
      </c>
      <c r="E21" s="17" t="s">
        <v>16</v>
      </c>
      <c r="F21" s="17" t="s">
        <v>16</v>
      </c>
      <c r="G21" s="17" t="s">
        <v>16</v>
      </c>
      <c r="H21" s="72">
        <v>0</v>
      </c>
      <c r="I21" s="344">
        <f>'SP4-4'!O27*Tables!K327</f>
        <v>0</v>
      </c>
      <c r="J21" s="122"/>
      <c r="K21"/>
      <c r="L21" s="77"/>
      <c r="M21" s="78"/>
      <c r="N21" s="76"/>
    </row>
    <row r="22" spans="2:18" s="4" customFormat="1" ht="27.9" customHeight="1">
      <c r="B22" s="457"/>
      <c r="C22" s="458"/>
      <c r="D22" s="13" t="s">
        <v>627</v>
      </c>
      <c r="E22" s="17" t="s">
        <v>16</v>
      </c>
      <c r="F22" s="371" t="s">
        <v>10</v>
      </c>
      <c r="G22" s="371" t="s">
        <v>10</v>
      </c>
      <c r="H22" s="372" t="s">
        <v>10</v>
      </c>
      <c r="I22" s="344">
        <f>'SP4-5'!O28*Tables!K327</f>
        <v>0</v>
      </c>
      <c r="L22" s="77"/>
      <c r="M22" s="78"/>
      <c r="N22" s="74"/>
      <c r="O22"/>
      <c r="P22"/>
      <c r="Q22"/>
      <c r="R22"/>
    </row>
    <row r="23" spans="2:18" ht="27.9" customHeight="1">
      <c r="B23" s="348" t="s">
        <v>37</v>
      </c>
      <c r="C23" s="21"/>
      <c r="D23" s="345"/>
      <c r="E23" s="345"/>
      <c r="F23" s="345"/>
      <c r="G23" s="345"/>
      <c r="H23" s="345"/>
      <c r="I23" s="346"/>
      <c r="K23"/>
      <c r="M23" s="4"/>
      <c r="N23" s="4"/>
    </row>
    <row r="24" spans="2:18" s="4" customFormat="1" ht="27.9" customHeight="1">
      <c r="B24" s="461" t="s">
        <v>38</v>
      </c>
      <c r="C24" s="462"/>
      <c r="D24" s="294" t="s">
        <v>39</v>
      </c>
      <c r="E24" s="295" t="s">
        <v>16</v>
      </c>
      <c r="F24" s="296" t="s">
        <v>10</v>
      </c>
      <c r="G24" s="296" t="s">
        <v>10</v>
      </c>
      <c r="H24" s="296" t="s">
        <v>16</v>
      </c>
      <c r="I24" s="349">
        <v>0</v>
      </c>
      <c r="L24" s="77"/>
      <c r="M24" s="78"/>
      <c r="N24" s="76"/>
      <c r="O24"/>
      <c r="P24"/>
      <c r="Q24"/>
      <c r="R24"/>
    </row>
    <row r="25" spans="2:18" ht="27.9" customHeight="1">
      <c r="B25" s="474" t="s">
        <v>43</v>
      </c>
      <c r="C25" s="475"/>
      <c r="D25" s="475"/>
      <c r="E25" s="475"/>
      <c r="F25" s="475"/>
      <c r="G25" s="475"/>
      <c r="H25" s="475"/>
      <c r="I25" s="476"/>
      <c r="K25"/>
      <c r="M25" s="4"/>
      <c r="N25" s="4"/>
    </row>
    <row r="26" spans="2:18" ht="27.9" customHeight="1">
      <c r="B26" s="472" t="s">
        <v>46</v>
      </c>
      <c r="C26" s="473"/>
      <c r="D26" s="296" t="s">
        <v>806</v>
      </c>
      <c r="E26" s="295" t="s">
        <v>16</v>
      </c>
      <c r="F26" s="367" t="s">
        <v>10</v>
      </c>
      <c r="G26" s="367" t="s">
        <v>10</v>
      </c>
      <c r="H26" s="296" t="s">
        <v>16</v>
      </c>
      <c r="I26" s="350">
        <f>'SP4-4'!O38/'SP4-4'!L44*Tables!K327</f>
        <v>0</v>
      </c>
      <c r="K26"/>
      <c r="M26" s="4"/>
      <c r="N26" s="4"/>
    </row>
    <row r="27" spans="2:18" s="4" customFormat="1" ht="27.9" customHeight="1">
      <c r="B27" s="459" t="s">
        <v>44</v>
      </c>
      <c r="C27" s="460"/>
      <c r="D27" s="297" t="s">
        <v>45</v>
      </c>
      <c r="E27" s="292" t="s">
        <v>16</v>
      </c>
      <c r="F27" s="368" t="s">
        <v>10</v>
      </c>
      <c r="G27" s="368" t="s">
        <v>10</v>
      </c>
      <c r="H27" s="293" t="s">
        <v>16</v>
      </c>
      <c r="I27" s="349" t="s">
        <v>16</v>
      </c>
      <c r="L27" s="79"/>
      <c r="M27" s="80"/>
      <c r="N27" s="76"/>
    </row>
    <row r="28" spans="2:18" s="4" customFormat="1" ht="27.9" customHeight="1" thickBot="1">
      <c r="B28" s="455" t="s">
        <v>46</v>
      </c>
      <c r="C28" s="456"/>
      <c r="D28" s="351" t="s">
        <v>36</v>
      </c>
      <c r="E28" s="352" t="s">
        <v>16</v>
      </c>
      <c r="F28" s="369" t="s">
        <v>10</v>
      </c>
      <c r="G28" s="369" t="s">
        <v>10</v>
      </c>
      <c r="H28" s="369" t="s">
        <v>10</v>
      </c>
      <c r="I28" s="370" t="s">
        <v>10</v>
      </c>
      <c r="L28" s="77"/>
      <c r="M28" s="78"/>
      <c r="N28" s="74"/>
    </row>
    <row r="29" spans="2:18" s="6" customFormat="1">
      <c r="L29" s="4"/>
      <c r="M29" s="4"/>
      <c r="N29" s="4"/>
    </row>
    <row r="30" spans="2:18" s="6" customFormat="1">
      <c r="B30" s="454" t="s">
        <v>47</v>
      </c>
      <c r="C30" s="454"/>
      <c r="D30" s="16"/>
      <c r="E30" s="16"/>
      <c r="F30" s="16"/>
      <c r="G30" s="16"/>
      <c r="H30" s="16"/>
      <c r="I30" s="16"/>
      <c r="L30" s="4"/>
      <c r="M30" s="4"/>
      <c r="N30" s="4"/>
    </row>
    <row r="31" spans="2:18" s="9" customFormat="1" ht="39.9" customHeight="1">
      <c r="B31" s="449"/>
      <c r="C31" s="450"/>
      <c r="D31" s="450"/>
      <c r="E31" s="450"/>
      <c r="F31" s="450"/>
      <c r="G31" s="450"/>
      <c r="H31" s="450"/>
      <c r="I31" s="451"/>
      <c r="L31" s="4"/>
      <c r="M31" s="4"/>
      <c r="N31" s="4"/>
    </row>
    <row r="32" spans="2:18">
      <c r="L32" s="4"/>
      <c r="M32" s="4"/>
      <c r="N32" s="4"/>
    </row>
    <row r="33" spans="12:14">
      <c r="L33" s="4"/>
      <c r="M33" s="4"/>
      <c r="N33" s="4"/>
    </row>
    <row r="34" spans="12:14">
      <c r="L34" s="4"/>
      <c r="M34" s="4"/>
      <c r="N34" s="4"/>
    </row>
  </sheetData>
  <sheetProtection algorithmName="SHA-512" hashValue="I+km4ZlIF83JHE0cCU492fAOFdrCqbuiZKzZW2mhzxDs60DPCSc9KWmaEgkvkmndnuSPS7W1i1EafDqGm9ID0w==" saltValue="OfamLczrcFw+2VIWr8bLzg==" spinCount="100000" sheet="1" objects="1" scenarios="1"/>
  <protectedRanges>
    <protectedRange sqref="J3" name="Range2_1"/>
  </protectedRanges>
  <mergeCells count="39">
    <mergeCell ref="B31:I31"/>
    <mergeCell ref="B13:C13"/>
    <mergeCell ref="B30:C30"/>
    <mergeCell ref="B28:C28"/>
    <mergeCell ref="B19:C19"/>
    <mergeCell ref="B22:C22"/>
    <mergeCell ref="B27:C27"/>
    <mergeCell ref="B24:C24"/>
    <mergeCell ref="D14:G14"/>
    <mergeCell ref="H14:I14"/>
    <mergeCell ref="B17:C17"/>
    <mergeCell ref="B15:C15"/>
    <mergeCell ref="B21:C21"/>
    <mergeCell ref="B14:C14"/>
    <mergeCell ref="B26:C26"/>
    <mergeCell ref="B25:I25"/>
    <mergeCell ref="B8:D12"/>
    <mergeCell ref="G12:H12"/>
    <mergeCell ref="G10:H10"/>
    <mergeCell ref="G11:H11"/>
    <mergeCell ref="E7:F7"/>
    <mergeCell ref="E8:E9"/>
    <mergeCell ref="F8:F9"/>
    <mergeCell ref="E10:E11"/>
    <mergeCell ref="F10:F11"/>
    <mergeCell ref="G7:I7"/>
    <mergeCell ref="B7:D7"/>
    <mergeCell ref="G8:H8"/>
    <mergeCell ref="G9:H9"/>
    <mergeCell ref="B2:I2"/>
    <mergeCell ref="B4:C4"/>
    <mergeCell ref="B5:C5"/>
    <mergeCell ref="D5:E5"/>
    <mergeCell ref="D4:E4"/>
    <mergeCell ref="F4:G4"/>
    <mergeCell ref="F5:G5"/>
    <mergeCell ref="H4:I4"/>
    <mergeCell ref="H5:I5"/>
    <mergeCell ref="G3:H3"/>
  </mergeCells>
  <phoneticPr fontId="3" type="noConversion"/>
  <dataValidations count="1">
    <dataValidation type="list" allowBlank="1" showInputMessage="1" showErrorMessage="1" sqref="L17 L21:L22 L24 L27:L28 L19" xr:uid="{EEB57C4A-2F42-41A7-A9D9-470B97E5744A}">
      <formula1>#REF!</formula1>
    </dataValidation>
  </dataValidations>
  <pageMargins left="0.36000000000000004" right="0.36000000000000004" top="0.6100000000000001" bottom="0.6100000000000001" header="0.5" footer="0.5"/>
  <pageSetup paperSize="8" scale="75" orientation="landscape" horizontalDpi="4294967292" verticalDpi="4294967292" r:id="rId1"/>
  <drawing r:id="rId2"/>
  <legacyDrawing r:id="rId3"/>
  <mc:AlternateContent xmlns:mc="http://schemas.openxmlformats.org/markup-compatibility/2006">
    <mc:Choice Requires="x14">
      <controls>
        <mc:AlternateContent xmlns:mc="http://schemas.openxmlformats.org/markup-compatibility/2006">
          <mc:Choice Requires="x14">
            <control shapeId="2161" r:id="rId4" name="Check Box 113">
              <controlPr defaultSize="0" autoFill="0" autoLine="0" autoPict="0">
                <anchor moveWithCells="1">
                  <from>
                    <xdr:col>8</xdr:col>
                    <xdr:colOff>830580</xdr:colOff>
                    <xdr:row>2</xdr:row>
                    <xdr:rowOff>289560</xdr:rowOff>
                  </from>
                  <to>
                    <xdr:col>8</xdr:col>
                    <xdr:colOff>1219200</xdr:colOff>
                    <xdr:row>2</xdr:row>
                    <xdr:rowOff>609600</xdr:rowOff>
                  </to>
                </anchor>
              </controlPr>
            </control>
          </mc:Choice>
        </mc:AlternateContent>
      </controls>
    </mc:Choice>
  </mc:AlternateContent>
  <extLst>
    <ext xmlns:x14="http://schemas.microsoft.com/office/spreadsheetml/2009/9/main" uri="{CCE6A557-97BC-4b89-ADB6-D9C93CAAB3DF}">
      <x14:dataValidations xmlns:xm="http://schemas.microsoft.com/office/excel/2006/main" count="5">
        <x14:dataValidation type="list" allowBlank="1" showInputMessage="1" xr:uid="{3868E784-81E8-495B-8333-1271A052BFB6}">
          <x14:formula1>
            <xm:f>'Benefits Framework'!$C$9:$C$73</xm:f>
          </x14:formula1>
          <xm:sqref>D28 D21:D22 D19 D26</xm:sqref>
        </x14:dataValidation>
        <x14:dataValidation type="list" allowBlank="1" showInputMessage="1" xr:uid="{7F353724-2C21-408C-AED7-7AA7327EE5A5}">
          <x14:formula1>
            <xm:f>'Benefits Framework'!$I$2:$I$10</xm:f>
          </x14:formula1>
          <xm:sqref>B28:C28 B26:C26</xm:sqref>
        </x14:dataValidation>
        <x14:dataValidation type="list" allowBlank="1" showInputMessage="1" xr:uid="{65C95072-8FE0-48FA-8F0B-B5EB0A5BD752}">
          <x14:formula1>
            <xm:f>'Benefits Framework'!$E$2:$E$3</xm:f>
          </x14:formula1>
          <xm:sqref>B21:C22</xm:sqref>
        </x14:dataValidation>
        <x14:dataValidation type="list" allowBlank="1" showInputMessage="1" showErrorMessage="1" xr:uid="{8AAAD5E8-F1AE-4357-8BEC-02F7065F72F2}">
          <x14:formula1>
            <xm:f>Tables!$A$1:$C$1</xm:f>
          </x14:formula1>
          <xm:sqref>J3</xm:sqref>
        </x14:dataValidation>
        <x14:dataValidation type="list" allowBlank="1" showInputMessage="1" xr:uid="{00000000-0002-0000-0000-000000000000}">
          <x14:formula1>
            <xm:f>'Benefits Framework'!$C$2:$C$3</xm:f>
          </x14:formula1>
          <xm:sqref>B19:C19</xm:sqref>
        </x14:dataValidation>
      </x14:dataValidations>
    </ext>
    <ext xmlns:mx="http://schemas.microsoft.com/office/mac/excel/2008/main" uri="{64002731-A6B0-56B0-2670-7721B7C09600}">
      <mx:PLV Mode="0" OnePage="0" WScale="100"/>
    </ext>
  </extLst>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sheetPr codeName="Sheet1"/>
  <dimension ref="A1:I97"/>
  <sheetViews>
    <sheetView topLeftCell="A25" workbookViewId="0">
      <selection activeCell="G19" sqref="G19"/>
    </sheetView>
  </sheetViews>
  <sheetFormatPr defaultColWidth="11" defaultRowHeight="15.6"/>
  <cols>
    <col min="1" max="1" width="44.59765625" customWidth="1"/>
    <col min="2" max="2" width="4.59765625" customWidth="1"/>
    <col min="3" max="3" width="46.8984375" customWidth="1"/>
    <col min="4" max="4" width="4.09765625" customWidth="1"/>
    <col min="5" max="5" width="45.8984375" customWidth="1"/>
    <col min="6" max="6" width="4.59765625" customWidth="1"/>
    <col min="7" max="7" width="47.8984375" customWidth="1"/>
    <col min="8" max="8" width="4.59765625" customWidth="1"/>
    <col min="9" max="9" width="48.5" customWidth="1"/>
  </cols>
  <sheetData>
    <row r="1" spans="1:9">
      <c r="A1" t="s">
        <v>48</v>
      </c>
      <c r="C1" t="s">
        <v>49</v>
      </c>
      <c r="E1" t="s">
        <v>50</v>
      </c>
      <c r="G1" t="s">
        <v>51</v>
      </c>
      <c r="I1" t="s">
        <v>52</v>
      </c>
    </row>
    <row r="2" spans="1:9">
      <c r="A2" t="s">
        <v>29</v>
      </c>
      <c r="C2" t="s">
        <v>53</v>
      </c>
      <c r="E2" t="s">
        <v>54</v>
      </c>
      <c r="G2" t="s">
        <v>55</v>
      </c>
      <c r="I2" t="s">
        <v>46</v>
      </c>
    </row>
    <row r="3" spans="1:9">
      <c r="A3" t="s">
        <v>56</v>
      </c>
      <c r="C3" t="s">
        <v>57</v>
      </c>
      <c r="E3" t="s">
        <v>35</v>
      </c>
      <c r="G3" t="s">
        <v>58</v>
      </c>
      <c r="I3" t="s">
        <v>59</v>
      </c>
    </row>
    <row r="4" spans="1:9">
      <c r="A4" s="18" t="s">
        <v>60</v>
      </c>
      <c r="E4" t="s">
        <v>61</v>
      </c>
      <c r="G4" t="s">
        <v>38</v>
      </c>
      <c r="I4" t="s">
        <v>62</v>
      </c>
    </row>
    <row r="5" spans="1:9">
      <c r="A5" s="18" t="s">
        <v>31</v>
      </c>
      <c r="E5" t="s">
        <v>63</v>
      </c>
      <c r="G5" t="s">
        <v>41</v>
      </c>
      <c r="I5" t="s">
        <v>64</v>
      </c>
    </row>
    <row r="6" spans="1:9">
      <c r="A6" s="18" t="s">
        <v>65</v>
      </c>
      <c r="E6" t="s">
        <v>66</v>
      </c>
      <c r="G6" t="s">
        <v>57</v>
      </c>
      <c r="I6" s="18" t="s">
        <v>67</v>
      </c>
    </row>
    <row r="7" spans="1:9">
      <c r="A7" s="18" t="s">
        <v>68</v>
      </c>
      <c r="E7" t="s">
        <v>69</v>
      </c>
      <c r="I7" t="s">
        <v>70</v>
      </c>
    </row>
    <row r="8" spans="1:9">
      <c r="A8" s="19" t="s">
        <v>57</v>
      </c>
      <c r="C8" t="s">
        <v>71</v>
      </c>
      <c r="E8" t="s">
        <v>57</v>
      </c>
      <c r="I8" t="s">
        <v>72</v>
      </c>
    </row>
    <row r="9" spans="1:9">
      <c r="C9" s="20" t="s">
        <v>73</v>
      </c>
      <c r="I9" t="s">
        <v>44</v>
      </c>
    </row>
    <row r="10" spans="1:9">
      <c r="C10" s="18" t="s">
        <v>74</v>
      </c>
      <c r="I10" t="s">
        <v>57</v>
      </c>
    </row>
    <row r="11" spans="1:9">
      <c r="C11" s="20" t="s">
        <v>30</v>
      </c>
    </row>
    <row r="12" spans="1:9">
      <c r="A12" t="s">
        <v>71</v>
      </c>
      <c r="C12" s="18" t="s">
        <v>75</v>
      </c>
    </row>
    <row r="13" spans="1:9">
      <c r="A13" s="10" t="s">
        <v>76</v>
      </c>
      <c r="C13" s="18" t="s">
        <v>77</v>
      </c>
    </row>
    <row r="14" spans="1:9">
      <c r="A14" s="20" t="s">
        <v>73</v>
      </c>
      <c r="C14" s="20" t="s">
        <v>78</v>
      </c>
    </row>
    <row r="15" spans="1:9">
      <c r="A15" s="18" t="s">
        <v>74</v>
      </c>
      <c r="C15" s="18" t="s">
        <v>79</v>
      </c>
    </row>
    <row r="16" spans="1:9">
      <c r="A16" s="20" t="s">
        <v>30</v>
      </c>
      <c r="C16" s="20" t="s">
        <v>80</v>
      </c>
    </row>
    <row r="17" spans="1:3">
      <c r="A17" s="18" t="s">
        <v>75</v>
      </c>
      <c r="C17" s="18" t="s">
        <v>32</v>
      </c>
    </row>
    <row r="18" spans="1:3">
      <c r="A18" s="10" t="s">
        <v>56</v>
      </c>
      <c r="C18" s="20" t="s">
        <v>81</v>
      </c>
    </row>
    <row r="19" spans="1:3">
      <c r="A19" s="18" t="s">
        <v>77</v>
      </c>
      <c r="C19" s="18" t="s">
        <v>82</v>
      </c>
    </row>
    <row r="20" spans="1:3">
      <c r="A20" s="20" t="s">
        <v>78</v>
      </c>
      <c r="C20" s="19" t="s">
        <v>83</v>
      </c>
    </row>
    <row r="21" spans="1:3">
      <c r="A21" s="18" t="s">
        <v>79</v>
      </c>
      <c r="C21" s="18" t="s">
        <v>84</v>
      </c>
    </row>
    <row r="22" spans="1:3">
      <c r="A22" s="10" t="s">
        <v>60</v>
      </c>
      <c r="C22" s="19" t="s">
        <v>85</v>
      </c>
    </row>
    <row r="23" spans="1:3">
      <c r="A23" s="20" t="s">
        <v>80</v>
      </c>
      <c r="C23" s="18" t="s">
        <v>86</v>
      </c>
    </row>
    <row r="24" spans="1:3">
      <c r="A24" s="10" t="s">
        <v>31</v>
      </c>
      <c r="C24" s="18" t="s">
        <v>87</v>
      </c>
    </row>
    <row r="25" spans="1:3">
      <c r="A25" s="18" t="s">
        <v>32</v>
      </c>
      <c r="C25" s="18" t="s">
        <v>88</v>
      </c>
    </row>
    <row r="26" spans="1:3">
      <c r="A26" s="10" t="s">
        <v>65</v>
      </c>
      <c r="C26" s="19" t="s">
        <v>89</v>
      </c>
    </row>
    <row r="27" spans="1:3">
      <c r="A27" s="20" t="s">
        <v>81</v>
      </c>
      <c r="C27" s="18" t="s">
        <v>90</v>
      </c>
    </row>
    <row r="28" spans="1:3">
      <c r="A28" s="18" t="s">
        <v>82</v>
      </c>
      <c r="C28" s="18" t="s">
        <v>91</v>
      </c>
    </row>
    <row r="29" spans="1:3">
      <c r="A29" s="10" t="s">
        <v>68</v>
      </c>
      <c r="C29" s="18" t="s">
        <v>92</v>
      </c>
    </row>
    <row r="30" spans="1:3">
      <c r="A30" s="19" t="s">
        <v>83</v>
      </c>
      <c r="C30" s="18" t="s">
        <v>93</v>
      </c>
    </row>
    <row r="31" spans="1:3">
      <c r="A31" s="11" t="s">
        <v>53</v>
      </c>
      <c r="C31" s="18" t="s">
        <v>94</v>
      </c>
    </row>
    <row r="32" spans="1:3">
      <c r="A32" s="18" t="s">
        <v>84</v>
      </c>
      <c r="C32" s="19" t="s">
        <v>95</v>
      </c>
    </row>
    <row r="33" spans="1:3">
      <c r="A33" s="19" t="s">
        <v>85</v>
      </c>
      <c r="C33" s="19" t="s">
        <v>96</v>
      </c>
    </row>
    <row r="34" spans="1:3">
      <c r="A34" s="11" t="s">
        <v>54</v>
      </c>
      <c r="C34" s="18" t="s">
        <v>97</v>
      </c>
    </row>
    <row r="35" spans="1:3">
      <c r="A35" s="18" t="s">
        <v>86</v>
      </c>
      <c r="C35" s="19" t="s">
        <v>98</v>
      </c>
    </row>
    <row r="36" spans="1:3">
      <c r="A36" s="18" t="s">
        <v>87</v>
      </c>
      <c r="C36" s="18" t="s">
        <v>39</v>
      </c>
    </row>
    <row r="37" spans="1:3">
      <c r="A37" s="18" t="s">
        <v>88</v>
      </c>
      <c r="C37" s="120" t="s">
        <v>40</v>
      </c>
    </row>
    <row r="38" spans="1:3">
      <c r="A38" s="19" t="s">
        <v>89</v>
      </c>
      <c r="C38" s="18" t="s">
        <v>42</v>
      </c>
    </row>
    <row r="39" spans="1:3">
      <c r="A39" s="11" t="s">
        <v>35</v>
      </c>
      <c r="C39" s="18" t="s">
        <v>99</v>
      </c>
    </row>
    <row r="40" spans="1:3">
      <c r="A40" s="18" t="s">
        <v>90</v>
      </c>
      <c r="C40" s="19" t="s">
        <v>100</v>
      </c>
    </row>
    <row r="41" spans="1:3">
      <c r="A41" s="18" t="s">
        <v>91</v>
      </c>
      <c r="C41" s="18" t="s">
        <v>101</v>
      </c>
    </row>
    <row r="42" spans="1:3">
      <c r="A42" s="18" t="s">
        <v>92</v>
      </c>
      <c r="C42" s="18" t="s">
        <v>102</v>
      </c>
    </row>
    <row r="43" spans="1:3">
      <c r="A43" s="18" t="s">
        <v>93</v>
      </c>
      <c r="C43" s="18" t="s">
        <v>103</v>
      </c>
    </row>
    <row r="44" spans="1:3">
      <c r="A44" s="18" t="s">
        <v>94</v>
      </c>
      <c r="C44" s="18" t="s">
        <v>104</v>
      </c>
    </row>
    <row r="45" spans="1:3">
      <c r="A45" s="19" t="s">
        <v>95</v>
      </c>
      <c r="C45" s="18" t="s">
        <v>105</v>
      </c>
    </row>
    <row r="46" spans="1:3">
      <c r="A46" s="11" t="s">
        <v>55</v>
      </c>
      <c r="C46" s="18" t="s">
        <v>106</v>
      </c>
    </row>
    <row r="47" spans="1:3">
      <c r="A47" s="19" t="s">
        <v>96</v>
      </c>
      <c r="C47" s="18" t="s">
        <v>107</v>
      </c>
    </row>
    <row r="48" spans="1:3">
      <c r="A48" s="11" t="s">
        <v>58</v>
      </c>
      <c r="C48" s="18" t="s">
        <v>108</v>
      </c>
    </row>
    <row r="49" spans="1:3">
      <c r="A49" s="18" t="s">
        <v>97</v>
      </c>
      <c r="C49" s="18" t="s">
        <v>109</v>
      </c>
    </row>
    <row r="50" spans="1:3">
      <c r="A50" s="19" t="s">
        <v>98</v>
      </c>
      <c r="C50" s="19" t="s">
        <v>36</v>
      </c>
    </row>
    <row r="51" spans="1:3">
      <c r="A51" s="11" t="s">
        <v>38</v>
      </c>
      <c r="C51" s="18" t="s">
        <v>110</v>
      </c>
    </row>
    <row r="52" spans="1:3">
      <c r="A52" s="18" t="s">
        <v>39</v>
      </c>
      <c r="C52" s="18" t="s">
        <v>111</v>
      </c>
    </row>
    <row r="53" spans="1:3">
      <c r="A53" s="19" t="s">
        <v>112</v>
      </c>
      <c r="C53" s="18" t="s">
        <v>113</v>
      </c>
    </row>
    <row r="54" spans="1:3">
      <c r="A54" s="11" t="s">
        <v>41</v>
      </c>
      <c r="C54" s="18" t="s">
        <v>114</v>
      </c>
    </row>
    <row r="55" spans="1:3">
      <c r="A55" s="18" t="s">
        <v>42</v>
      </c>
      <c r="C55" s="18" t="s">
        <v>115</v>
      </c>
    </row>
    <row r="56" spans="1:3">
      <c r="A56" s="18" t="s">
        <v>99</v>
      </c>
      <c r="C56" s="18" t="s">
        <v>116</v>
      </c>
    </row>
    <row r="57" spans="1:3">
      <c r="A57" s="19" t="s">
        <v>100</v>
      </c>
      <c r="C57" s="18" t="s">
        <v>117</v>
      </c>
    </row>
    <row r="58" spans="1:3">
      <c r="A58" s="11" t="s">
        <v>46</v>
      </c>
      <c r="C58" s="18" t="s">
        <v>118</v>
      </c>
    </row>
    <row r="59" spans="1:3">
      <c r="A59" s="18" t="s">
        <v>101</v>
      </c>
      <c r="C59" s="18" t="s">
        <v>119</v>
      </c>
    </row>
    <row r="60" spans="1:3">
      <c r="A60" s="18" t="s">
        <v>102</v>
      </c>
      <c r="C60" s="18" t="s">
        <v>120</v>
      </c>
    </row>
    <row r="61" spans="1:3">
      <c r="A61" s="18" t="s">
        <v>103</v>
      </c>
      <c r="C61" s="18" t="s">
        <v>121</v>
      </c>
    </row>
    <row r="62" spans="1:3">
      <c r="A62" s="18" t="s">
        <v>104</v>
      </c>
      <c r="C62" s="18" t="s">
        <v>122</v>
      </c>
    </row>
    <row r="63" spans="1:3">
      <c r="A63" s="18" t="s">
        <v>105</v>
      </c>
      <c r="C63" s="19" t="s">
        <v>123</v>
      </c>
    </row>
    <row r="64" spans="1:3">
      <c r="A64" s="18" t="s">
        <v>106</v>
      </c>
      <c r="C64" s="19" t="s">
        <v>124</v>
      </c>
    </row>
    <row r="65" spans="1:3">
      <c r="A65" s="18" t="s">
        <v>107</v>
      </c>
      <c r="C65" s="18" t="s">
        <v>125</v>
      </c>
    </row>
    <row r="66" spans="1:3">
      <c r="A66" s="18" t="s">
        <v>108</v>
      </c>
      <c r="C66" s="18" t="s">
        <v>126</v>
      </c>
    </row>
    <row r="67" spans="1:3">
      <c r="A67" s="18" t="s">
        <v>109</v>
      </c>
      <c r="C67" s="19" t="s">
        <v>127</v>
      </c>
    </row>
    <row r="68" spans="1:3">
      <c r="A68" s="19" t="s">
        <v>36</v>
      </c>
      <c r="C68" s="18" t="s">
        <v>128</v>
      </c>
    </row>
    <row r="69" spans="1:3">
      <c r="A69" s="11" t="s">
        <v>59</v>
      </c>
      <c r="C69" s="19" t="s">
        <v>129</v>
      </c>
    </row>
    <row r="70" spans="1:3">
      <c r="A70" s="18" t="s">
        <v>110</v>
      </c>
      <c r="C70" s="19" t="s">
        <v>130</v>
      </c>
    </row>
    <row r="71" spans="1:3">
      <c r="A71" s="18" t="s">
        <v>111</v>
      </c>
      <c r="C71" s="19" t="s">
        <v>131</v>
      </c>
    </row>
    <row r="72" spans="1:3">
      <c r="A72" s="18" t="s">
        <v>113</v>
      </c>
      <c r="C72" s="19" t="s">
        <v>45</v>
      </c>
    </row>
    <row r="73" spans="1:3">
      <c r="A73" s="18" t="s">
        <v>114</v>
      </c>
      <c r="C73" s="15" t="s">
        <v>132</v>
      </c>
    </row>
    <row r="74" spans="1:3">
      <c r="A74" s="18" t="s">
        <v>115</v>
      </c>
    </row>
    <row r="75" spans="1:3">
      <c r="A75" s="18" t="s">
        <v>116</v>
      </c>
    </row>
    <row r="76" spans="1:3">
      <c r="A76" s="18" t="s">
        <v>117</v>
      </c>
    </row>
    <row r="77" spans="1:3">
      <c r="A77" s="18" t="s">
        <v>118</v>
      </c>
    </row>
    <row r="78" spans="1:3">
      <c r="A78" s="18" t="s">
        <v>119</v>
      </c>
    </row>
    <row r="79" spans="1:3">
      <c r="A79" s="18" t="s">
        <v>120</v>
      </c>
    </row>
    <row r="80" spans="1:3">
      <c r="A80" s="18" t="s">
        <v>121</v>
      </c>
    </row>
    <row r="81" spans="1:1">
      <c r="A81" s="18" t="s">
        <v>122</v>
      </c>
    </row>
    <row r="82" spans="1:1">
      <c r="A82" s="19" t="s">
        <v>123</v>
      </c>
    </row>
    <row r="83" spans="1:1">
      <c r="A83" s="11" t="s">
        <v>62</v>
      </c>
    </row>
    <row r="84" spans="1:1">
      <c r="A84" s="19" t="s">
        <v>124</v>
      </c>
    </row>
    <row r="85" spans="1:1">
      <c r="A85" s="11" t="s">
        <v>64</v>
      </c>
    </row>
    <row r="86" spans="1:1">
      <c r="A86" s="18" t="s">
        <v>125</v>
      </c>
    </row>
    <row r="87" spans="1:1">
      <c r="A87" s="18" t="s">
        <v>126</v>
      </c>
    </row>
    <row r="88" spans="1:1">
      <c r="A88" s="19" t="s">
        <v>127</v>
      </c>
    </row>
    <row r="89" spans="1:1">
      <c r="A89" s="11" t="s">
        <v>67</v>
      </c>
    </row>
    <row r="90" spans="1:1">
      <c r="A90" s="18" t="s">
        <v>128</v>
      </c>
    </row>
    <row r="91" spans="1:1">
      <c r="A91" s="19" t="s">
        <v>129</v>
      </c>
    </row>
    <row r="92" spans="1:1">
      <c r="A92" s="11" t="s">
        <v>70</v>
      </c>
    </row>
    <row r="93" spans="1:1">
      <c r="A93" s="19" t="s">
        <v>130</v>
      </c>
    </row>
    <row r="94" spans="1:1">
      <c r="A94" s="11" t="s">
        <v>72</v>
      </c>
    </row>
    <row r="95" spans="1:1">
      <c r="A95" s="19" t="s">
        <v>131</v>
      </c>
    </row>
    <row r="96" spans="1:1">
      <c r="A96" s="11" t="s">
        <v>44</v>
      </c>
    </row>
    <row r="97" spans="1:1">
      <c r="A97" s="19" t="s">
        <v>45</v>
      </c>
    </row>
  </sheetData>
  <pageMargins left="0.75" right="0.75" top="1" bottom="1" header="0.5" footer="0.5"/>
  <tableParts count="7">
    <tablePart r:id="rId1"/>
    <tablePart r:id="rId2"/>
    <tablePart r:id="rId3"/>
    <tablePart r:id="rId4"/>
    <tablePart r:id="rId5"/>
    <tablePart r:id="rId6"/>
    <tablePart r:id="rId7"/>
  </tableParts>
  <extLst>
    <ext xmlns:mx="http://schemas.microsoft.com/office/mac/excel/2008/main" uri="{64002731-A6B0-56B0-2670-7721B7C09600}">
      <mx:PLV Mode="0" OnePage="0" WScale="0"/>
    </ext>
  </extLst>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F2FA6A6C-FB23-4A3C-8BC7-20501FAF2B11}">
  <sheetPr>
    <pageSetUpPr fitToPage="1"/>
  </sheetPr>
  <dimension ref="A1:N365"/>
  <sheetViews>
    <sheetView topLeftCell="D1" zoomScaleNormal="100" workbookViewId="0">
      <selection activeCell="G19" sqref="G19"/>
    </sheetView>
  </sheetViews>
  <sheetFormatPr defaultRowHeight="13.2"/>
  <cols>
    <col min="1" max="1" width="28.09765625" style="71" hidden="1" customWidth="1"/>
    <col min="2" max="3" width="8" style="71" hidden="1" customWidth="1"/>
    <col min="4" max="4" width="39.8984375" style="34" customWidth="1"/>
    <col min="5" max="5" width="8.69921875" style="34" bestFit="1" customWidth="1"/>
    <col min="6" max="10" width="13.09765625" style="34" customWidth="1"/>
    <col min="11" max="11" width="3.09765625" style="34" customWidth="1"/>
    <col min="12" max="12" width="100" style="34" customWidth="1"/>
    <col min="13" max="13" width="2.3984375" style="34" customWidth="1"/>
    <col min="14" max="256" width="9" style="71"/>
    <col min="257" max="259" width="0" style="71" hidden="1" customWidth="1"/>
    <col min="260" max="260" width="39.8984375" style="71" customWidth="1"/>
    <col min="261" max="261" width="8.69921875" style="71" bestFit="1" customWidth="1"/>
    <col min="262" max="266" width="13.09765625" style="71" customWidth="1"/>
    <col min="267" max="267" width="3.09765625" style="71" customWidth="1"/>
    <col min="268" max="268" width="100" style="71" customWidth="1"/>
    <col min="269" max="269" width="2.3984375" style="71" customWidth="1"/>
    <col min="270" max="512" width="9" style="71"/>
    <col min="513" max="515" width="0" style="71" hidden="1" customWidth="1"/>
    <col min="516" max="516" width="39.8984375" style="71" customWidth="1"/>
    <col min="517" max="517" width="8.69921875" style="71" bestFit="1" customWidth="1"/>
    <col min="518" max="522" width="13.09765625" style="71" customWidth="1"/>
    <col min="523" max="523" width="3.09765625" style="71" customWidth="1"/>
    <col min="524" max="524" width="100" style="71" customWidth="1"/>
    <col min="525" max="525" width="2.3984375" style="71" customWidth="1"/>
    <col min="526" max="768" width="9" style="71"/>
    <col min="769" max="771" width="0" style="71" hidden="1" customWidth="1"/>
    <col min="772" max="772" width="39.8984375" style="71" customWidth="1"/>
    <col min="773" max="773" width="8.69921875" style="71" bestFit="1" customWidth="1"/>
    <col min="774" max="778" width="13.09765625" style="71" customWidth="1"/>
    <col min="779" max="779" width="3.09765625" style="71" customWidth="1"/>
    <col min="780" max="780" width="100" style="71" customWidth="1"/>
    <col min="781" max="781" width="2.3984375" style="71" customWidth="1"/>
    <col min="782" max="1024" width="9" style="71"/>
    <col min="1025" max="1027" width="0" style="71" hidden="1" customWidth="1"/>
    <col min="1028" max="1028" width="39.8984375" style="71" customWidth="1"/>
    <col min="1029" max="1029" width="8.69921875" style="71" bestFit="1" customWidth="1"/>
    <col min="1030" max="1034" width="13.09765625" style="71" customWidth="1"/>
    <col min="1035" max="1035" width="3.09765625" style="71" customWidth="1"/>
    <col min="1036" max="1036" width="100" style="71" customWidth="1"/>
    <col min="1037" max="1037" width="2.3984375" style="71" customWidth="1"/>
    <col min="1038" max="1280" width="9" style="71"/>
    <col min="1281" max="1283" width="0" style="71" hidden="1" customWidth="1"/>
    <col min="1284" max="1284" width="39.8984375" style="71" customWidth="1"/>
    <col min="1285" max="1285" width="8.69921875" style="71" bestFit="1" customWidth="1"/>
    <col min="1286" max="1290" width="13.09765625" style="71" customWidth="1"/>
    <col min="1291" max="1291" width="3.09765625" style="71" customWidth="1"/>
    <col min="1292" max="1292" width="100" style="71" customWidth="1"/>
    <col min="1293" max="1293" width="2.3984375" style="71" customWidth="1"/>
    <col min="1294" max="1536" width="9" style="71"/>
    <col min="1537" max="1539" width="0" style="71" hidden="1" customWidth="1"/>
    <col min="1540" max="1540" width="39.8984375" style="71" customWidth="1"/>
    <col min="1541" max="1541" width="8.69921875" style="71" bestFit="1" customWidth="1"/>
    <col min="1542" max="1546" width="13.09765625" style="71" customWidth="1"/>
    <col min="1547" max="1547" width="3.09765625" style="71" customWidth="1"/>
    <col min="1548" max="1548" width="100" style="71" customWidth="1"/>
    <col min="1549" max="1549" width="2.3984375" style="71" customWidth="1"/>
    <col min="1550" max="1792" width="9" style="71"/>
    <col min="1793" max="1795" width="0" style="71" hidden="1" customWidth="1"/>
    <col min="1796" max="1796" width="39.8984375" style="71" customWidth="1"/>
    <col min="1797" max="1797" width="8.69921875" style="71" bestFit="1" customWidth="1"/>
    <col min="1798" max="1802" width="13.09765625" style="71" customWidth="1"/>
    <col min="1803" max="1803" width="3.09765625" style="71" customWidth="1"/>
    <col min="1804" max="1804" width="100" style="71" customWidth="1"/>
    <col min="1805" max="1805" width="2.3984375" style="71" customWidth="1"/>
    <col min="1806" max="2048" width="9" style="71"/>
    <col min="2049" max="2051" width="0" style="71" hidden="1" customWidth="1"/>
    <col min="2052" max="2052" width="39.8984375" style="71" customWidth="1"/>
    <col min="2053" max="2053" width="8.69921875" style="71" bestFit="1" customWidth="1"/>
    <col min="2054" max="2058" width="13.09765625" style="71" customWidth="1"/>
    <col min="2059" max="2059" width="3.09765625" style="71" customWidth="1"/>
    <col min="2060" max="2060" width="100" style="71" customWidth="1"/>
    <col min="2061" max="2061" width="2.3984375" style="71" customWidth="1"/>
    <col min="2062" max="2304" width="9" style="71"/>
    <col min="2305" max="2307" width="0" style="71" hidden="1" customWidth="1"/>
    <col min="2308" max="2308" width="39.8984375" style="71" customWidth="1"/>
    <col min="2309" max="2309" width="8.69921875" style="71" bestFit="1" customWidth="1"/>
    <col min="2310" max="2314" width="13.09765625" style="71" customWidth="1"/>
    <col min="2315" max="2315" width="3.09765625" style="71" customWidth="1"/>
    <col min="2316" max="2316" width="100" style="71" customWidth="1"/>
    <col min="2317" max="2317" width="2.3984375" style="71" customWidth="1"/>
    <col min="2318" max="2560" width="9" style="71"/>
    <col min="2561" max="2563" width="0" style="71" hidden="1" customWidth="1"/>
    <col min="2564" max="2564" width="39.8984375" style="71" customWidth="1"/>
    <col min="2565" max="2565" width="8.69921875" style="71" bestFit="1" customWidth="1"/>
    <col min="2566" max="2570" width="13.09765625" style="71" customWidth="1"/>
    <col min="2571" max="2571" width="3.09765625" style="71" customWidth="1"/>
    <col min="2572" max="2572" width="100" style="71" customWidth="1"/>
    <col min="2573" max="2573" width="2.3984375" style="71" customWidth="1"/>
    <col min="2574" max="2816" width="9" style="71"/>
    <col min="2817" max="2819" width="0" style="71" hidden="1" customWidth="1"/>
    <col min="2820" max="2820" width="39.8984375" style="71" customWidth="1"/>
    <col min="2821" max="2821" width="8.69921875" style="71" bestFit="1" customWidth="1"/>
    <col min="2822" max="2826" width="13.09765625" style="71" customWidth="1"/>
    <col min="2827" max="2827" width="3.09765625" style="71" customWidth="1"/>
    <col min="2828" max="2828" width="100" style="71" customWidth="1"/>
    <col min="2829" max="2829" width="2.3984375" style="71" customWidth="1"/>
    <col min="2830" max="3072" width="9" style="71"/>
    <col min="3073" max="3075" width="0" style="71" hidden="1" customWidth="1"/>
    <col min="3076" max="3076" width="39.8984375" style="71" customWidth="1"/>
    <col min="3077" max="3077" width="8.69921875" style="71" bestFit="1" customWidth="1"/>
    <col min="3078" max="3082" width="13.09765625" style="71" customWidth="1"/>
    <col min="3083" max="3083" width="3.09765625" style="71" customWidth="1"/>
    <col min="3084" max="3084" width="100" style="71" customWidth="1"/>
    <col min="3085" max="3085" width="2.3984375" style="71" customWidth="1"/>
    <col min="3086" max="3328" width="9" style="71"/>
    <col min="3329" max="3331" width="0" style="71" hidden="1" customWidth="1"/>
    <col min="3332" max="3332" width="39.8984375" style="71" customWidth="1"/>
    <col min="3333" max="3333" width="8.69921875" style="71" bestFit="1" customWidth="1"/>
    <col min="3334" max="3338" width="13.09765625" style="71" customWidth="1"/>
    <col min="3339" max="3339" width="3.09765625" style="71" customWidth="1"/>
    <col min="3340" max="3340" width="100" style="71" customWidth="1"/>
    <col min="3341" max="3341" width="2.3984375" style="71" customWidth="1"/>
    <col min="3342" max="3584" width="9" style="71"/>
    <col min="3585" max="3587" width="0" style="71" hidden="1" customWidth="1"/>
    <col min="3588" max="3588" width="39.8984375" style="71" customWidth="1"/>
    <col min="3589" max="3589" width="8.69921875" style="71" bestFit="1" customWidth="1"/>
    <col min="3590" max="3594" width="13.09765625" style="71" customWidth="1"/>
    <col min="3595" max="3595" width="3.09765625" style="71" customWidth="1"/>
    <col min="3596" max="3596" width="100" style="71" customWidth="1"/>
    <col min="3597" max="3597" width="2.3984375" style="71" customWidth="1"/>
    <col min="3598" max="3840" width="9" style="71"/>
    <col min="3841" max="3843" width="0" style="71" hidden="1" customWidth="1"/>
    <col min="3844" max="3844" width="39.8984375" style="71" customWidth="1"/>
    <col min="3845" max="3845" width="8.69921875" style="71" bestFit="1" customWidth="1"/>
    <col min="3846" max="3850" width="13.09765625" style="71" customWidth="1"/>
    <col min="3851" max="3851" width="3.09765625" style="71" customWidth="1"/>
    <col min="3852" max="3852" width="100" style="71" customWidth="1"/>
    <col min="3853" max="3853" width="2.3984375" style="71" customWidth="1"/>
    <col min="3854" max="4096" width="9" style="71"/>
    <col min="4097" max="4099" width="0" style="71" hidden="1" customWidth="1"/>
    <col min="4100" max="4100" width="39.8984375" style="71" customWidth="1"/>
    <col min="4101" max="4101" width="8.69921875" style="71" bestFit="1" customWidth="1"/>
    <col min="4102" max="4106" width="13.09765625" style="71" customWidth="1"/>
    <col min="4107" max="4107" width="3.09765625" style="71" customWidth="1"/>
    <col min="4108" max="4108" width="100" style="71" customWidth="1"/>
    <col min="4109" max="4109" width="2.3984375" style="71" customWidth="1"/>
    <col min="4110" max="4352" width="9" style="71"/>
    <col min="4353" max="4355" width="0" style="71" hidden="1" customWidth="1"/>
    <col min="4356" max="4356" width="39.8984375" style="71" customWidth="1"/>
    <col min="4357" max="4357" width="8.69921875" style="71" bestFit="1" customWidth="1"/>
    <col min="4358" max="4362" width="13.09765625" style="71" customWidth="1"/>
    <col min="4363" max="4363" width="3.09765625" style="71" customWidth="1"/>
    <col min="4364" max="4364" width="100" style="71" customWidth="1"/>
    <col min="4365" max="4365" width="2.3984375" style="71" customWidth="1"/>
    <col min="4366" max="4608" width="9" style="71"/>
    <col min="4609" max="4611" width="0" style="71" hidden="1" customWidth="1"/>
    <col min="4612" max="4612" width="39.8984375" style="71" customWidth="1"/>
    <col min="4613" max="4613" width="8.69921875" style="71" bestFit="1" customWidth="1"/>
    <col min="4614" max="4618" width="13.09765625" style="71" customWidth="1"/>
    <col min="4619" max="4619" width="3.09765625" style="71" customWidth="1"/>
    <col min="4620" max="4620" width="100" style="71" customWidth="1"/>
    <col min="4621" max="4621" width="2.3984375" style="71" customWidth="1"/>
    <col min="4622" max="4864" width="9" style="71"/>
    <col min="4865" max="4867" width="0" style="71" hidden="1" customWidth="1"/>
    <col min="4868" max="4868" width="39.8984375" style="71" customWidth="1"/>
    <col min="4869" max="4869" width="8.69921875" style="71" bestFit="1" customWidth="1"/>
    <col min="4870" max="4874" width="13.09765625" style="71" customWidth="1"/>
    <col min="4875" max="4875" width="3.09765625" style="71" customWidth="1"/>
    <col min="4876" max="4876" width="100" style="71" customWidth="1"/>
    <col min="4877" max="4877" width="2.3984375" style="71" customWidth="1"/>
    <col min="4878" max="5120" width="9" style="71"/>
    <col min="5121" max="5123" width="0" style="71" hidden="1" customWidth="1"/>
    <col min="5124" max="5124" width="39.8984375" style="71" customWidth="1"/>
    <col min="5125" max="5125" width="8.69921875" style="71" bestFit="1" customWidth="1"/>
    <col min="5126" max="5130" width="13.09765625" style="71" customWidth="1"/>
    <col min="5131" max="5131" width="3.09765625" style="71" customWidth="1"/>
    <col min="5132" max="5132" width="100" style="71" customWidth="1"/>
    <col min="5133" max="5133" width="2.3984375" style="71" customWidth="1"/>
    <col min="5134" max="5376" width="9" style="71"/>
    <col min="5377" max="5379" width="0" style="71" hidden="1" customWidth="1"/>
    <col min="5380" max="5380" width="39.8984375" style="71" customWidth="1"/>
    <col min="5381" max="5381" width="8.69921875" style="71" bestFit="1" customWidth="1"/>
    <col min="5382" max="5386" width="13.09765625" style="71" customWidth="1"/>
    <col min="5387" max="5387" width="3.09765625" style="71" customWidth="1"/>
    <col min="5388" max="5388" width="100" style="71" customWidth="1"/>
    <col min="5389" max="5389" width="2.3984375" style="71" customWidth="1"/>
    <col min="5390" max="5632" width="9" style="71"/>
    <col min="5633" max="5635" width="0" style="71" hidden="1" customWidth="1"/>
    <col min="5636" max="5636" width="39.8984375" style="71" customWidth="1"/>
    <col min="5637" max="5637" width="8.69921875" style="71" bestFit="1" customWidth="1"/>
    <col min="5638" max="5642" width="13.09765625" style="71" customWidth="1"/>
    <col min="5643" max="5643" width="3.09765625" style="71" customWidth="1"/>
    <col min="5644" max="5644" width="100" style="71" customWidth="1"/>
    <col min="5645" max="5645" width="2.3984375" style="71" customWidth="1"/>
    <col min="5646" max="5888" width="9" style="71"/>
    <col min="5889" max="5891" width="0" style="71" hidden="1" customWidth="1"/>
    <col min="5892" max="5892" width="39.8984375" style="71" customWidth="1"/>
    <col min="5893" max="5893" width="8.69921875" style="71" bestFit="1" customWidth="1"/>
    <col min="5894" max="5898" width="13.09765625" style="71" customWidth="1"/>
    <col min="5899" max="5899" width="3.09765625" style="71" customWidth="1"/>
    <col min="5900" max="5900" width="100" style="71" customWidth="1"/>
    <col min="5901" max="5901" width="2.3984375" style="71" customWidth="1"/>
    <col min="5902" max="6144" width="9" style="71"/>
    <col min="6145" max="6147" width="0" style="71" hidden="1" customWidth="1"/>
    <col min="6148" max="6148" width="39.8984375" style="71" customWidth="1"/>
    <col min="6149" max="6149" width="8.69921875" style="71" bestFit="1" customWidth="1"/>
    <col min="6150" max="6154" width="13.09765625" style="71" customWidth="1"/>
    <col min="6155" max="6155" width="3.09765625" style="71" customWidth="1"/>
    <col min="6156" max="6156" width="100" style="71" customWidth="1"/>
    <col min="6157" max="6157" width="2.3984375" style="71" customWidth="1"/>
    <col min="6158" max="6400" width="9" style="71"/>
    <col min="6401" max="6403" width="0" style="71" hidden="1" customWidth="1"/>
    <col min="6404" max="6404" width="39.8984375" style="71" customWidth="1"/>
    <col min="6405" max="6405" width="8.69921875" style="71" bestFit="1" customWidth="1"/>
    <col min="6406" max="6410" width="13.09765625" style="71" customWidth="1"/>
    <col min="6411" max="6411" width="3.09765625" style="71" customWidth="1"/>
    <col min="6412" max="6412" width="100" style="71" customWidth="1"/>
    <col min="6413" max="6413" width="2.3984375" style="71" customWidth="1"/>
    <col min="6414" max="6656" width="9" style="71"/>
    <col min="6657" max="6659" width="0" style="71" hidden="1" customWidth="1"/>
    <col min="6660" max="6660" width="39.8984375" style="71" customWidth="1"/>
    <col min="6661" max="6661" width="8.69921875" style="71" bestFit="1" customWidth="1"/>
    <col min="6662" max="6666" width="13.09765625" style="71" customWidth="1"/>
    <col min="6667" max="6667" width="3.09765625" style="71" customWidth="1"/>
    <col min="6668" max="6668" width="100" style="71" customWidth="1"/>
    <col min="6669" max="6669" width="2.3984375" style="71" customWidth="1"/>
    <col min="6670" max="6912" width="9" style="71"/>
    <col min="6913" max="6915" width="0" style="71" hidden="1" customWidth="1"/>
    <col min="6916" max="6916" width="39.8984375" style="71" customWidth="1"/>
    <col min="6917" max="6917" width="8.69921875" style="71" bestFit="1" customWidth="1"/>
    <col min="6918" max="6922" width="13.09765625" style="71" customWidth="1"/>
    <col min="6923" max="6923" width="3.09765625" style="71" customWidth="1"/>
    <col min="6924" max="6924" width="100" style="71" customWidth="1"/>
    <col min="6925" max="6925" width="2.3984375" style="71" customWidth="1"/>
    <col min="6926" max="7168" width="9" style="71"/>
    <col min="7169" max="7171" width="0" style="71" hidden="1" customWidth="1"/>
    <col min="7172" max="7172" width="39.8984375" style="71" customWidth="1"/>
    <col min="7173" max="7173" width="8.69921875" style="71" bestFit="1" customWidth="1"/>
    <col min="7174" max="7178" width="13.09765625" style="71" customWidth="1"/>
    <col min="7179" max="7179" width="3.09765625" style="71" customWidth="1"/>
    <col min="7180" max="7180" width="100" style="71" customWidth="1"/>
    <col min="7181" max="7181" width="2.3984375" style="71" customWidth="1"/>
    <col min="7182" max="7424" width="9" style="71"/>
    <col min="7425" max="7427" width="0" style="71" hidden="1" customWidth="1"/>
    <col min="7428" max="7428" width="39.8984375" style="71" customWidth="1"/>
    <col min="7429" max="7429" width="8.69921875" style="71" bestFit="1" customWidth="1"/>
    <col min="7430" max="7434" width="13.09765625" style="71" customWidth="1"/>
    <col min="7435" max="7435" width="3.09765625" style="71" customWidth="1"/>
    <col min="7436" max="7436" width="100" style="71" customWidth="1"/>
    <col min="7437" max="7437" width="2.3984375" style="71" customWidth="1"/>
    <col min="7438" max="7680" width="9" style="71"/>
    <col min="7681" max="7683" width="0" style="71" hidden="1" customWidth="1"/>
    <col min="7684" max="7684" width="39.8984375" style="71" customWidth="1"/>
    <col min="7685" max="7685" width="8.69921875" style="71" bestFit="1" customWidth="1"/>
    <col min="7686" max="7690" width="13.09765625" style="71" customWidth="1"/>
    <col min="7691" max="7691" width="3.09765625" style="71" customWidth="1"/>
    <col min="7692" max="7692" width="100" style="71" customWidth="1"/>
    <col min="7693" max="7693" width="2.3984375" style="71" customWidth="1"/>
    <col min="7694" max="7936" width="9" style="71"/>
    <col min="7937" max="7939" width="0" style="71" hidden="1" customWidth="1"/>
    <col min="7940" max="7940" width="39.8984375" style="71" customWidth="1"/>
    <col min="7941" max="7941" width="8.69921875" style="71" bestFit="1" customWidth="1"/>
    <col min="7942" max="7946" width="13.09765625" style="71" customWidth="1"/>
    <col min="7947" max="7947" width="3.09765625" style="71" customWidth="1"/>
    <col min="7948" max="7948" width="100" style="71" customWidth="1"/>
    <col min="7949" max="7949" width="2.3984375" style="71" customWidth="1"/>
    <col min="7950" max="8192" width="9" style="71"/>
    <col min="8193" max="8195" width="0" style="71" hidden="1" customWidth="1"/>
    <col min="8196" max="8196" width="39.8984375" style="71" customWidth="1"/>
    <col min="8197" max="8197" width="8.69921875" style="71" bestFit="1" customWidth="1"/>
    <col min="8198" max="8202" width="13.09765625" style="71" customWidth="1"/>
    <col min="8203" max="8203" width="3.09765625" style="71" customWidth="1"/>
    <col min="8204" max="8204" width="100" style="71" customWidth="1"/>
    <col min="8205" max="8205" width="2.3984375" style="71" customWidth="1"/>
    <col min="8206" max="8448" width="9" style="71"/>
    <col min="8449" max="8451" width="0" style="71" hidden="1" customWidth="1"/>
    <col min="8452" max="8452" width="39.8984375" style="71" customWidth="1"/>
    <col min="8453" max="8453" width="8.69921875" style="71" bestFit="1" customWidth="1"/>
    <col min="8454" max="8458" width="13.09765625" style="71" customWidth="1"/>
    <col min="8459" max="8459" width="3.09765625" style="71" customWidth="1"/>
    <col min="8460" max="8460" width="100" style="71" customWidth="1"/>
    <col min="8461" max="8461" width="2.3984375" style="71" customWidth="1"/>
    <col min="8462" max="8704" width="9" style="71"/>
    <col min="8705" max="8707" width="0" style="71" hidden="1" customWidth="1"/>
    <col min="8708" max="8708" width="39.8984375" style="71" customWidth="1"/>
    <col min="8709" max="8709" width="8.69921875" style="71" bestFit="1" customWidth="1"/>
    <col min="8710" max="8714" width="13.09765625" style="71" customWidth="1"/>
    <col min="8715" max="8715" width="3.09765625" style="71" customWidth="1"/>
    <col min="8716" max="8716" width="100" style="71" customWidth="1"/>
    <col min="8717" max="8717" width="2.3984375" style="71" customWidth="1"/>
    <col min="8718" max="8960" width="9" style="71"/>
    <col min="8961" max="8963" width="0" style="71" hidden="1" customWidth="1"/>
    <col min="8964" max="8964" width="39.8984375" style="71" customWidth="1"/>
    <col min="8965" max="8965" width="8.69921875" style="71" bestFit="1" customWidth="1"/>
    <col min="8966" max="8970" width="13.09765625" style="71" customWidth="1"/>
    <col min="8971" max="8971" width="3.09765625" style="71" customWidth="1"/>
    <col min="8972" max="8972" width="100" style="71" customWidth="1"/>
    <col min="8973" max="8973" width="2.3984375" style="71" customWidth="1"/>
    <col min="8974" max="9216" width="9" style="71"/>
    <col min="9217" max="9219" width="0" style="71" hidden="1" customWidth="1"/>
    <col min="9220" max="9220" width="39.8984375" style="71" customWidth="1"/>
    <col min="9221" max="9221" width="8.69921875" style="71" bestFit="1" customWidth="1"/>
    <col min="9222" max="9226" width="13.09765625" style="71" customWidth="1"/>
    <col min="9227" max="9227" width="3.09765625" style="71" customWidth="1"/>
    <col min="9228" max="9228" width="100" style="71" customWidth="1"/>
    <col min="9229" max="9229" width="2.3984375" style="71" customWidth="1"/>
    <col min="9230" max="9472" width="9" style="71"/>
    <col min="9473" max="9475" width="0" style="71" hidden="1" customWidth="1"/>
    <col min="9476" max="9476" width="39.8984375" style="71" customWidth="1"/>
    <col min="9477" max="9477" width="8.69921875" style="71" bestFit="1" customWidth="1"/>
    <col min="9478" max="9482" width="13.09765625" style="71" customWidth="1"/>
    <col min="9483" max="9483" width="3.09765625" style="71" customWidth="1"/>
    <col min="9484" max="9484" width="100" style="71" customWidth="1"/>
    <col min="9485" max="9485" width="2.3984375" style="71" customWidth="1"/>
    <col min="9486" max="9728" width="9" style="71"/>
    <col min="9729" max="9731" width="0" style="71" hidden="1" customWidth="1"/>
    <col min="9732" max="9732" width="39.8984375" style="71" customWidth="1"/>
    <col min="9733" max="9733" width="8.69921875" style="71" bestFit="1" customWidth="1"/>
    <col min="9734" max="9738" width="13.09765625" style="71" customWidth="1"/>
    <col min="9739" max="9739" width="3.09765625" style="71" customWidth="1"/>
    <col min="9740" max="9740" width="100" style="71" customWidth="1"/>
    <col min="9741" max="9741" width="2.3984375" style="71" customWidth="1"/>
    <col min="9742" max="9984" width="9" style="71"/>
    <col min="9985" max="9987" width="0" style="71" hidden="1" customWidth="1"/>
    <col min="9988" max="9988" width="39.8984375" style="71" customWidth="1"/>
    <col min="9989" max="9989" width="8.69921875" style="71" bestFit="1" customWidth="1"/>
    <col min="9990" max="9994" width="13.09765625" style="71" customWidth="1"/>
    <col min="9995" max="9995" width="3.09765625" style="71" customWidth="1"/>
    <col min="9996" max="9996" width="100" style="71" customWidth="1"/>
    <col min="9997" max="9997" width="2.3984375" style="71" customWidth="1"/>
    <col min="9998" max="10240" width="9" style="71"/>
    <col min="10241" max="10243" width="0" style="71" hidden="1" customWidth="1"/>
    <col min="10244" max="10244" width="39.8984375" style="71" customWidth="1"/>
    <col min="10245" max="10245" width="8.69921875" style="71" bestFit="1" customWidth="1"/>
    <col min="10246" max="10250" width="13.09765625" style="71" customWidth="1"/>
    <col min="10251" max="10251" width="3.09765625" style="71" customWidth="1"/>
    <col min="10252" max="10252" width="100" style="71" customWidth="1"/>
    <col min="10253" max="10253" width="2.3984375" style="71" customWidth="1"/>
    <col min="10254" max="10496" width="9" style="71"/>
    <col min="10497" max="10499" width="0" style="71" hidden="1" customWidth="1"/>
    <col min="10500" max="10500" width="39.8984375" style="71" customWidth="1"/>
    <col min="10501" max="10501" width="8.69921875" style="71" bestFit="1" customWidth="1"/>
    <col min="10502" max="10506" width="13.09765625" style="71" customWidth="1"/>
    <col min="10507" max="10507" width="3.09765625" style="71" customWidth="1"/>
    <col min="10508" max="10508" width="100" style="71" customWidth="1"/>
    <col min="10509" max="10509" width="2.3984375" style="71" customWidth="1"/>
    <col min="10510" max="10752" width="9" style="71"/>
    <col min="10753" max="10755" width="0" style="71" hidden="1" customWidth="1"/>
    <col min="10756" max="10756" width="39.8984375" style="71" customWidth="1"/>
    <col min="10757" max="10757" width="8.69921875" style="71" bestFit="1" customWidth="1"/>
    <col min="10758" max="10762" width="13.09765625" style="71" customWidth="1"/>
    <col min="10763" max="10763" width="3.09765625" style="71" customWidth="1"/>
    <col min="10764" max="10764" width="100" style="71" customWidth="1"/>
    <col min="10765" max="10765" width="2.3984375" style="71" customWidth="1"/>
    <col min="10766" max="11008" width="9" style="71"/>
    <col min="11009" max="11011" width="0" style="71" hidden="1" customWidth="1"/>
    <col min="11012" max="11012" width="39.8984375" style="71" customWidth="1"/>
    <col min="11013" max="11013" width="8.69921875" style="71" bestFit="1" customWidth="1"/>
    <col min="11014" max="11018" width="13.09765625" style="71" customWidth="1"/>
    <col min="11019" max="11019" width="3.09765625" style="71" customWidth="1"/>
    <col min="11020" max="11020" width="100" style="71" customWidth="1"/>
    <col min="11021" max="11021" width="2.3984375" style="71" customWidth="1"/>
    <col min="11022" max="11264" width="9" style="71"/>
    <col min="11265" max="11267" width="0" style="71" hidden="1" customWidth="1"/>
    <col min="11268" max="11268" width="39.8984375" style="71" customWidth="1"/>
    <col min="11269" max="11269" width="8.69921875" style="71" bestFit="1" customWidth="1"/>
    <col min="11270" max="11274" width="13.09765625" style="71" customWidth="1"/>
    <col min="11275" max="11275" width="3.09765625" style="71" customWidth="1"/>
    <col min="11276" max="11276" width="100" style="71" customWidth="1"/>
    <col min="11277" max="11277" width="2.3984375" style="71" customWidth="1"/>
    <col min="11278" max="11520" width="9" style="71"/>
    <col min="11521" max="11523" width="0" style="71" hidden="1" customWidth="1"/>
    <col min="11524" max="11524" width="39.8984375" style="71" customWidth="1"/>
    <col min="11525" max="11525" width="8.69921875" style="71" bestFit="1" customWidth="1"/>
    <col min="11526" max="11530" width="13.09765625" style="71" customWidth="1"/>
    <col min="11531" max="11531" width="3.09765625" style="71" customWidth="1"/>
    <col min="11532" max="11532" width="100" style="71" customWidth="1"/>
    <col min="11533" max="11533" width="2.3984375" style="71" customWidth="1"/>
    <col min="11534" max="11776" width="9" style="71"/>
    <col min="11777" max="11779" width="0" style="71" hidden="1" customWidth="1"/>
    <col min="11780" max="11780" width="39.8984375" style="71" customWidth="1"/>
    <col min="11781" max="11781" width="8.69921875" style="71" bestFit="1" customWidth="1"/>
    <col min="11782" max="11786" width="13.09765625" style="71" customWidth="1"/>
    <col min="11787" max="11787" width="3.09765625" style="71" customWidth="1"/>
    <col min="11788" max="11788" width="100" style="71" customWidth="1"/>
    <col min="11789" max="11789" width="2.3984375" style="71" customWidth="1"/>
    <col min="11790" max="12032" width="9" style="71"/>
    <col min="12033" max="12035" width="0" style="71" hidden="1" customWidth="1"/>
    <col min="12036" max="12036" width="39.8984375" style="71" customWidth="1"/>
    <col min="12037" max="12037" width="8.69921875" style="71" bestFit="1" customWidth="1"/>
    <col min="12038" max="12042" width="13.09765625" style="71" customWidth="1"/>
    <col min="12043" max="12043" width="3.09765625" style="71" customWidth="1"/>
    <col min="12044" max="12044" width="100" style="71" customWidth="1"/>
    <col min="12045" max="12045" width="2.3984375" style="71" customWidth="1"/>
    <col min="12046" max="12288" width="9" style="71"/>
    <col min="12289" max="12291" width="0" style="71" hidden="1" customWidth="1"/>
    <col min="12292" max="12292" width="39.8984375" style="71" customWidth="1"/>
    <col min="12293" max="12293" width="8.69921875" style="71" bestFit="1" customWidth="1"/>
    <col min="12294" max="12298" width="13.09765625" style="71" customWidth="1"/>
    <col min="12299" max="12299" width="3.09765625" style="71" customWidth="1"/>
    <col min="12300" max="12300" width="100" style="71" customWidth="1"/>
    <col min="12301" max="12301" width="2.3984375" style="71" customWidth="1"/>
    <col min="12302" max="12544" width="9" style="71"/>
    <col min="12545" max="12547" width="0" style="71" hidden="1" customWidth="1"/>
    <col min="12548" max="12548" width="39.8984375" style="71" customWidth="1"/>
    <col min="12549" max="12549" width="8.69921875" style="71" bestFit="1" customWidth="1"/>
    <col min="12550" max="12554" width="13.09765625" style="71" customWidth="1"/>
    <col min="12555" max="12555" width="3.09765625" style="71" customWidth="1"/>
    <col min="12556" max="12556" width="100" style="71" customWidth="1"/>
    <col min="12557" max="12557" width="2.3984375" style="71" customWidth="1"/>
    <col min="12558" max="12800" width="9" style="71"/>
    <col min="12801" max="12803" width="0" style="71" hidden="1" customWidth="1"/>
    <col min="12804" max="12804" width="39.8984375" style="71" customWidth="1"/>
    <col min="12805" max="12805" width="8.69921875" style="71" bestFit="1" customWidth="1"/>
    <col min="12806" max="12810" width="13.09765625" style="71" customWidth="1"/>
    <col min="12811" max="12811" width="3.09765625" style="71" customWidth="1"/>
    <col min="12812" max="12812" width="100" style="71" customWidth="1"/>
    <col min="12813" max="12813" width="2.3984375" style="71" customWidth="1"/>
    <col min="12814" max="13056" width="9" style="71"/>
    <col min="13057" max="13059" width="0" style="71" hidden="1" customWidth="1"/>
    <col min="13060" max="13060" width="39.8984375" style="71" customWidth="1"/>
    <col min="13061" max="13061" width="8.69921875" style="71" bestFit="1" customWidth="1"/>
    <col min="13062" max="13066" width="13.09765625" style="71" customWidth="1"/>
    <col min="13067" max="13067" width="3.09765625" style="71" customWidth="1"/>
    <col min="13068" max="13068" width="100" style="71" customWidth="1"/>
    <col min="13069" max="13069" width="2.3984375" style="71" customWidth="1"/>
    <col min="13070" max="13312" width="9" style="71"/>
    <col min="13313" max="13315" width="0" style="71" hidden="1" customWidth="1"/>
    <col min="13316" max="13316" width="39.8984375" style="71" customWidth="1"/>
    <col min="13317" max="13317" width="8.69921875" style="71" bestFit="1" customWidth="1"/>
    <col min="13318" max="13322" width="13.09765625" style="71" customWidth="1"/>
    <col min="13323" max="13323" width="3.09765625" style="71" customWidth="1"/>
    <col min="13324" max="13324" width="100" style="71" customWidth="1"/>
    <col min="13325" max="13325" width="2.3984375" style="71" customWidth="1"/>
    <col min="13326" max="13568" width="9" style="71"/>
    <col min="13569" max="13571" width="0" style="71" hidden="1" customWidth="1"/>
    <col min="13572" max="13572" width="39.8984375" style="71" customWidth="1"/>
    <col min="13573" max="13573" width="8.69921875" style="71" bestFit="1" customWidth="1"/>
    <col min="13574" max="13578" width="13.09765625" style="71" customWidth="1"/>
    <col min="13579" max="13579" width="3.09765625" style="71" customWidth="1"/>
    <col min="13580" max="13580" width="100" style="71" customWidth="1"/>
    <col min="13581" max="13581" width="2.3984375" style="71" customWidth="1"/>
    <col min="13582" max="13824" width="9" style="71"/>
    <col min="13825" max="13827" width="0" style="71" hidden="1" customWidth="1"/>
    <col min="13828" max="13828" width="39.8984375" style="71" customWidth="1"/>
    <col min="13829" max="13829" width="8.69921875" style="71" bestFit="1" customWidth="1"/>
    <col min="13830" max="13834" width="13.09765625" style="71" customWidth="1"/>
    <col min="13835" max="13835" width="3.09765625" style="71" customWidth="1"/>
    <col min="13836" max="13836" width="100" style="71" customWidth="1"/>
    <col min="13837" max="13837" width="2.3984375" style="71" customWidth="1"/>
    <col min="13838" max="14080" width="9" style="71"/>
    <col min="14081" max="14083" width="0" style="71" hidden="1" customWidth="1"/>
    <col min="14084" max="14084" width="39.8984375" style="71" customWidth="1"/>
    <col min="14085" max="14085" width="8.69921875" style="71" bestFit="1" customWidth="1"/>
    <col min="14086" max="14090" width="13.09765625" style="71" customWidth="1"/>
    <col min="14091" max="14091" width="3.09765625" style="71" customWidth="1"/>
    <col min="14092" max="14092" width="100" style="71" customWidth="1"/>
    <col min="14093" max="14093" width="2.3984375" style="71" customWidth="1"/>
    <col min="14094" max="14336" width="9" style="71"/>
    <col min="14337" max="14339" width="0" style="71" hidden="1" customWidth="1"/>
    <col min="14340" max="14340" width="39.8984375" style="71" customWidth="1"/>
    <col min="14341" max="14341" width="8.69921875" style="71" bestFit="1" customWidth="1"/>
    <col min="14342" max="14346" width="13.09765625" style="71" customWidth="1"/>
    <col min="14347" max="14347" width="3.09765625" style="71" customWidth="1"/>
    <col min="14348" max="14348" width="100" style="71" customWidth="1"/>
    <col min="14349" max="14349" width="2.3984375" style="71" customWidth="1"/>
    <col min="14350" max="14592" width="9" style="71"/>
    <col min="14593" max="14595" width="0" style="71" hidden="1" customWidth="1"/>
    <col min="14596" max="14596" width="39.8984375" style="71" customWidth="1"/>
    <col min="14597" max="14597" width="8.69921875" style="71" bestFit="1" customWidth="1"/>
    <col min="14598" max="14602" width="13.09765625" style="71" customWidth="1"/>
    <col min="14603" max="14603" width="3.09765625" style="71" customWidth="1"/>
    <col min="14604" max="14604" width="100" style="71" customWidth="1"/>
    <col min="14605" max="14605" width="2.3984375" style="71" customWidth="1"/>
    <col min="14606" max="14848" width="9" style="71"/>
    <col min="14849" max="14851" width="0" style="71" hidden="1" customWidth="1"/>
    <col min="14852" max="14852" width="39.8984375" style="71" customWidth="1"/>
    <col min="14853" max="14853" width="8.69921875" style="71" bestFit="1" customWidth="1"/>
    <col min="14854" max="14858" width="13.09765625" style="71" customWidth="1"/>
    <col min="14859" max="14859" width="3.09765625" style="71" customWidth="1"/>
    <col min="14860" max="14860" width="100" style="71" customWidth="1"/>
    <col min="14861" max="14861" width="2.3984375" style="71" customWidth="1"/>
    <col min="14862" max="15104" width="9" style="71"/>
    <col min="15105" max="15107" width="0" style="71" hidden="1" customWidth="1"/>
    <col min="15108" max="15108" width="39.8984375" style="71" customWidth="1"/>
    <col min="15109" max="15109" width="8.69921875" style="71" bestFit="1" customWidth="1"/>
    <col min="15110" max="15114" width="13.09765625" style="71" customWidth="1"/>
    <col min="15115" max="15115" width="3.09765625" style="71" customWidth="1"/>
    <col min="15116" max="15116" width="100" style="71" customWidth="1"/>
    <col min="15117" max="15117" width="2.3984375" style="71" customWidth="1"/>
    <col min="15118" max="15360" width="9" style="71"/>
    <col min="15361" max="15363" width="0" style="71" hidden="1" customWidth="1"/>
    <col min="15364" max="15364" width="39.8984375" style="71" customWidth="1"/>
    <col min="15365" max="15365" width="8.69921875" style="71" bestFit="1" customWidth="1"/>
    <col min="15366" max="15370" width="13.09765625" style="71" customWidth="1"/>
    <col min="15371" max="15371" width="3.09765625" style="71" customWidth="1"/>
    <col min="15372" max="15372" width="100" style="71" customWidth="1"/>
    <col min="15373" max="15373" width="2.3984375" style="71" customWidth="1"/>
    <col min="15374" max="15616" width="9" style="71"/>
    <col min="15617" max="15619" width="0" style="71" hidden="1" customWidth="1"/>
    <col min="15620" max="15620" width="39.8984375" style="71" customWidth="1"/>
    <col min="15621" max="15621" width="8.69921875" style="71" bestFit="1" customWidth="1"/>
    <col min="15622" max="15626" width="13.09765625" style="71" customWidth="1"/>
    <col min="15627" max="15627" width="3.09765625" style="71" customWidth="1"/>
    <col min="15628" max="15628" width="100" style="71" customWidth="1"/>
    <col min="15629" max="15629" width="2.3984375" style="71" customWidth="1"/>
    <col min="15630" max="15872" width="9" style="71"/>
    <col min="15873" max="15875" width="0" style="71" hidden="1" customWidth="1"/>
    <col min="15876" max="15876" width="39.8984375" style="71" customWidth="1"/>
    <col min="15877" max="15877" width="8.69921875" style="71" bestFit="1" customWidth="1"/>
    <col min="15878" max="15882" width="13.09765625" style="71" customWidth="1"/>
    <col min="15883" max="15883" width="3.09765625" style="71" customWidth="1"/>
    <col min="15884" max="15884" width="100" style="71" customWidth="1"/>
    <col min="15885" max="15885" width="2.3984375" style="71" customWidth="1"/>
    <col min="15886" max="16128" width="9" style="71"/>
    <col min="16129" max="16131" width="0" style="71" hidden="1" customWidth="1"/>
    <col min="16132" max="16132" width="39.8984375" style="71" customWidth="1"/>
    <col min="16133" max="16133" width="8.69921875" style="71" bestFit="1" customWidth="1"/>
    <col min="16134" max="16138" width="13.09765625" style="71" customWidth="1"/>
    <col min="16139" max="16139" width="3.09765625" style="71" customWidth="1"/>
    <col min="16140" max="16140" width="100" style="71" customWidth="1"/>
    <col min="16141" max="16141" width="2.3984375" style="71" customWidth="1"/>
    <col min="16142" max="16384" width="9" style="71"/>
  </cols>
  <sheetData>
    <row r="1" spans="1:14" ht="14.4">
      <c r="A1" s="49" t="s">
        <v>139</v>
      </c>
      <c r="B1" s="49" t="s">
        <v>140</v>
      </c>
      <c r="C1" s="48" t="s">
        <v>141</v>
      </c>
      <c r="D1" s="175" t="s">
        <v>142</v>
      </c>
      <c r="F1" s="25" t="s">
        <v>143</v>
      </c>
      <c r="J1" s="47" t="s">
        <v>144</v>
      </c>
      <c r="N1" s="24"/>
    </row>
    <row r="2" spans="1:14" ht="14.4">
      <c r="A2" s="27" t="s">
        <v>145</v>
      </c>
      <c r="B2" s="27"/>
      <c r="C2" s="41">
        <f>F8</f>
        <v>0</v>
      </c>
      <c r="D2" s="176" t="s">
        <v>146</v>
      </c>
      <c r="E2" s="177"/>
      <c r="F2" s="177"/>
      <c r="G2" s="177"/>
      <c r="H2" s="177"/>
      <c r="I2" s="177"/>
      <c r="J2" s="177"/>
      <c r="K2" s="177"/>
      <c r="L2" s="178" t="s">
        <v>147</v>
      </c>
      <c r="M2" s="177"/>
      <c r="N2" s="179"/>
    </row>
    <row r="3" spans="1:14" ht="13.8">
      <c r="A3" s="27" t="s">
        <v>148</v>
      </c>
      <c r="B3" s="27"/>
      <c r="C3" s="39">
        <f>F10</f>
        <v>0</v>
      </c>
      <c r="D3" s="35" t="s">
        <v>149</v>
      </c>
      <c r="E3" s="35"/>
      <c r="F3" s="477">
        <f>'SP4-1'!E12</f>
        <v>0</v>
      </c>
      <c r="G3" s="477"/>
      <c r="H3" s="477"/>
      <c r="I3" s="180"/>
      <c r="J3" s="180"/>
      <c r="L3" s="28"/>
      <c r="N3" s="24"/>
    </row>
    <row r="4" spans="1:14" ht="13.8">
      <c r="A4" s="27" t="s">
        <v>150</v>
      </c>
      <c r="B4" s="27"/>
      <c r="C4" s="39">
        <f>F12</f>
        <v>0</v>
      </c>
      <c r="D4" s="35" t="s">
        <v>151</v>
      </c>
      <c r="E4" s="35"/>
      <c r="F4" s="477">
        <f>'SP4-1'!E13</f>
        <v>0</v>
      </c>
      <c r="G4" s="477"/>
      <c r="H4" s="477"/>
      <c r="I4" s="181"/>
      <c r="J4" s="180"/>
      <c r="L4" s="28"/>
      <c r="N4" s="24"/>
    </row>
    <row r="5" spans="1:14" ht="13.8">
      <c r="A5" s="27" t="s">
        <v>152</v>
      </c>
      <c r="B5" s="27" t="s">
        <v>153</v>
      </c>
      <c r="C5" s="39">
        <f>F22</f>
        <v>0</v>
      </c>
      <c r="D5" s="35"/>
      <c r="E5" s="35"/>
      <c r="F5" s="35"/>
      <c r="G5" s="35"/>
      <c r="H5" s="180"/>
      <c r="I5" s="180"/>
      <c r="J5" s="180"/>
      <c r="L5" s="182"/>
      <c r="N5" s="24"/>
    </row>
    <row r="6" spans="1:14" ht="12.75" customHeight="1">
      <c r="A6" s="27" t="s">
        <v>152</v>
      </c>
      <c r="B6" s="27" t="s">
        <v>154</v>
      </c>
      <c r="C6" s="39">
        <f>G22</f>
        <v>0</v>
      </c>
      <c r="D6" s="35" t="s">
        <v>155</v>
      </c>
      <c r="E6" s="35"/>
      <c r="F6" s="477">
        <f>'SP4-1'!C7</f>
        <v>0</v>
      </c>
      <c r="G6" s="477"/>
      <c r="H6" s="477"/>
      <c r="I6" s="180"/>
      <c r="J6" s="180"/>
      <c r="L6" s="28"/>
      <c r="N6" s="24"/>
    </row>
    <row r="7" spans="1:14" ht="12.75" customHeight="1">
      <c r="A7" s="27" t="s">
        <v>156</v>
      </c>
      <c r="B7" s="27" t="s">
        <v>153</v>
      </c>
      <c r="C7" s="39">
        <f>F23</f>
        <v>0</v>
      </c>
      <c r="D7" s="35" t="s">
        <v>157</v>
      </c>
      <c r="E7" s="35"/>
      <c r="F7" s="477">
        <f>'SP4-1'!C8</f>
        <v>0</v>
      </c>
      <c r="G7" s="477"/>
      <c r="H7" s="477"/>
      <c r="I7" s="180"/>
      <c r="J7" s="180"/>
      <c r="L7" s="28"/>
      <c r="N7" s="24"/>
    </row>
    <row r="8" spans="1:14" ht="13.8">
      <c r="A8" s="27" t="s">
        <v>156</v>
      </c>
      <c r="B8" s="27" t="s">
        <v>154</v>
      </c>
      <c r="C8" s="39">
        <f>G23</f>
        <v>0</v>
      </c>
      <c r="D8" s="35" t="s">
        <v>158</v>
      </c>
      <c r="E8" s="183" t="s">
        <v>159</v>
      </c>
      <c r="F8" s="184">
        <f>'SP4-1'!I31</f>
        <v>0</v>
      </c>
      <c r="G8" s="35"/>
      <c r="H8" s="35"/>
      <c r="L8" s="28"/>
      <c r="N8" s="24"/>
    </row>
    <row r="9" spans="1:14" ht="13.8">
      <c r="A9" s="27" t="s">
        <v>156</v>
      </c>
      <c r="B9" s="27" t="s">
        <v>160</v>
      </c>
      <c r="C9" s="39">
        <f>H23</f>
        <v>0</v>
      </c>
      <c r="D9" s="35"/>
      <c r="E9" s="183"/>
      <c r="F9" s="35"/>
      <c r="G9" s="35"/>
      <c r="H9" s="180"/>
      <c r="I9" s="180"/>
      <c r="J9" s="180"/>
      <c r="L9" s="182"/>
      <c r="N9" s="24"/>
    </row>
    <row r="10" spans="1:14" ht="13.8">
      <c r="A10" s="27" t="s">
        <v>161</v>
      </c>
      <c r="B10" s="27" t="s">
        <v>153</v>
      </c>
      <c r="C10" s="39">
        <f>F24</f>
        <v>0</v>
      </c>
      <c r="D10" s="35" t="s">
        <v>162</v>
      </c>
      <c r="E10" s="183" t="s">
        <v>163</v>
      </c>
      <c r="F10" s="42">
        <f>'SP4-1'!I25</f>
        <v>0</v>
      </c>
      <c r="G10" s="35"/>
      <c r="H10" s="180"/>
      <c r="I10" s="180"/>
      <c r="J10" s="180"/>
      <c r="L10" s="28"/>
      <c r="N10" s="24"/>
    </row>
    <row r="11" spans="1:14" ht="13.8">
      <c r="A11" s="27" t="s">
        <v>161</v>
      </c>
      <c r="B11" s="27" t="s">
        <v>154</v>
      </c>
      <c r="C11" s="39">
        <f>G24</f>
        <v>0</v>
      </c>
      <c r="D11" s="35" t="s">
        <v>164</v>
      </c>
      <c r="E11" s="183" t="s">
        <v>165</v>
      </c>
      <c r="F11" s="42">
        <f>'SP4-1'!I26</f>
        <v>0</v>
      </c>
      <c r="G11" s="35"/>
      <c r="H11" s="180"/>
      <c r="I11" s="180"/>
      <c r="J11" s="180"/>
      <c r="L11" s="28"/>
      <c r="N11" s="24"/>
    </row>
    <row r="12" spans="1:14" ht="13.8">
      <c r="A12" s="27" t="s">
        <v>161</v>
      </c>
      <c r="B12" s="27" t="s">
        <v>160</v>
      </c>
      <c r="C12" s="39">
        <f>H24</f>
        <v>0</v>
      </c>
      <c r="D12" s="35" t="s">
        <v>166</v>
      </c>
      <c r="E12" s="183" t="s">
        <v>163</v>
      </c>
      <c r="F12" s="42">
        <f>'SP4-1'!I32</f>
        <v>0</v>
      </c>
      <c r="G12" s="35"/>
      <c r="H12" s="180"/>
      <c r="I12" s="180"/>
      <c r="J12" s="180"/>
      <c r="L12" s="28"/>
      <c r="N12" s="24"/>
    </row>
    <row r="13" spans="1:14" ht="13.8">
      <c r="A13" s="27" t="s">
        <v>167</v>
      </c>
      <c r="B13" s="27" t="s">
        <v>153</v>
      </c>
      <c r="C13" s="46">
        <f>F25</f>
        <v>0</v>
      </c>
      <c r="D13" s="35"/>
      <c r="E13" s="35"/>
      <c r="F13" s="35"/>
      <c r="G13" s="35"/>
      <c r="H13" s="185"/>
      <c r="I13" s="185"/>
      <c r="J13" s="185"/>
      <c r="L13" s="182"/>
      <c r="N13" s="24"/>
    </row>
    <row r="14" spans="1:14" ht="13.8">
      <c r="A14" s="27" t="s">
        <v>167</v>
      </c>
      <c r="B14" s="27" t="s">
        <v>154</v>
      </c>
      <c r="C14" s="31">
        <f>G25</f>
        <v>0</v>
      </c>
      <c r="D14" s="35" t="s">
        <v>168</v>
      </c>
      <c r="E14" s="35"/>
      <c r="F14" s="477">
        <f>'SP4-1'!E18</f>
        <v>0</v>
      </c>
      <c r="G14" s="477"/>
      <c r="H14" s="477"/>
      <c r="I14" s="477"/>
      <c r="J14" s="477"/>
      <c r="L14" s="28"/>
      <c r="N14" s="24"/>
    </row>
    <row r="15" spans="1:14" ht="12.75" customHeight="1">
      <c r="A15" s="27" t="s">
        <v>167</v>
      </c>
      <c r="B15" s="27" t="s">
        <v>160</v>
      </c>
      <c r="C15" s="46">
        <f>H25</f>
        <v>0</v>
      </c>
      <c r="D15" s="35" t="s">
        <v>169</v>
      </c>
      <c r="E15" s="35"/>
      <c r="F15" s="477">
        <f>'SP4-1'!E15</f>
        <v>0</v>
      </c>
      <c r="G15" s="477"/>
      <c r="H15" s="477"/>
      <c r="I15" s="477"/>
      <c r="J15" s="477"/>
      <c r="L15" s="28"/>
      <c r="N15" s="24"/>
    </row>
    <row r="16" spans="1:14" ht="12.75" customHeight="1">
      <c r="A16" s="27" t="s">
        <v>170</v>
      </c>
      <c r="B16" s="27" t="s">
        <v>153</v>
      </c>
      <c r="C16" s="46">
        <f>F26</f>
        <v>0</v>
      </c>
      <c r="D16" s="35" t="s">
        <v>171</v>
      </c>
      <c r="E16" s="35"/>
      <c r="F16" s="477">
        <f>'SP4-1'!E21</f>
        <v>0</v>
      </c>
      <c r="G16" s="477"/>
      <c r="H16" s="477"/>
      <c r="I16" s="477"/>
      <c r="J16" s="477"/>
      <c r="L16" s="28"/>
      <c r="N16" s="24"/>
    </row>
    <row r="17" spans="1:14" ht="12.75" customHeight="1">
      <c r="A17" s="27" t="s">
        <v>170</v>
      </c>
      <c r="B17" s="27" t="s">
        <v>154</v>
      </c>
      <c r="C17" s="31">
        <f>G26</f>
        <v>0</v>
      </c>
      <c r="D17" s="35" t="s">
        <v>172</v>
      </c>
      <c r="E17" s="35"/>
      <c r="F17" s="477"/>
      <c r="G17" s="477"/>
      <c r="H17" s="477"/>
      <c r="I17" s="477"/>
      <c r="J17" s="477"/>
      <c r="L17" s="28"/>
      <c r="N17" s="24"/>
    </row>
    <row r="18" spans="1:14" ht="12.75" customHeight="1">
      <c r="A18" s="27" t="s">
        <v>173</v>
      </c>
      <c r="B18" s="27" t="s">
        <v>153</v>
      </c>
      <c r="C18" s="46">
        <f>F27</f>
        <v>0</v>
      </c>
      <c r="D18" s="35" t="s">
        <v>174</v>
      </c>
      <c r="E18" s="35"/>
      <c r="F18" s="477">
        <f>'SP4-1'!E22</f>
        <v>0</v>
      </c>
      <c r="G18" s="477"/>
      <c r="H18" s="477"/>
      <c r="I18" s="477"/>
      <c r="J18" s="477"/>
      <c r="L18" s="28"/>
      <c r="N18" s="24"/>
    </row>
    <row r="19" spans="1:14" ht="12.75" customHeight="1">
      <c r="A19" s="27" t="s">
        <v>173</v>
      </c>
      <c r="B19" s="27" t="s">
        <v>154</v>
      </c>
      <c r="C19" s="31">
        <f>G27</f>
        <v>0</v>
      </c>
      <c r="D19" s="35" t="s">
        <v>175</v>
      </c>
      <c r="E19" s="35"/>
      <c r="F19" s="477">
        <f>'SP4-1'!E14</f>
        <v>0</v>
      </c>
      <c r="G19" s="477"/>
      <c r="H19" s="477"/>
      <c r="I19" s="477"/>
      <c r="J19" s="477"/>
      <c r="L19" s="28"/>
      <c r="N19" s="24"/>
    </row>
    <row r="20" spans="1:14" ht="13.8">
      <c r="A20" s="27" t="s">
        <v>173</v>
      </c>
      <c r="B20" s="27" t="s">
        <v>160</v>
      </c>
      <c r="C20" s="31">
        <f>H27</f>
        <v>0</v>
      </c>
      <c r="D20" s="35"/>
      <c r="E20" s="35"/>
      <c r="F20" s="35"/>
      <c r="G20" s="35"/>
      <c r="H20" s="35"/>
      <c r="I20" s="35"/>
      <c r="L20" s="182"/>
      <c r="N20" s="24"/>
    </row>
    <row r="21" spans="1:14" ht="13.8">
      <c r="A21" s="27" t="s">
        <v>176</v>
      </c>
      <c r="B21" s="27" t="s">
        <v>153</v>
      </c>
      <c r="C21" s="46">
        <f>F28</f>
        <v>0</v>
      </c>
      <c r="D21" s="186" t="s">
        <v>177</v>
      </c>
      <c r="E21" s="35"/>
      <c r="F21" s="186" t="s">
        <v>178</v>
      </c>
      <c r="G21" s="186" t="s">
        <v>179</v>
      </c>
      <c r="H21" s="186" t="s">
        <v>180</v>
      </c>
      <c r="I21" s="35"/>
      <c r="L21" s="182"/>
      <c r="N21" s="24"/>
    </row>
    <row r="22" spans="1:14" ht="13.8">
      <c r="A22" s="27" t="s">
        <v>176</v>
      </c>
      <c r="B22" s="27" t="s">
        <v>154</v>
      </c>
      <c r="C22" s="31">
        <f>G28</f>
        <v>0</v>
      </c>
      <c r="D22" s="35" t="s">
        <v>181</v>
      </c>
      <c r="E22" s="183" t="s">
        <v>182</v>
      </c>
      <c r="F22" s="187">
        <f>'SP4-1'!I33</f>
        <v>0</v>
      </c>
      <c r="G22" s="188">
        <f>'SP4-1'!I34</f>
        <v>0</v>
      </c>
      <c r="H22" s="35"/>
      <c r="I22" s="35"/>
      <c r="L22" s="28"/>
      <c r="N22" s="24"/>
    </row>
    <row r="23" spans="1:14" ht="13.8">
      <c r="A23" s="27" t="s">
        <v>183</v>
      </c>
      <c r="B23" s="45"/>
      <c r="C23" s="44">
        <f>F29</f>
        <v>0</v>
      </c>
      <c r="D23" s="35" t="s">
        <v>184</v>
      </c>
      <c r="E23" s="183" t="s">
        <v>185</v>
      </c>
      <c r="F23" s="187">
        <v>0</v>
      </c>
      <c r="G23" s="188">
        <v>0</v>
      </c>
      <c r="H23" s="187">
        <v>0</v>
      </c>
      <c r="I23" s="35"/>
      <c r="L23" s="28"/>
      <c r="N23" s="24"/>
    </row>
    <row r="24" spans="1:14" ht="13.8">
      <c r="A24" s="27" t="s">
        <v>186</v>
      </c>
      <c r="B24" s="27"/>
      <c r="C24" s="39">
        <f>F30</f>
        <v>0</v>
      </c>
      <c r="D24" s="35" t="s">
        <v>187</v>
      </c>
      <c r="E24" s="183" t="s">
        <v>185</v>
      </c>
      <c r="F24" s="187">
        <v>0</v>
      </c>
      <c r="G24" s="188">
        <v>0</v>
      </c>
      <c r="H24" s="187">
        <v>0</v>
      </c>
      <c r="I24" s="35"/>
      <c r="K24" s="189"/>
      <c r="L24" s="28"/>
      <c r="N24" s="24"/>
    </row>
    <row r="25" spans="1:14" ht="13.8">
      <c r="A25" s="27" t="s">
        <v>188</v>
      </c>
      <c r="B25" s="27" t="s">
        <v>189</v>
      </c>
      <c r="C25" s="41">
        <f>F33</f>
        <v>0</v>
      </c>
      <c r="D25" s="35" t="s">
        <v>190</v>
      </c>
      <c r="E25" s="183" t="s">
        <v>185</v>
      </c>
      <c r="F25" s="187">
        <v>0</v>
      </c>
      <c r="G25" s="188">
        <v>0</v>
      </c>
      <c r="H25" s="187">
        <v>0</v>
      </c>
      <c r="I25" s="35"/>
      <c r="L25" s="28"/>
      <c r="N25" s="24"/>
    </row>
    <row r="26" spans="1:14" ht="13.8">
      <c r="A26" s="27" t="s">
        <v>188</v>
      </c>
      <c r="B26" s="27" t="s">
        <v>191</v>
      </c>
      <c r="C26" s="41">
        <f>G33</f>
        <v>0</v>
      </c>
      <c r="D26" s="35" t="s">
        <v>192</v>
      </c>
      <c r="E26" s="183" t="s">
        <v>185</v>
      </c>
      <c r="F26" s="187">
        <v>0</v>
      </c>
      <c r="G26" s="188">
        <v>0</v>
      </c>
      <c r="H26" s="35"/>
      <c r="I26" s="35"/>
      <c r="L26" s="28"/>
      <c r="N26" s="24"/>
    </row>
    <row r="27" spans="1:14" ht="13.8">
      <c r="A27" s="27" t="s">
        <v>193</v>
      </c>
      <c r="B27" s="27" t="s">
        <v>189</v>
      </c>
      <c r="C27" s="41">
        <f>F34</f>
        <v>0</v>
      </c>
      <c r="D27" s="35" t="s">
        <v>194</v>
      </c>
      <c r="E27" s="183" t="s">
        <v>195</v>
      </c>
      <c r="F27" s="187">
        <v>0</v>
      </c>
      <c r="G27" s="188">
        <v>0</v>
      </c>
      <c r="H27" s="187">
        <v>0</v>
      </c>
      <c r="I27" s="35"/>
      <c r="L27" s="28"/>
      <c r="N27" s="24"/>
    </row>
    <row r="28" spans="1:14" ht="13.8">
      <c r="A28" s="27" t="s">
        <v>193</v>
      </c>
      <c r="B28" s="27" t="s">
        <v>191</v>
      </c>
      <c r="C28" s="41">
        <f>G34</f>
        <v>0</v>
      </c>
      <c r="D28" s="35" t="s">
        <v>196</v>
      </c>
      <c r="E28" s="183" t="s">
        <v>182</v>
      </c>
      <c r="F28" s="187">
        <v>0</v>
      </c>
      <c r="G28" s="188">
        <v>0</v>
      </c>
      <c r="H28" s="35"/>
      <c r="I28" s="35"/>
      <c r="L28" s="28"/>
      <c r="N28" s="24"/>
    </row>
    <row r="29" spans="1:14" ht="13.8">
      <c r="A29" s="27" t="s">
        <v>197</v>
      </c>
      <c r="B29" s="27" t="s">
        <v>189</v>
      </c>
      <c r="C29" s="41">
        <f>F35</f>
        <v>0</v>
      </c>
      <c r="D29" s="35" t="s">
        <v>196</v>
      </c>
      <c r="E29" s="183" t="s">
        <v>198</v>
      </c>
      <c r="F29" s="190">
        <v>0</v>
      </c>
      <c r="G29" s="35"/>
      <c r="H29" s="35"/>
      <c r="I29" s="35"/>
      <c r="L29" s="28"/>
      <c r="N29" s="24"/>
    </row>
    <row r="30" spans="1:14" ht="13.8">
      <c r="A30" s="27" t="s">
        <v>197</v>
      </c>
      <c r="B30" s="27" t="s">
        <v>191</v>
      </c>
      <c r="C30" s="41">
        <f>G35</f>
        <v>0</v>
      </c>
      <c r="D30" s="35" t="s">
        <v>199</v>
      </c>
      <c r="E30" s="35"/>
      <c r="F30" s="43">
        <f>'SP4-4'!O7</f>
        <v>0</v>
      </c>
      <c r="G30" s="35"/>
      <c r="H30" s="35"/>
      <c r="I30" s="35"/>
      <c r="L30" s="28"/>
      <c r="N30" s="24"/>
    </row>
    <row r="31" spans="1:14" ht="13.8">
      <c r="A31" s="27" t="s">
        <v>200</v>
      </c>
      <c r="B31" s="27" t="s">
        <v>189</v>
      </c>
      <c r="C31" s="31">
        <f>F36</f>
        <v>0</v>
      </c>
      <c r="D31" s="35"/>
      <c r="E31" s="35"/>
      <c r="F31" s="35"/>
      <c r="G31" s="35"/>
      <c r="H31" s="35"/>
      <c r="I31" s="35"/>
      <c r="L31" s="182"/>
      <c r="N31" s="24"/>
    </row>
    <row r="32" spans="1:14" ht="13.8">
      <c r="A32" s="27" t="s">
        <v>200</v>
      </c>
      <c r="B32" s="27" t="s">
        <v>191</v>
      </c>
      <c r="C32" s="31">
        <f>G36</f>
        <v>0</v>
      </c>
      <c r="D32" s="35"/>
      <c r="E32" s="35"/>
      <c r="F32" s="186" t="s">
        <v>201</v>
      </c>
      <c r="G32" s="186" t="s">
        <v>202</v>
      </c>
      <c r="H32" s="35"/>
      <c r="I32" s="35"/>
      <c r="L32" s="182"/>
      <c r="N32" s="24"/>
    </row>
    <row r="33" spans="1:14" ht="13.8">
      <c r="A33" s="27" t="s">
        <v>203</v>
      </c>
      <c r="B33" s="27" t="s">
        <v>189</v>
      </c>
      <c r="C33" s="31">
        <f>F37</f>
        <v>0</v>
      </c>
      <c r="D33" s="35" t="s">
        <v>204</v>
      </c>
      <c r="E33" s="183" t="s">
        <v>205</v>
      </c>
      <c r="F33" s="42">
        <f>'SP4-1'!E35</f>
        <v>0</v>
      </c>
      <c r="G33" s="42">
        <f>'SP4-1'!E36</f>
        <v>0</v>
      </c>
      <c r="H33" s="35"/>
      <c r="I33" s="35"/>
      <c r="L33" s="28"/>
      <c r="N33" s="24"/>
    </row>
    <row r="34" spans="1:14" ht="13.8">
      <c r="A34" s="27" t="s">
        <v>203</v>
      </c>
      <c r="B34" s="27" t="s">
        <v>191</v>
      </c>
      <c r="C34" s="31">
        <f>G37</f>
        <v>0</v>
      </c>
      <c r="D34" s="35" t="s">
        <v>206</v>
      </c>
      <c r="E34" s="183" t="s">
        <v>207</v>
      </c>
      <c r="F34" s="42">
        <f>'SP4-6'!E10</f>
        <v>0</v>
      </c>
      <c r="G34" s="42">
        <v>0</v>
      </c>
      <c r="H34" s="35"/>
      <c r="I34" s="35"/>
      <c r="L34" s="28"/>
      <c r="N34" s="24"/>
    </row>
    <row r="35" spans="1:14" ht="13.8">
      <c r="A35" s="27" t="s">
        <v>208</v>
      </c>
      <c r="B35" s="27" t="s">
        <v>189</v>
      </c>
      <c r="C35" s="41">
        <f>F38</f>
        <v>0</v>
      </c>
      <c r="D35" s="35" t="s">
        <v>209</v>
      </c>
      <c r="E35" s="183" t="s">
        <v>207</v>
      </c>
      <c r="F35" s="42">
        <f>'SP4-1'!E37</f>
        <v>0</v>
      </c>
      <c r="G35" s="42">
        <f>'SP4-1'!E38</f>
        <v>0</v>
      </c>
      <c r="H35" s="35"/>
      <c r="I35" s="35"/>
      <c r="L35" s="28"/>
      <c r="N35" s="24"/>
    </row>
    <row r="36" spans="1:14" ht="13.8">
      <c r="A36" s="27" t="s">
        <v>208</v>
      </c>
      <c r="B36" s="27" t="s">
        <v>191</v>
      </c>
      <c r="C36" s="41">
        <f>G38</f>
        <v>0</v>
      </c>
      <c r="D36" s="35" t="s">
        <v>210</v>
      </c>
      <c r="E36" s="183" t="s">
        <v>211</v>
      </c>
      <c r="F36" s="29">
        <f>'SP4-1'!M35</f>
        <v>0</v>
      </c>
      <c r="G36" s="29">
        <f>'SP4-1'!M36</f>
        <v>0</v>
      </c>
      <c r="H36" s="35"/>
      <c r="I36" s="35"/>
      <c r="L36" s="28"/>
      <c r="N36" s="24"/>
    </row>
    <row r="37" spans="1:14" ht="13.8">
      <c r="A37" s="27" t="s">
        <v>212</v>
      </c>
      <c r="B37" s="27" t="s">
        <v>213</v>
      </c>
      <c r="C37" s="40">
        <f>F41</f>
        <v>0</v>
      </c>
      <c r="D37" s="35" t="s">
        <v>214</v>
      </c>
      <c r="E37" s="183" t="s">
        <v>215</v>
      </c>
      <c r="F37" s="29">
        <f>'SP4-1'!M37</f>
        <v>0</v>
      </c>
      <c r="G37" s="29">
        <f>'SP4-1'!M38</f>
        <v>0</v>
      </c>
      <c r="H37" s="35"/>
      <c r="I37" s="35"/>
      <c r="L37" s="28"/>
      <c r="N37" s="24"/>
    </row>
    <row r="38" spans="1:14" ht="13.8">
      <c r="A38" s="27" t="s">
        <v>212</v>
      </c>
      <c r="B38" s="27" t="s">
        <v>216</v>
      </c>
      <c r="C38" s="40">
        <f>G41</f>
        <v>0</v>
      </c>
      <c r="D38" s="35" t="s">
        <v>217</v>
      </c>
      <c r="E38" s="183" t="s">
        <v>218</v>
      </c>
      <c r="F38" s="42">
        <v>0</v>
      </c>
      <c r="G38" s="42">
        <v>0</v>
      </c>
      <c r="H38" s="35"/>
      <c r="I38" s="35"/>
      <c r="L38" s="28"/>
      <c r="N38" s="24"/>
    </row>
    <row r="39" spans="1:14" ht="13.8">
      <c r="A39" s="27" t="s">
        <v>219</v>
      </c>
      <c r="B39" s="27" t="s">
        <v>213</v>
      </c>
      <c r="C39" s="40">
        <f>H41</f>
        <v>0</v>
      </c>
      <c r="D39" s="35"/>
      <c r="E39" s="35"/>
      <c r="F39" s="35"/>
      <c r="G39" s="35"/>
      <c r="H39" s="35"/>
      <c r="I39" s="35"/>
      <c r="L39" s="182"/>
      <c r="N39" s="24"/>
    </row>
    <row r="40" spans="1:14" ht="13.8">
      <c r="A40" s="27" t="s">
        <v>219</v>
      </c>
      <c r="B40" s="27" t="s">
        <v>216</v>
      </c>
      <c r="C40" s="40">
        <f>I41</f>
        <v>0</v>
      </c>
      <c r="D40" s="35"/>
      <c r="E40" s="35"/>
      <c r="F40" s="186" t="s">
        <v>220</v>
      </c>
      <c r="G40" s="186" t="s">
        <v>221</v>
      </c>
      <c r="H40" s="186" t="s">
        <v>222</v>
      </c>
      <c r="I40" s="186" t="s">
        <v>223</v>
      </c>
      <c r="L40" s="182"/>
      <c r="N40" s="24"/>
    </row>
    <row r="41" spans="1:14" ht="13.8">
      <c r="A41" s="27" t="s">
        <v>224</v>
      </c>
      <c r="B41" s="27"/>
      <c r="C41" s="39">
        <f>F42</f>
        <v>0</v>
      </c>
      <c r="D41" s="35" t="s">
        <v>225</v>
      </c>
      <c r="E41" s="35"/>
      <c r="F41" s="167"/>
      <c r="G41" s="167"/>
      <c r="H41" s="167"/>
      <c r="I41" s="167"/>
      <c r="L41" s="182"/>
      <c r="N41" s="24"/>
    </row>
    <row r="42" spans="1:14" ht="13.8">
      <c r="A42" s="27" t="s">
        <v>226</v>
      </c>
      <c r="B42" s="27" t="s">
        <v>227</v>
      </c>
      <c r="C42" s="36">
        <f>F47</f>
        <v>0</v>
      </c>
      <c r="D42" s="35" t="s">
        <v>228</v>
      </c>
      <c r="E42" s="183" t="s">
        <v>229</v>
      </c>
      <c r="F42" s="168">
        <v>0</v>
      </c>
      <c r="G42" s="35"/>
      <c r="H42" s="35"/>
      <c r="I42" s="35"/>
      <c r="L42" s="28"/>
      <c r="N42" s="24"/>
    </row>
    <row r="43" spans="1:14" ht="13.8">
      <c r="A43" s="27" t="s">
        <v>226</v>
      </c>
      <c r="B43" s="27" t="s">
        <v>230</v>
      </c>
      <c r="C43" s="36">
        <f>G47</f>
        <v>0</v>
      </c>
      <c r="D43" s="35"/>
      <c r="E43" s="183"/>
      <c r="F43" s="35"/>
      <c r="G43" s="35"/>
      <c r="H43" s="35"/>
      <c r="I43" s="35"/>
      <c r="L43" s="182"/>
      <c r="N43" s="24"/>
    </row>
    <row r="44" spans="1:14" ht="13.8">
      <c r="A44" s="27" t="s">
        <v>226</v>
      </c>
      <c r="B44" s="27" t="s">
        <v>231</v>
      </c>
      <c r="C44" s="36">
        <f>H47</f>
        <v>0</v>
      </c>
      <c r="D44" s="35" t="s">
        <v>232</v>
      </c>
      <c r="E44" s="183" t="s">
        <v>233</v>
      </c>
      <c r="F44" s="38"/>
      <c r="G44" s="38"/>
      <c r="H44" s="35"/>
      <c r="I44" s="35"/>
      <c r="L44" s="28"/>
      <c r="N44" s="24"/>
    </row>
    <row r="45" spans="1:14" ht="13.8">
      <c r="A45" s="27" t="s">
        <v>226</v>
      </c>
      <c r="B45" s="27" t="s">
        <v>234</v>
      </c>
      <c r="C45" s="36">
        <f>I47</f>
        <v>0</v>
      </c>
      <c r="D45" s="35"/>
      <c r="E45" s="35"/>
      <c r="F45" s="35"/>
      <c r="G45" s="35"/>
      <c r="H45" s="35"/>
      <c r="I45" s="35"/>
      <c r="L45" s="182"/>
      <c r="N45" s="24"/>
    </row>
    <row r="46" spans="1:14" ht="13.8">
      <c r="A46" s="27" t="s">
        <v>235</v>
      </c>
      <c r="B46" s="27" t="s">
        <v>227</v>
      </c>
      <c r="C46" s="36" t="str">
        <f>F48</f>
        <v/>
      </c>
      <c r="D46" s="35"/>
      <c r="E46" s="35"/>
      <c r="F46" s="186" t="s">
        <v>236</v>
      </c>
      <c r="G46" s="186" t="s">
        <v>237</v>
      </c>
      <c r="H46" s="186" t="s">
        <v>238</v>
      </c>
      <c r="I46" s="186" t="s">
        <v>239</v>
      </c>
      <c r="L46" s="182"/>
      <c r="N46" s="24"/>
    </row>
    <row r="47" spans="1:14" ht="13.8">
      <c r="A47" s="27" t="s">
        <v>235</v>
      </c>
      <c r="B47" s="27" t="s">
        <v>230</v>
      </c>
      <c r="C47" s="36" t="str">
        <f>G48</f>
        <v/>
      </c>
      <c r="D47" s="35" t="s">
        <v>708</v>
      </c>
      <c r="E47" s="35"/>
      <c r="F47" s="37">
        <f>'SP4-6'!J16</f>
        <v>0</v>
      </c>
      <c r="G47" s="37">
        <f>'SP4-6'!L16</f>
        <v>0</v>
      </c>
      <c r="H47" s="37">
        <f>'SP4-6'!N16</f>
        <v>0</v>
      </c>
      <c r="I47" s="37">
        <f>'SP4-6'!P16</f>
        <v>0</v>
      </c>
      <c r="L47" s="28"/>
      <c r="N47" s="24"/>
    </row>
    <row r="48" spans="1:14" ht="13.8">
      <c r="A48" s="27" t="s">
        <v>235</v>
      </c>
      <c r="B48" s="27" t="s">
        <v>231</v>
      </c>
      <c r="C48" s="36" t="str">
        <f>H48</f>
        <v/>
      </c>
      <c r="D48" s="35" t="s">
        <v>240</v>
      </c>
      <c r="E48" s="35"/>
      <c r="F48" s="37" t="str">
        <f>'SP4-6'!J23</f>
        <v/>
      </c>
      <c r="G48" s="37" t="str">
        <f>'SP4-6'!L23</f>
        <v/>
      </c>
      <c r="H48" s="37" t="str">
        <f>'SP4-6'!N23</f>
        <v/>
      </c>
      <c r="I48" s="37" t="str">
        <f>'SP4-6'!P23</f>
        <v/>
      </c>
      <c r="L48" s="28"/>
      <c r="N48" s="24"/>
    </row>
    <row r="49" spans="1:14" ht="13.8">
      <c r="A49" s="27" t="s">
        <v>235</v>
      </c>
      <c r="B49" s="27" t="s">
        <v>234</v>
      </c>
      <c r="C49" s="36" t="str">
        <f>I48</f>
        <v/>
      </c>
      <c r="D49" s="35" t="s">
        <v>241</v>
      </c>
      <c r="E49" s="35"/>
      <c r="F49" s="37" t="str">
        <f>'SP4-6'!J33</f>
        <v/>
      </c>
      <c r="G49" s="37" t="str">
        <f>'SP4-6'!L33</f>
        <v/>
      </c>
      <c r="H49" s="37" t="str">
        <f>'SP4-6'!N33</f>
        <v/>
      </c>
      <c r="I49" s="37" t="str">
        <f>'SP4-6'!P33</f>
        <v/>
      </c>
      <c r="L49" s="28"/>
      <c r="N49" s="24"/>
    </row>
    <row r="50" spans="1:14" ht="13.8">
      <c r="A50" s="27" t="s">
        <v>242</v>
      </c>
      <c r="B50" s="27" t="s">
        <v>227</v>
      </c>
      <c r="C50" s="36" t="str">
        <f>F49</f>
        <v/>
      </c>
      <c r="D50" s="35"/>
      <c r="E50" s="35"/>
      <c r="F50" s="35"/>
      <c r="G50" s="35"/>
      <c r="H50" s="35"/>
      <c r="I50" s="35"/>
      <c r="L50" s="182"/>
      <c r="N50" s="24"/>
    </row>
    <row r="51" spans="1:14" ht="13.8">
      <c r="A51" s="27" t="s">
        <v>242</v>
      </c>
      <c r="B51" s="27" t="s">
        <v>230</v>
      </c>
      <c r="C51" s="36" t="str">
        <f>G49</f>
        <v/>
      </c>
      <c r="D51" s="35" t="s">
        <v>243</v>
      </c>
      <c r="E51" s="183" t="s">
        <v>244</v>
      </c>
      <c r="F51" s="32">
        <v>0</v>
      </c>
      <c r="G51" s="35"/>
      <c r="H51" s="35"/>
      <c r="I51" s="35"/>
      <c r="L51" s="28"/>
      <c r="N51" s="24"/>
    </row>
    <row r="52" spans="1:14" ht="13.8">
      <c r="A52" s="27" t="s">
        <v>242</v>
      </c>
      <c r="B52" s="27" t="s">
        <v>231</v>
      </c>
      <c r="C52" s="36" t="str">
        <f>H49</f>
        <v/>
      </c>
      <c r="D52" s="35" t="s">
        <v>245</v>
      </c>
      <c r="E52" s="183" t="s">
        <v>246</v>
      </c>
      <c r="F52" s="32">
        <f>IF('SP4-5'!O9=0,,'SP4-5'!O28/'SP4-5'!O9)</f>
        <v>0</v>
      </c>
      <c r="G52" s="35"/>
      <c r="H52" s="35"/>
      <c r="I52" s="35"/>
      <c r="L52" s="28"/>
      <c r="N52" s="24"/>
    </row>
    <row r="53" spans="1:14" ht="13.8">
      <c r="A53" s="27" t="s">
        <v>242</v>
      </c>
      <c r="B53" s="27" t="s">
        <v>234</v>
      </c>
      <c r="C53" s="36" t="str">
        <f>I49</f>
        <v/>
      </c>
      <c r="D53" s="35" t="s">
        <v>247</v>
      </c>
      <c r="E53" s="183" t="s">
        <v>218</v>
      </c>
      <c r="F53" s="32">
        <f>IF('SP4-4'!O12=0,,('SP4-4'!O27/'SP4-4'!O12)/365)</f>
        <v>0</v>
      </c>
      <c r="G53" s="35"/>
      <c r="H53" s="35"/>
      <c r="I53" s="35"/>
      <c r="L53" s="28"/>
      <c r="N53" s="24"/>
    </row>
    <row r="54" spans="1:14" ht="13.8">
      <c r="A54" s="27" t="s">
        <v>248</v>
      </c>
      <c r="B54" s="27"/>
      <c r="C54" s="26">
        <f>F51</f>
        <v>0</v>
      </c>
      <c r="D54" s="35"/>
      <c r="E54" s="183"/>
      <c r="F54" s="35"/>
      <c r="G54" s="35"/>
      <c r="H54" s="35"/>
      <c r="I54" s="35"/>
      <c r="L54" s="182"/>
      <c r="N54" s="24"/>
    </row>
    <row r="55" spans="1:14" ht="13.8">
      <c r="A55" s="27" t="s">
        <v>249</v>
      </c>
      <c r="B55" s="27"/>
      <c r="C55" s="26">
        <f>F52</f>
        <v>0</v>
      </c>
      <c r="D55" s="186" t="s">
        <v>250</v>
      </c>
      <c r="E55" s="183"/>
      <c r="F55" s="186" t="s">
        <v>251</v>
      </c>
      <c r="G55" s="186" t="s">
        <v>252</v>
      </c>
      <c r="H55" s="35"/>
      <c r="I55" s="35"/>
      <c r="L55" s="182"/>
      <c r="N55" s="24"/>
    </row>
    <row r="56" spans="1:14" ht="13.8">
      <c r="A56" s="27" t="s">
        <v>253</v>
      </c>
      <c r="B56" s="27"/>
      <c r="C56" s="26">
        <f>F53</f>
        <v>0</v>
      </c>
      <c r="D56" s="35" t="s">
        <v>254</v>
      </c>
      <c r="E56" s="183" t="s">
        <v>255</v>
      </c>
      <c r="F56" s="32">
        <v>0</v>
      </c>
      <c r="G56" s="32">
        <f>'SP4-3 (1)'!K8</f>
        <v>0</v>
      </c>
      <c r="H56" s="35"/>
      <c r="I56" s="35"/>
      <c r="L56" s="28"/>
      <c r="N56" s="24"/>
    </row>
    <row r="57" spans="1:14" ht="13.8">
      <c r="A57" s="27" t="s">
        <v>256</v>
      </c>
      <c r="B57" s="27" t="s">
        <v>257</v>
      </c>
      <c r="C57" s="26">
        <f>F56</f>
        <v>0</v>
      </c>
      <c r="D57" s="35"/>
      <c r="E57" s="35"/>
      <c r="F57" s="35"/>
      <c r="G57" s="35"/>
      <c r="H57" s="35"/>
      <c r="I57" s="35"/>
      <c r="L57" s="28"/>
      <c r="N57" s="24"/>
    </row>
    <row r="58" spans="1:14" ht="13.8">
      <c r="A58" s="27" t="s">
        <v>256</v>
      </c>
      <c r="B58" s="27" t="s">
        <v>258</v>
      </c>
      <c r="C58" s="26">
        <f>G56</f>
        <v>0</v>
      </c>
      <c r="D58" s="35" t="s">
        <v>259</v>
      </c>
      <c r="E58" s="183" t="s">
        <v>255</v>
      </c>
      <c r="F58" s="32">
        <v>0</v>
      </c>
      <c r="G58" s="32">
        <f>'SP4-3 (1)'!Q8</f>
        <v>0</v>
      </c>
      <c r="H58" s="35"/>
      <c r="I58" s="35"/>
      <c r="L58" s="28"/>
      <c r="N58" s="24"/>
    </row>
    <row r="59" spans="1:14" ht="13.8">
      <c r="A59" s="27" t="s">
        <v>260</v>
      </c>
      <c r="B59" s="27" t="s">
        <v>257</v>
      </c>
      <c r="C59" s="26">
        <f>F58</f>
        <v>0</v>
      </c>
      <c r="D59" s="35" t="s">
        <v>261</v>
      </c>
      <c r="E59" s="183" t="s">
        <v>255</v>
      </c>
      <c r="F59" s="32">
        <f>'SP4-2'!R36</f>
        <v>0</v>
      </c>
      <c r="G59" s="32">
        <f>'SP4-3 (1)'!Q13+'SP4-3 (1)'!Q16+'SP4-3 (1)'!Q31</f>
        <v>0</v>
      </c>
      <c r="H59" s="35"/>
      <c r="I59" s="35"/>
      <c r="L59" s="28"/>
      <c r="N59" s="24"/>
    </row>
    <row r="60" spans="1:14" ht="13.8">
      <c r="A60" s="27" t="s">
        <v>260</v>
      </c>
      <c r="B60" s="27" t="s">
        <v>258</v>
      </c>
      <c r="C60" s="26">
        <f>G58</f>
        <v>0</v>
      </c>
      <c r="D60" s="35" t="s">
        <v>262</v>
      </c>
      <c r="E60" s="183" t="s">
        <v>255</v>
      </c>
      <c r="F60" s="32">
        <f>'SP4-1'!M41</f>
        <v>0</v>
      </c>
      <c r="G60" s="32">
        <f>'SP4-1'!M44</f>
        <v>0</v>
      </c>
      <c r="H60" s="35"/>
      <c r="I60" s="35"/>
      <c r="L60" s="28"/>
      <c r="N60" s="24"/>
    </row>
    <row r="61" spans="1:14" ht="13.8">
      <c r="A61" s="27" t="s">
        <v>263</v>
      </c>
      <c r="B61" s="27" t="s">
        <v>257</v>
      </c>
      <c r="C61" s="26">
        <f>F59</f>
        <v>0</v>
      </c>
      <c r="D61" s="35"/>
      <c r="E61" s="183"/>
      <c r="F61" s="35"/>
      <c r="G61" s="35"/>
      <c r="H61" s="35"/>
      <c r="I61" s="35"/>
      <c r="L61" s="182"/>
      <c r="N61" s="24"/>
    </row>
    <row r="62" spans="1:14" ht="13.8">
      <c r="A62" s="27" t="s">
        <v>263</v>
      </c>
      <c r="B62" s="27" t="s">
        <v>258</v>
      </c>
      <c r="C62" s="26">
        <f>G59</f>
        <v>0</v>
      </c>
      <c r="D62" s="35" t="s">
        <v>264</v>
      </c>
      <c r="E62" s="183" t="s">
        <v>255</v>
      </c>
      <c r="F62" s="32">
        <v>0</v>
      </c>
      <c r="G62" s="35"/>
      <c r="H62" s="35"/>
      <c r="I62" s="35"/>
      <c r="L62" s="28"/>
      <c r="N62" s="24"/>
    </row>
    <row r="63" spans="1:14" ht="13.8">
      <c r="A63" s="27" t="s">
        <v>265</v>
      </c>
      <c r="B63" s="27" t="s">
        <v>257</v>
      </c>
      <c r="C63" s="26">
        <f>F60</f>
        <v>0</v>
      </c>
      <c r="D63" s="35" t="s">
        <v>266</v>
      </c>
      <c r="E63" s="183" t="s">
        <v>255</v>
      </c>
      <c r="F63" s="169">
        <v>0</v>
      </c>
      <c r="G63" s="35"/>
      <c r="H63" s="35"/>
      <c r="I63" s="35"/>
      <c r="L63" s="191"/>
      <c r="N63" s="24"/>
    </row>
    <row r="64" spans="1:14" ht="13.8">
      <c r="A64" s="27" t="s">
        <v>265</v>
      </c>
      <c r="B64" s="27" t="s">
        <v>258</v>
      </c>
      <c r="C64" s="26">
        <f>G60</f>
        <v>0</v>
      </c>
      <c r="D64" s="35"/>
      <c r="E64" s="183"/>
      <c r="F64" s="35"/>
      <c r="G64" s="35"/>
      <c r="H64" s="35"/>
      <c r="I64" s="35"/>
      <c r="L64" s="182"/>
      <c r="N64" s="24"/>
    </row>
    <row r="65" spans="1:14" ht="13.8">
      <c r="A65" s="27" t="s">
        <v>267</v>
      </c>
      <c r="B65" s="27"/>
      <c r="C65" s="26">
        <f>F62</f>
        <v>0</v>
      </c>
      <c r="D65" s="186" t="s">
        <v>705</v>
      </c>
      <c r="E65" s="183"/>
      <c r="F65" s="35"/>
      <c r="G65" s="35"/>
      <c r="H65" s="33" t="s">
        <v>269</v>
      </c>
      <c r="I65" s="35"/>
      <c r="L65" s="182"/>
      <c r="N65" s="24"/>
    </row>
    <row r="66" spans="1:14" ht="13.8">
      <c r="A66" s="27" t="s">
        <v>270</v>
      </c>
      <c r="B66" s="27"/>
      <c r="C66" s="26">
        <f>F63</f>
        <v>0</v>
      </c>
      <c r="D66" s="35" t="s">
        <v>271</v>
      </c>
      <c r="E66" s="183" t="s">
        <v>255</v>
      </c>
      <c r="F66" s="32">
        <f>'SP4-1'!M48</f>
        <v>0</v>
      </c>
      <c r="G66" s="35"/>
      <c r="H66" s="192">
        <f>(F66/'SP4-4'!L$44)*40</f>
        <v>0</v>
      </c>
      <c r="I66" s="35"/>
      <c r="L66" s="28"/>
      <c r="N66" s="24"/>
    </row>
    <row r="67" spans="1:14" ht="13.8">
      <c r="A67" s="27" t="s">
        <v>272</v>
      </c>
      <c r="B67" s="27" t="s">
        <v>273</v>
      </c>
      <c r="C67" s="26">
        <f>F66</f>
        <v>0</v>
      </c>
      <c r="D67" s="35" t="s">
        <v>274</v>
      </c>
      <c r="E67" s="183" t="s">
        <v>255</v>
      </c>
      <c r="F67" s="32">
        <f>'SP4-1'!M50</f>
        <v>0</v>
      </c>
      <c r="G67" s="35"/>
      <c r="H67" s="192">
        <f>(F67/'SP4-4'!L$44)*40</f>
        <v>0</v>
      </c>
      <c r="I67" s="35"/>
      <c r="L67" s="28"/>
      <c r="N67" s="24"/>
    </row>
    <row r="68" spans="1:14" ht="13.8">
      <c r="A68" s="27" t="s">
        <v>275</v>
      </c>
      <c r="B68" s="27" t="s">
        <v>273</v>
      </c>
      <c r="C68" s="26">
        <f t="shared" ref="C68:C85" si="0">F67</f>
        <v>0</v>
      </c>
      <c r="D68" s="35" t="s">
        <v>605</v>
      </c>
      <c r="E68" s="183" t="s">
        <v>255</v>
      </c>
      <c r="F68" s="32">
        <f>'SP4-1'!M51</f>
        <v>0</v>
      </c>
      <c r="G68" s="35"/>
      <c r="H68" s="192">
        <f>(F68/'SP4-4'!L$44)*40</f>
        <v>0</v>
      </c>
      <c r="I68" s="35"/>
      <c r="L68" s="28"/>
      <c r="N68" s="24"/>
    </row>
    <row r="69" spans="1:14" ht="13.8">
      <c r="A69" s="27" t="s">
        <v>277</v>
      </c>
      <c r="B69" s="27" t="s">
        <v>273</v>
      </c>
      <c r="C69" s="26">
        <f t="shared" si="0"/>
        <v>0</v>
      </c>
      <c r="D69" s="35" t="s">
        <v>278</v>
      </c>
      <c r="E69" s="183" t="s">
        <v>255</v>
      </c>
      <c r="F69" s="32">
        <f>'SP4-1'!M49</f>
        <v>0</v>
      </c>
      <c r="G69" s="35"/>
      <c r="H69" s="192">
        <f>(F69/'SP4-4'!L$44)*40</f>
        <v>0</v>
      </c>
      <c r="I69" s="35"/>
      <c r="L69" s="28"/>
      <c r="N69" s="24"/>
    </row>
    <row r="70" spans="1:14" ht="13.8">
      <c r="A70" s="27" t="s">
        <v>279</v>
      </c>
      <c r="B70" s="27" t="s">
        <v>273</v>
      </c>
      <c r="C70" s="26">
        <f t="shared" si="0"/>
        <v>0</v>
      </c>
      <c r="D70" s="35" t="s">
        <v>280</v>
      </c>
      <c r="E70" s="183" t="s">
        <v>255</v>
      </c>
      <c r="F70" s="32">
        <v>0</v>
      </c>
      <c r="G70" s="35"/>
      <c r="H70" s="192">
        <v>0</v>
      </c>
      <c r="I70" s="35"/>
      <c r="L70" s="28"/>
      <c r="N70" s="24"/>
    </row>
    <row r="71" spans="1:14" ht="13.8">
      <c r="A71" s="27" t="s">
        <v>281</v>
      </c>
      <c r="B71" s="27" t="s">
        <v>273</v>
      </c>
      <c r="C71" s="26">
        <f t="shared" si="0"/>
        <v>0</v>
      </c>
      <c r="D71" s="35" t="s">
        <v>282</v>
      </c>
      <c r="E71" s="183" t="s">
        <v>255</v>
      </c>
      <c r="F71" s="32">
        <v>0</v>
      </c>
      <c r="G71" s="35"/>
      <c r="H71" s="192">
        <v>0</v>
      </c>
      <c r="I71" s="35"/>
      <c r="L71" s="28"/>
      <c r="N71" s="24"/>
    </row>
    <row r="72" spans="1:14" ht="13.8">
      <c r="A72" s="27" t="s">
        <v>283</v>
      </c>
      <c r="B72" s="27" t="s">
        <v>273</v>
      </c>
      <c r="C72" s="26">
        <f t="shared" si="0"/>
        <v>0</v>
      </c>
      <c r="D72" s="35" t="s">
        <v>284</v>
      </c>
      <c r="E72" s="183" t="s">
        <v>255</v>
      </c>
      <c r="F72" s="32">
        <v>0</v>
      </c>
      <c r="G72" s="35"/>
      <c r="H72" s="192">
        <v>0</v>
      </c>
      <c r="I72" s="35"/>
      <c r="L72" s="28"/>
      <c r="N72" s="24"/>
    </row>
    <row r="73" spans="1:14" ht="13.8">
      <c r="A73" s="27" t="s">
        <v>285</v>
      </c>
      <c r="B73" s="27" t="s">
        <v>273</v>
      </c>
      <c r="C73" s="26">
        <f t="shared" si="0"/>
        <v>0</v>
      </c>
      <c r="D73" s="35" t="s">
        <v>286</v>
      </c>
      <c r="E73" s="183" t="s">
        <v>255</v>
      </c>
      <c r="F73" s="32">
        <v>0</v>
      </c>
      <c r="G73" s="35"/>
      <c r="H73" s="192">
        <v>0</v>
      </c>
      <c r="I73" s="35"/>
      <c r="L73" s="28"/>
      <c r="N73" s="24"/>
    </row>
    <row r="74" spans="1:14" ht="13.8">
      <c r="A74" s="27" t="s">
        <v>287</v>
      </c>
      <c r="B74" s="27" t="s">
        <v>273</v>
      </c>
      <c r="C74" s="26">
        <f t="shared" si="0"/>
        <v>0</v>
      </c>
      <c r="D74" s="35" t="s">
        <v>288</v>
      </c>
      <c r="E74" s="183" t="s">
        <v>255</v>
      </c>
      <c r="F74" s="32">
        <v>0</v>
      </c>
      <c r="G74" s="35"/>
      <c r="H74" s="192">
        <v>0</v>
      </c>
      <c r="I74" s="35"/>
      <c r="L74" s="28"/>
      <c r="N74" s="24"/>
    </row>
    <row r="75" spans="1:14" ht="13.8">
      <c r="A75" s="27" t="s">
        <v>289</v>
      </c>
      <c r="B75" s="27" t="s">
        <v>273</v>
      </c>
      <c r="C75" s="26">
        <f t="shared" si="0"/>
        <v>0</v>
      </c>
      <c r="D75" s="35" t="s">
        <v>606</v>
      </c>
      <c r="E75" s="183" t="s">
        <v>255</v>
      </c>
      <c r="F75" s="32">
        <v>0</v>
      </c>
      <c r="G75" s="35"/>
      <c r="H75" s="192">
        <v>0</v>
      </c>
      <c r="I75" s="35"/>
      <c r="L75" s="28"/>
      <c r="N75" s="24"/>
    </row>
    <row r="76" spans="1:14" ht="13.8">
      <c r="A76" s="27" t="s">
        <v>290</v>
      </c>
      <c r="B76" s="27" t="s">
        <v>273</v>
      </c>
      <c r="C76" s="26">
        <f t="shared" si="0"/>
        <v>0</v>
      </c>
      <c r="D76" s="35" t="s">
        <v>291</v>
      </c>
      <c r="E76" s="183" t="s">
        <v>255</v>
      </c>
      <c r="F76" s="32">
        <v>0</v>
      </c>
      <c r="G76" s="35"/>
      <c r="H76" s="192">
        <v>0</v>
      </c>
      <c r="I76" s="35"/>
      <c r="L76" s="28"/>
      <c r="N76" s="24"/>
    </row>
    <row r="77" spans="1:14" ht="13.8">
      <c r="A77" s="27" t="s">
        <v>292</v>
      </c>
      <c r="B77" s="27" t="s">
        <v>273</v>
      </c>
      <c r="C77" s="26">
        <f t="shared" si="0"/>
        <v>0</v>
      </c>
      <c r="D77" s="35" t="s">
        <v>293</v>
      </c>
      <c r="E77" s="183" t="s">
        <v>255</v>
      </c>
      <c r="F77" s="32">
        <v>0</v>
      </c>
      <c r="G77" s="35"/>
      <c r="H77" s="192">
        <v>0</v>
      </c>
      <c r="I77" s="35"/>
      <c r="L77" s="28"/>
      <c r="N77" s="24"/>
    </row>
    <row r="78" spans="1:14" ht="13.8">
      <c r="A78" s="27" t="s">
        <v>294</v>
      </c>
      <c r="B78" s="27" t="s">
        <v>273</v>
      </c>
      <c r="C78" s="26">
        <f t="shared" si="0"/>
        <v>0</v>
      </c>
      <c r="D78" s="35" t="s">
        <v>295</v>
      </c>
      <c r="E78" s="183" t="s">
        <v>255</v>
      </c>
      <c r="F78" s="32">
        <v>0</v>
      </c>
      <c r="G78" s="35"/>
      <c r="H78" s="192">
        <v>0</v>
      </c>
      <c r="I78" s="35"/>
      <c r="L78" s="28"/>
      <c r="N78" s="24"/>
    </row>
    <row r="79" spans="1:14" ht="13.8">
      <c r="A79" s="27" t="s">
        <v>296</v>
      </c>
      <c r="B79" s="27" t="s">
        <v>273</v>
      </c>
      <c r="C79" s="26">
        <f t="shared" si="0"/>
        <v>0</v>
      </c>
      <c r="D79" s="35" t="s">
        <v>297</v>
      </c>
      <c r="E79" s="183" t="s">
        <v>255</v>
      </c>
      <c r="F79" s="32">
        <v>0</v>
      </c>
      <c r="G79" s="35"/>
      <c r="H79" s="192">
        <v>0</v>
      </c>
      <c r="I79" s="35"/>
      <c r="L79" s="28"/>
      <c r="N79" s="24"/>
    </row>
    <row r="80" spans="1:14" ht="13.8">
      <c r="A80" s="27" t="s">
        <v>298</v>
      </c>
      <c r="B80" s="27" t="s">
        <v>273</v>
      </c>
      <c r="C80" s="26">
        <f t="shared" si="0"/>
        <v>0</v>
      </c>
      <c r="D80" s="35" t="s">
        <v>299</v>
      </c>
      <c r="E80" s="183" t="s">
        <v>255</v>
      </c>
      <c r="F80" s="32">
        <v>0</v>
      </c>
      <c r="G80" s="35"/>
      <c r="H80" s="192">
        <v>0</v>
      </c>
      <c r="I80" s="35"/>
      <c r="L80" s="28"/>
      <c r="N80" s="24"/>
    </row>
    <row r="81" spans="1:14" ht="13.8">
      <c r="A81" s="27" t="s">
        <v>300</v>
      </c>
      <c r="B81" s="27" t="s">
        <v>273</v>
      </c>
      <c r="C81" s="26">
        <f t="shared" si="0"/>
        <v>0</v>
      </c>
      <c r="D81" s="35" t="s">
        <v>301</v>
      </c>
      <c r="E81" s="183" t="s">
        <v>255</v>
      </c>
      <c r="F81" s="32">
        <v>0</v>
      </c>
      <c r="G81" s="35"/>
      <c r="H81" s="192">
        <v>0</v>
      </c>
      <c r="I81" s="35"/>
      <c r="L81" s="28"/>
      <c r="N81" s="24"/>
    </row>
    <row r="82" spans="1:14" ht="13.8">
      <c r="A82" s="27" t="s">
        <v>302</v>
      </c>
      <c r="B82" s="27" t="s">
        <v>273</v>
      </c>
      <c r="C82" s="26">
        <f t="shared" si="0"/>
        <v>0</v>
      </c>
      <c r="D82" s="35" t="s">
        <v>303</v>
      </c>
      <c r="E82" s="183" t="s">
        <v>255</v>
      </c>
      <c r="F82" s="32">
        <v>0</v>
      </c>
      <c r="G82" s="35"/>
      <c r="H82" s="192">
        <v>0</v>
      </c>
      <c r="I82" s="35"/>
      <c r="L82" s="28"/>
      <c r="N82" s="24"/>
    </row>
    <row r="83" spans="1:14" ht="13.8">
      <c r="A83" s="27" t="s">
        <v>304</v>
      </c>
      <c r="B83" s="27" t="s">
        <v>273</v>
      </c>
      <c r="C83" s="26">
        <f t="shared" si="0"/>
        <v>0</v>
      </c>
      <c r="D83" s="35" t="s">
        <v>305</v>
      </c>
      <c r="E83" s="183" t="s">
        <v>255</v>
      </c>
      <c r="F83" s="32">
        <v>0</v>
      </c>
      <c r="G83" s="35"/>
      <c r="H83" s="192">
        <v>0</v>
      </c>
      <c r="I83" s="35"/>
      <c r="L83" s="28"/>
      <c r="N83" s="24"/>
    </row>
    <row r="84" spans="1:14" ht="13.8">
      <c r="A84" s="27" t="s">
        <v>306</v>
      </c>
      <c r="B84" s="27" t="s">
        <v>273</v>
      </c>
      <c r="C84" s="26">
        <f t="shared" si="0"/>
        <v>0</v>
      </c>
      <c r="D84" s="35" t="s">
        <v>706</v>
      </c>
      <c r="E84" s="183" t="s">
        <v>255</v>
      </c>
      <c r="F84" s="38">
        <f>SUM(F66:F83)</f>
        <v>0</v>
      </c>
      <c r="G84" s="35"/>
      <c r="H84" s="38">
        <f>SUM(H66:H83)</f>
        <v>0</v>
      </c>
      <c r="I84" s="35"/>
      <c r="L84" s="28"/>
      <c r="N84" s="24"/>
    </row>
    <row r="85" spans="1:14" ht="13.8">
      <c r="A85" s="27" t="s">
        <v>307</v>
      </c>
      <c r="B85" s="27" t="s">
        <v>273</v>
      </c>
      <c r="C85" s="26">
        <f t="shared" si="0"/>
        <v>0</v>
      </c>
      <c r="D85" s="193"/>
      <c r="E85" s="35"/>
      <c r="F85" s="35"/>
      <c r="G85" s="35"/>
      <c r="H85" s="35"/>
      <c r="I85" s="35"/>
      <c r="L85" s="182"/>
      <c r="N85" s="24"/>
    </row>
    <row r="86" spans="1:14" ht="12.75" customHeight="1">
      <c r="A86" s="27" t="s">
        <v>308</v>
      </c>
      <c r="B86" s="27"/>
      <c r="C86" s="31">
        <f>F88</f>
        <v>0</v>
      </c>
      <c r="D86" s="35" t="s">
        <v>309</v>
      </c>
      <c r="E86" s="35"/>
      <c r="F86" s="478"/>
      <c r="G86" s="479"/>
      <c r="H86" s="479"/>
      <c r="I86" s="479"/>
      <c r="J86" s="480"/>
      <c r="L86" s="28"/>
      <c r="N86" s="24"/>
    </row>
    <row r="87" spans="1:14" ht="13.8">
      <c r="A87" s="27" t="s">
        <v>310</v>
      </c>
      <c r="B87" s="27"/>
      <c r="C87" s="31">
        <f>F89</f>
        <v>0</v>
      </c>
      <c r="D87" s="35"/>
      <c r="E87" s="35"/>
      <c r="F87" s="35"/>
      <c r="G87" s="35"/>
      <c r="H87" s="35"/>
      <c r="I87" s="35"/>
      <c r="L87" s="182"/>
      <c r="N87" s="24"/>
    </row>
    <row r="88" spans="1:14" ht="13.8">
      <c r="A88" s="27" t="s">
        <v>311</v>
      </c>
      <c r="B88" s="27"/>
      <c r="C88" s="31">
        <f>F90</f>
        <v>0</v>
      </c>
      <c r="D88" s="35" t="s">
        <v>312</v>
      </c>
      <c r="E88" s="35"/>
      <c r="F88" s="29">
        <f>'SP4-1'!M54</f>
        <v>0</v>
      </c>
      <c r="G88" s="35"/>
      <c r="H88" s="35"/>
      <c r="I88" s="35"/>
      <c r="L88" s="28"/>
      <c r="N88" s="24"/>
    </row>
    <row r="89" spans="1:14" ht="13.8">
      <c r="A89" s="27" t="s">
        <v>313</v>
      </c>
      <c r="B89" s="27" t="s">
        <v>314</v>
      </c>
      <c r="C89" s="31">
        <f>F92</f>
        <v>0</v>
      </c>
      <c r="D89" s="35" t="s">
        <v>315</v>
      </c>
      <c r="E89" s="35"/>
      <c r="F89" s="29">
        <v>0</v>
      </c>
      <c r="G89" s="35"/>
      <c r="H89" s="35"/>
      <c r="I89" s="35"/>
      <c r="L89" s="28"/>
      <c r="N89" s="24"/>
    </row>
    <row r="90" spans="1:14" ht="13.8">
      <c r="A90" s="27" t="s">
        <v>313</v>
      </c>
      <c r="B90" s="27" t="s">
        <v>316</v>
      </c>
      <c r="C90" s="31">
        <f>G92</f>
        <v>0</v>
      </c>
      <c r="D90" s="35" t="s">
        <v>317</v>
      </c>
      <c r="E90" s="35"/>
      <c r="F90" s="29">
        <f>'SP4-1'!M58</f>
        <v>0</v>
      </c>
      <c r="G90" s="35"/>
      <c r="H90" s="35"/>
      <c r="I90" s="35"/>
      <c r="L90" s="28"/>
      <c r="N90" s="24"/>
    </row>
    <row r="91" spans="1:14" ht="26.4">
      <c r="A91" s="30" t="s">
        <v>318</v>
      </c>
      <c r="B91" s="27"/>
      <c r="C91" s="26">
        <f>I51</f>
        <v>0</v>
      </c>
      <c r="D91" s="35"/>
      <c r="E91" s="35"/>
      <c r="F91" s="35"/>
      <c r="G91" s="35"/>
      <c r="H91" s="35"/>
      <c r="I91" s="35"/>
      <c r="L91" s="182"/>
      <c r="N91" s="24"/>
    </row>
    <row r="92" spans="1:14" ht="13.8">
      <c r="A92" s="27" t="s">
        <v>319</v>
      </c>
      <c r="B92" s="27"/>
      <c r="C92" s="26">
        <f>I52</f>
        <v>0</v>
      </c>
      <c r="D92" s="35" t="s">
        <v>320</v>
      </c>
      <c r="E92" s="35"/>
      <c r="F92" s="29">
        <v>0</v>
      </c>
      <c r="G92" s="29">
        <v>0</v>
      </c>
      <c r="H92" s="35"/>
      <c r="I92" s="35"/>
      <c r="L92" s="28"/>
      <c r="N92" s="24"/>
    </row>
    <row r="93" spans="1:14">
      <c r="A93" s="27" t="s">
        <v>321</v>
      </c>
      <c r="B93" s="27"/>
      <c r="C93" s="26">
        <f>I53</f>
        <v>0</v>
      </c>
      <c r="N93" s="24"/>
    </row>
    <row r="94" spans="1:14">
      <c r="A94" s="27" t="s">
        <v>272</v>
      </c>
      <c r="B94" s="27" t="s">
        <v>322</v>
      </c>
      <c r="C94" s="26">
        <f>H66</f>
        <v>0</v>
      </c>
      <c r="N94" s="24"/>
    </row>
    <row r="95" spans="1:14">
      <c r="A95" s="27" t="s">
        <v>275</v>
      </c>
      <c r="B95" s="27" t="s">
        <v>322</v>
      </c>
      <c r="C95" s="26">
        <f t="shared" ref="C95:C112" si="1">H67</f>
        <v>0</v>
      </c>
      <c r="N95" s="24"/>
    </row>
    <row r="96" spans="1:14">
      <c r="A96" s="27" t="s">
        <v>277</v>
      </c>
      <c r="B96" s="27" t="s">
        <v>322</v>
      </c>
      <c r="C96" s="26">
        <f t="shared" si="1"/>
        <v>0</v>
      </c>
      <c r="N96" s="24"/>
    </row>
    <row r="97" spans="1:14">
      <c r="A97" s="27" t="s">
        <v>279</v>
      </c>
      <c r="B97" s="27" t="s">
        <v>322</v>
      </c>
      <c r="C97" s="26">
        <f t="shared" si="1"/>
        <v>0</v>
      </c>
      <c r="N97" s="24"/>
    </row>
    <row r="98" spans="1:14">
      <c r="A98" s="27" t="s">
        <v>281</v>
      </c>
      <c r="B98" s="27" t="s">
        <v>322</v>
      </c>
      <c r="C98" s="26">
        <f t="shared" si="1"/>
        <v>0</v>
      </c>
      <c r="N98" s="24"/>
    </row>
    <row r="99" spans="1:14" ht="14.4">
      <c r="A99" s="27" t="s">
        <v>283</v>
      </c>
      <c r="B99" s="27" t="s">
        <v>322</v>
      </c>
      <c r="C99" s="26">
        <f t="shared" si="1"/>
        <v>0</v>
      </c>
      <c r="D99" s="175" t="s">
        <v>323</v>
      </c>
      <c r="N99" s="24"/>
    </row>
    <row r="100" spans="1:14">
      <c r="A100" s="27" t="s">
        <v>285</v>
      </c>
      <c r="B100" s="27" t="s">
        <v>322</v>
      </c>
      <c r="C100" s="26">
        <f t="shared" si="1"/>
        <v>0</v>
      </c>
      <c r="D100" s="34" t="s">
        <v>324</v>
      </c>
      <c r="N100" s="24"/>
    </row>
    <row r="101" spans="1:14">
      <c r="A101" s="27" t="s">
        <v>287</v>
      </c>
      <c r="B101" s="27" t="s">
        <v>322</v>
      </c>
      <c r="C101" s="26">
        <f t="shared" si="1"/>
        <v>0</v>
      </c>
      <c r="D101" s="34" t="s">
        <v>325</v>
      </c>
      <c r="N101" s="24"/>
    </row>
    <row r="102" spans="1:14">
      <c r="A102" s="27" t="s">
        <v>289</v>
      </c>
      <c r="B102" s="27" t="s">
        <v>322</v>
      </c>
      <c r="C102" s="26">
        <f t="shared" si="1"/>
        <v>0</v>
      </c>
      <c r="D102" s="34" t="s">
        <v>326</v>
      </c>
      <c r="N102" s="24"/>
    </row>
    <row r="103" spans="1:14">
      <c r="A103" s="27" t="s">
        <v>290</v>
      </c>
      <c r="B103" s="27" t="s">
        <v>322</v>
      </c>
      <c r="C103" s="26">
        <f t="shared" si="1"/>
        <v>0</v>
      </c>
      <c r="D103" s="34" t="s">
        <v>327</v>
      </c>
      <c r="N103" s="24"/>
    </row>
    <row r="104" spans="1:14">
      <c r="A104" s="27" t="s">
        <v>292</v>
      </c>
      <c r="B104" s="27" t="s">
        <v>322</v>
      </c>
      <c r="C104" s="26">
        <f t="shared" si="1"/>
        <v>0</v>
      </c>
      <c r="D104" s="34" t="s">
        <v>328</v>
      </c>
      <c r="N104" s="24"/>
    </row>
    <row r="105" spans="1:14">
      <c r="A105" s="27" t="s">
        <v>294</v>
      </c>
      <c r="B105" s="27" t="s">
        <v>322</v>
      </c>
      <c r="C105" s="26">
        <f t="shared" si="1"/>
        <v>0</v>
      </c>
      <c r="N105" s="24"/>
    </row>
    <row r="106" spans="1:14">
      <c r="A106" s="27" t="s">
        <v>296</v>
      </c>
      <c r="B106" s="27" t="s">
        <v>322</v>
      </c>
      <c r="C106" s="26">
        <f t="shared" si="1"/>
        <v>0</v>
      </c>
      <c r="N106" s="24"/>
    </row>
    <row r="107" spans="1:14">
      <c r="A107" s="27" t="s">
        <v>298</v>
      </c>
      <c r="B107" s="27" t="s">
        <v>322</v>
      </c>
      <c r="C107" s="26">
        <f t="shared" si="1"/>
        <v>0</v>
      </c>
      <c r="N107" s="24"/>
    </row>
    <row r="108" spans="1:14">
      <c r="A108" s="27" t="s">
        <v>300</v>
      </c>
      <c r="B108" s="27" t="s">
        <v>322</v>
      </c>
      <c r="C108" s="26">
        <f t="shared" si="1"/>
        <v>0</v>
      </c>
      <c r="N108" s="24"/>
    </row>
    <row r="109" spans="1:14">
      <c r="A109" s="27" t="s">
        <v>302</v>
      </c>
      <c r="B109" s="27" t="s">
        <v>322</v>
      </c>
      <c r="C109" s="26">
        <f t="shared" si="1"/>
        <v>0</v>
      </c>
      <c r="N109" s="24"/>
    </row>
    <row r="110" spans="1:14">
      <c r="A110" s="27" t="s">
        <v>304</v>
      </c>
      <c r="B110" s="27" t="s">
        <v>322</v>
      </c>
      <c r="C110" s="26">
        <f t="shared" si="1"/>
        <v>0</v>
      </c>
      <c r="N110" s="24"/>
    </row>
    <row r="111" spans="1:14">
      <c r="A111" s="27" t="s">
        <v>306</v>
      </c>
      <c r="B111" s="27" t="s">
        <v>322</v>
      </c>
      <c r="C111" s="26">
        <f t="shared" si="1"/>
        <v>0</v>
      </c>
      <c r="N111" s="24"/>
    </row>
    <row r="112" spans="1:14">
      <c r="A112" s="27" t="s">
        <v>307</v>
      </c>
      <c r="B112" s="27" t="s">
        <v>322</v>
      </c>
      <c r="C112" s="26">
        <f t="shared" si="1"/>
        <v>0</v>
      </c>
      <c r="N112" s="24"/>
    </row>
    <row r="113" spans="14:14">
      <c r="N113" s="24"/>
    </row>
    <row r="114" spans="14:14">
      <c r="N114" s="24"/>
    </row>
    <row r="115" spans="14:14">
      <c r="N115" s="24"/>
    </row>
    <row r="116" spans="14:14">
      <c r="N116" s="24"/>
    </row>
    <row r="117" spans="14:14">
      <c r="N117" s="24"/>
    </row>
    <row r="118" spans="14:14">
      <c r="N118" s="24"/>
    </row>
    <row r="119" spans="14:14">
      <c r="N119" s="24"/>
    </row>
    <row r="120" spans="14:14">
      <c r="N120" s="24"/>
    </row>
    <row r="121" spans="14:14">
      <c r="N121" s="24"/>
    </row>
    <row r="122" spans="14:14">
      <c r="N122" s="24"/>
    </row>
    <row r="123" spans="14:14">
      <c r="N123" s="24"/>
    </row>
    <row r="124" spans="14:14">
      <c r="N124" s="24"/>
    </row>
    <row r="125" spans="14:14">
      <c r="N125" s="24"/>
    </row>
    <row r="126" spans="14:14">
      <c r="N126" s="24"/>
    </row>
    <row r="127" spans="14:14">
      <c r="N127" s="24"/>
    </row>
    <row r="128" spans="14:14">
      <c r="N128" s="24"/>
    </row>
    <row r="129" spans="14:14">
      <c r="N129" s="24"/>
    </row>
    <row r="130" spans="14:14">
      <c r="N130" s="24"/>
    </row>
    <row r="131" spans="14:14">
      <c r="N131" s="24"/>
    </row>
    <row r="132" spans="14:14">
      <c r="N132" s="24"/>
    </row>
    <row r="133" spans="14:14">
      <c r="N133" s="24"/>
    </row>
    <row r="134" spans="14:14">
      <c r="N134" s="24"/>
    </row>
    <row r="135" spans="14:14">
      <c r="N135" s="24"/>
    </row>
    <row r="136" spans="14:14">
      <c r="N136" s="24"/>
    </row>
    <row r="137" spans="14:14">
      <c r="N137" s="24"/>
    </row>
    <row r="138" spans="14:14">
      <c r="N138" s="24"/>
    </row>
    <row r="139" spans="14:14">
      <c r="N139" s="24"/>
    </row>
    <row r="140" spans="14:14">
      <c r="N140" s="24"/>
    </row>
    <row r="141" spans="14:14">
      <c r="N141" s="24"/>
    </row>
    <row r="142" spans="14:14">
      <c r="N142" s="24"/>
    </row>
    <row r="143" spans="14:14">
      <c r="N143" s="24"/>
    </row>
    <row r="144" spans="14:14">
      <c r="N144" s="24"/>
    </row>
    <row r="145" spans="14:14">
      <c r="N145" s="24"/>
    </row>
    <row r="146" spans="14:14">
      <c r="N146" s="24"/>
    </row>
    <row r="147" spans="14:14">
      <c r="N147" s="24"/>
    </row>
    <row r="148" spans="14:14">
      <c r="N148" s="24"/>
    </row>
    <row r="149" spans="14:14">
      <c r="N149" s="24"/>
    </row>
    <row r="150" spans="14:14">
      <c r="N150" s="24"/>
    </row>
    <row r="151" spans="14:14">
      <c r="N151" s="24"/>
    </row>
    <row r="152" spans="14:14">
      <c r="N152" s="24"/>
    </row>
    <row r="153" spans="14:14">
      <c r="N153" s="24"/>
    </row>
    <row r="154" spans="14:14">
      <c r="N154" s="24"/>
    </row>
    <row r="155" spans="14:14">
      <c r="N155" s="24"/>
    </row>
    <row r="156" spans="14:14">
      <c r="N156" s="24"/>
    </row>
    <row r="157" spans="14:14">
      <c r="N157" s="24"/>
    </row>
    <row r="158" spans="14:14">
      <c r="N158" s="24"/>
    </row>
    <row r="159" spans="14:14">
      <c r="N159" s="24"/>
    </row>
    <row r="160" spans="14:14">
      <c r="N160" s="24"/>
    </row>
    <row r="161" spans="14:14">
      <c r="N161" s="24"/>
    </row>
    <row r="162" spans="14:14">
      <c r="N162" s="24"/>
    </row>
    <row r="163" spans="14:14">
      <c r="N163" s="24"/>
    </row>
    <row r="164" spans="14:14">
      <c r="N164" s="24"/>
    </row>
    <row r="165" spans="14:14">
      <c r="N165" s="24"/>
    </row>
    <row r="166" spans="14:14">
      <c r="N166" s="24"/>
    </row>
    <row r="167" spans="14:14">
      <c r="N167" s="24"/>
    </row>
    <row r="168" spans="14:14">
      <c r="N168" s="24"/>
    </row>
    <row r="169" spans="14:14">
      <c r="N169" s="24"/>
    </row>
    <row r="170" spans="14:14">
      <c r="N170" s="24"/>
    </row>
    <row r="171" spans="14:14">
      <c r="N171" s="24"/>
    </row>
    <row r="172" spans="14:14">
      <c r="N172" s="24"/>
    </row>
    <row r="173" spans="14:14">
      <c r="N173" s="24"/>
    </row>
    <row r="174" spans="14:14">
      <c r="N174" s="24"/>
    </row>
    <row r="175" spans="14:14">
      <c r="N175" s="24"/>
    </row>
    <row r="176" spans="14:14">
      <c r="N176" s="24"/>
    </row>
    <row r="177" spans="14:14">
      <c r="N177" s="24"/>
    </row>
    <row r="178" spans="14:14">
      <c r="N178" s="24"/>
    </row>
    <row r="179" spans="14:14">
      <c r="N179" s="24"/>
    </row>
    <row r="180" spans="14:14">
      <c r="N180" s="24"/>
    </row>
    <row r="181" spans="14:14">
      <c r="N181" s="24"/>
    </row>
    <row r="182" spans="14:14">
      <c r="N182" s="24"/>
    </row>
    <row r="183" spans="14:14">
      <c r="N183" s="24"/>
    </row>
    <row r="184" spans="14:14">
      <c r="N184" s="24"/>
    </row>
    <row r="185" spans="14:14">
      <c r="N185" s="24"/>
    </row>
    <row r="186" spans="14:14">
      <c r="N186" s="24"/>
    </row>
    <row r="187" spans="14:14">
      <c r="N187" s="24"/>
    </row>
    <row r="188" spans="14:14">
      <c r="N188" s="24"/>
    </row>
    <row r="189" spans="14:14">
      <c r="N189" s="24"/>
    </row>
    <row r="190" spans="14:14">
      <c r="N190" s="24"/>
    </row>
    <row r="191" spans="14:14">
      <c r="N191" s="24"/>
    </row>
    <row r="192" spans="14:14">
      <c r="N192" s="24"/>
    </row>
    <row r="193" spans="14:14">
      <c r="N193" s="24"/>
    </row>
    <row r="194" spans="14:14">
      <c r="N194" s="24"/>
    </row>
    <row r="195" spans="14:14">
      <c r="N195" s="24"/>
    </row>
    <row r="196" spans="14:14">
      <c r="N196" s="24"/>
    </row>
    <row r="197" spans="14:14">
      <c r="N197" s="24"/>
    </row>
    <row r="198" spans="14:14">
      <c r="N198" s="24"/>
    </row>
    <row r="199" spans="14:14">
      <c r="N199" s="24"/>
    </row>
    <row r="200" spans="14:14">
      <c r="N200" s="24"/>
    </row>
    <row r="201" spans="14:14">
      <c r="N201" s="24"/>
    </row>
    <row r="202" spans="14:14">
      <c r="N202" s="24"/>
    </row>
    <row r="203" spans="14:14">
      <c r="N203" s="24"/>
    </row>
    <row r="204" spans="14:14">
      <c r="N204" s="24"/>
    </row>
    <row r="205" spans="14:14">
      <c r="N205" s="24"/>
    </row>
    <row r="206" spans="14:14">
      <c r="N206" s="24"/>
    </row>
    <row r="207" spans="14:14">
      <c r="N207" s="24"/>
    </row>
    <row r="208" spans="14:14">
      <c r="N208" s="24"/>
    </row>
    <row r="209" spans="14:14">
      <c r="N209" s="24"/>
    </row>
    <row r="210" spans="14:14">
      <c r="N210" s="24"/>
    </row>
    <row r="211" spans="14:14">
      <c r="N211" s="24"/>
    </row>
    <row r="212" spans="14:14">
      <c r="N212" s="24"/>
    </row>
    <row r="213" spans="14:14">
      <c r="N213" s="24"/>
    </row>
    <row r="214" spans="14:14">
      <c r="N214" s="24"/>
    </row>
    <row r="215" spans="14:14">
      <c r="N215" s="24"/>
    </row>
    <row r="216" spans="14:14">
      <c r="N216" s="24"/>
    </row>
    <row r="217" spans="14:14">
      <c r="N217" s="24"/>
    </row>
    <row r="218" spans="14:14">
      <c r="N218" s="24"/>
    </row>
    <row r="219" spans="14:14">
      <c r="N219" s="24"/>
    </row>
    <row r="220" spans="14:14">
      <c r="N220" s="24"/>
    </row>
    <row r="221" spans="14:14">
      <c r="N221" s="24"/>
    </row>
    <row r="222" spans="14:14">
      <c r="N222" s="24"/>
    </row>
    <row r="223" spans="14:14">
      <c r="N223" s="24"/>
    </row>
    <row r="224" spans="14:14">
      <c r="N224" s="24"/>
    </row>
    <row r="225" spans="14:14">
      <c r="N225" s="24"/>
    </row>
    <row r="226" spans="14:14">
      <c r="N226" s="24"/>
    </row>
    <row r="227" spans="14:14">
      <c r="N227" s="24"/>
    </row>
    <row r="228" spans="14:14">
      <c r="N228" s="24"/>
    </row>
    <row r="229" spans="14:14">
      <c r="N229" s="24"/>
    </row>
    <row r="230" spans="14:14">
      <c r="N230" s="24"/>
    </row>
    <row r="231" spans="14:14">
      <c r="N231" s="24"/>
    </row>
    <row r="232" spans="14:14">
      <c r="N232" s="24"/>
    </row>
    <row r="233" spans="14:14">
      <c r="N233" s="24"/>
    </row>
    <row r="234" spans="14:14">
      <c r="N234" s="24"/>
    </row>
    <row r="235" spans="14:14">
      <c r="N235" s="24"/>
    </row>
    <row r="236" spans="14:14">
      <c r="N236" s="24"/>
    </row>
    <row r="237" spans="14:14">
      <c r="N237" s="24"/>
    </row>
    <row r="238" spans="14:14">
      <c r="N238" s="24"/>
    </row>
    <row r="239" spans="14:14">
      <c r="N239" s="24"/>
    </row>
    <row r="240" spans="14:14">
      <c r="N240" s="24"/>
    </row>
    <row r="241" spans="14:14">
      <c r="N241" s="24"/>
    </row>
    <row r="242" spans="14:14">
      <c r="N242" s="24"/>
    </row>
    <row r="243" spans="14:14">
      <c r="N243" s="24"/>
    </row>
    <row r="244" spans="14:14">
      <c r="N244" s="24"/>
    </row>
    <row r="245" spans="14:14">
      <c r="N245" s="24"/>
    </row>
    <row r="246" spans="14:14">
      <c r="N246" s="24"/>
    </row>
    <row r="247" spans="14:14">
      <c r="N247" s="24"/>
    </row>
    <row r="248" spans="14:14">
      <c r="N248" s="24"/>
    </row>
    <row r="249" spans="14:14">
      <c r="N249" s="24"/>
    </row>
    <row r="250" spans="14:14">
      <c r="N250" s="24"/>
    </row>
    <row r="251" spans="14:14">
      <c r="N251" s="24"/>
    </row>
    <row r="252" spans="14:14">
      <c r="N252" s="24"/>
    </row>
    <row r="253" spans="14:14">
      <c r="N253" s="24"/>
    </row>
    <row r="254" spans="14:14">
      <c r="N254" s="24"/>
    </row>
    <row r="255" spans="14:14">
      <c r="N255" s="24"/>
    </row>
    <row r="256" spans="14:14">
      <c r="N256" s="24"/>
    </row>
    <row r="257" spans="14:14">
      <c r="N257" s="24"/>
    </row>
    <row r="258" spans="14:14">
      <c r="N258" s="24"/>
    </row>
    <row r="259" spans="14:14">
      <c r="N259" s="24"/>
    </row>
    <row r="260" spans="14:14">
      <c r="N260" s="24"/>
    </row>
    <row r="261" spans="14:14">
      <c r="N261" s="24"/>
    </row>
    <row r="262" spans="14:14">
      <c r="N262" s="24"/>
    </row>
    <row r="263" spans="14:14">
      <c r="N263" s="24"/>
    </row>
    <row r="264" spans="14:14">
      <c r="N264" s="24"/>
    </row>
    <row r="265" spans="14:14">
      <c r="N265" s="24"/>
    </row>
    <row r="266" spans="14:14">
      <c r="N266" s="24"/>
    </row>
    <row r="267" spans="14:14">
      <c r="N267" s="24"/>
    </row>
    <row r="268" spans="14:14">
      <c r="N268" s="24"/>
    </row>
    <row r="269" spans="14:14">
      <c r="N269" s="24"/>
    </row>
    <row r="270" spans="14:14">
      <c r="N270" s="24"/>
    </row>
    <row r="271" spans="14:14">
      <c r="N271" s="24"/>
    </row>
    <row r="272" spans="14:14">
      <c r="N272" s="24"/>
    </row>
    <row r="273" spans="14:14">
      <c r="N273" s="24"/>
    </row>
    <row r="274" spans="14:14">
      <c r="N274" s="24"/>
    </row>
    <row r="275" spans="14:14">
      <c r="N275" s="24"/>
    </row>
    <row r="276" spans="14:14">
      <c r="N276" s="24"/>
    </row>
    <row r="277" spans="14:14">
      <c r="N277" s="24"/>
    </row>
    <row r="278" spans="14:14">
      <c r="N278" s="24"/>
    </row>
    <row r="279" spans="14:14">
      <c r="N279" s="24"/>
    </row>
    <row r="280" spans="14:14">
      <c r="N280" s="24"/>
    </row>
    <row r="281" spans="14:14">
      <c r="N281" s="24"/>
    </row>
    <row r="282" spans="14:14">
      <c r="N282" s="24"/>
    </row>
    <row r="283" spans="14:14">
      <c r="N283" s="24"/>
    </row>
    <row r="284" spans="14:14">
      <c r="N284" s="24"/>
    </row>
    <row r="285" spans="14:14">
      <c r="N285" s="24"/>
    </row>
    <row r="286" spans="14:14">
      <c r="N286" s="24"/>
    </row>
    <row r="287" spans="14:14">
      <c r="N287" s="24"/>
    </row>
    <row r="288" spans="14:14">
      <c r="N288" s="24"/>
    </row>
    <row r="289" spans="14:14">
      <c r="N289" s="24"/>
    </row>
    <row r="290" spans="14:14">
      <c r="N290" s="24"/>
    </row>
    <row r="291" spans="14:14">
      <c r="N291" s="24"/>
    </row>
    <row r="292" spans="14:14">
      <c r="N292" s="24"/>
    </row>
    <row r="293" spans="14:14">
      <c r="N293" s="24"/>
    </row>
    <row r="294" spans="14:14">
      <c r="N294" s="24"/>
    </row>
    <row r="295" spans="14:14">
      <c r="N295" s="24"/>
    </row>
    <row r="296" spans="14:14">
      <c r="N296" s="24"/>
    </row>
    <row r="297" spans="14:14">
      <c r="N297" s="24"/>
    </row>
    <row r="298" spans="14:14">
      <c r="N298" s="24"/>
    </row>
    <row r="299" spans="14:14">
      <c r="N299" s="24"/>
    </row>
    <row r="300" spans="14:14">
      <c r="N300" s="24"/>
    </row>
    <row r="301" spans="14:14">
      <c r="N301" s="24"/>
    </row>
    <row r="302" spans="14:14">
      <c r="N302" s="24"/>
    </row>
    <row r="303" spans="14:14">
      <c r="N303" s="24"/>
    </row>
    <row r="304" spans="14:14">
      <c r="N304" s="24"/>
    </row>
    <row r="305" spans="14:14">
      <c r="N305" s="24"/>
    </row>
    <row r="306" spans="14:14">
      <c r="N306" s="24"/>
    </row>
    <row r="307" spans="14:14">
      <c r="N307" s="24"/>
    </row>
    <row r="308" spans="14:14">
      <c r="N308" s="24"/>
    </row>
    <row r="309" spans="14:14">
      <c r="N309" s="24"/>
    </row>
    <row r="310" spans="14:14">
      <c r="N310" s="24"/>
    </row>
    <row r="311" spans="14:14">
      <c r="N311" s="24"/>
    </row>
    <row r="312" spans="14:14">
      <c r="N312" s="24"/>
    </row>
    <row r="313" spans="14:14">
      <c r="N313" s="24"/>
    </row>
    <row r="314" spans="14:14">
      <c r="N314" s="24"/>
    </row>
    <row r="315" spans="14:14">
      <c r="N315" s="24"/>
    </row>
    <row r="316" spans="14:14">
      <c r="N316" s="24"/>
    </row>
    <row r="317" spans="14:14">
      <c r="N317" s="24"/>
    </row>
    <row r="318" spans="14:14">
      <c r="N318" s="24"/>
    </row>
    <row r="319" spans="14:14">
      <c r="N319" s="24"/>
    </row>
    <row r="320" spans="14:14">
      <c r="N320" s="24"/>
    </row>
    <row r="321" spans="14:14">
      <c r="N321" s="24"/>
    </row>
    <row r="322" spans="14:14">
      <c r="N322" s="24"/>
    </row>
    <row r="323" spans="14:14">
      <c r="N323" s="24"/>
    </row>
    <row r="324" spans="14:14">
      <c r="N324" s="24"/>
    </row>
    <row r="325" spans="14:14">
      <c r="N325" s="24"/>
    </row>
    <row r="326" spans="14:14">
      <c r="N326" s="24"/>
    </row>
    <row r="327" spans="14:14">
      <c r="N327" s="24"/>
    </row>
    <row r="328" spans="14:14">
      <c r="N328" s="24"/>
    </row>
    <row r="329" spans="14:14">
      <c r="N329" s="24"/>
    </row>
    <row r="330" spans="14:14">
      <c r="N330" s="24"/>
    </row>
    <row r="331" spans="14:14">
      <c r="N331" s="24"/>
    </row>
    <row r="332" spans="14:14">
      <c r="N332" s="24"/>
    </row>
    <row r="333" spans="14:14">
      <c r="N333" s="24"/>
    </row>
    <row r="334" spans="14:14">
      <c r="N334" s="24"/>
    </row>
    <row r="335" spans="14:14">
      <c r="N335" s="24"/>
    </row>
    <row r="336" spans="14:14">
      <c r="N336" s="24"/>
    </row>
    <row r="337" spans="14:14">
      <c r="N337" s="24"/>
    </row>
    <row r="338" spans="14:14">
      <c r="N338" s="24"/>
    </row>
    <row r="339" spans="14:14">
      <c r="N339" s="24"/>
    </row>
    <row r="340" spans="14:14">
      <c r="N340" s="24"/>
    </row>
    <row r="341" spans="14:14">
      <c r="N341" s="24"/>
    </row>
    <row r="342" spans="14:14">
      <c r="N342" s="24"/>
    </row>
    <row r="343" spans="14:14">
      <c r="N343" s="24"/>
    </row>
    <row r="344" spans="14:14">
      <c r="N344" s="24"/>
    </row>
    <row r="345" spans="14:14">
      <c r="N345" s="24"/>
    </row>
    <row r="346" spans="14:14">
      <c r="N346" s="24"/>
    </row>
    <row r="347" spans="14:14">
      <c r="N347" s="24"/>
    </row>
    <row r="348" spans="14:14">
      <c r="N348" s="24"/>
    </row>
    <row r="349" spans="14:14">
      <c r="N349" s="24"/>
    </row>
    <row r="350" spans="14:14">
      <c r="N350" s="24"/>
    </row>
    <row r="351" spans="14:14">
      <c r="N351" s="24"/>
    </row>
    <row r="352" spans="14:14">
      <c r="N352" s="24"/>
    </row>
    <row r="353" spans="14:14">
      <c r="N353" s="24"/>
    </row>
    <row r="354" spans="14:14">
      <c r="N354" s="24"/>
    </row>
    <row r="355" spans="14:14">
      <c r="N355" s="24"/>
    </row>
    <row r="356" spans="14:14">
      <c r="N356" s="24"/>
    </row>
    <row r="357" spans="14:14">
      <c r="N357" s="24"/>
    </row>
    <row r="358" spans="14:14">
      <c r="N358" s="24"/>
    </row>
    <row r="359" spans="14:14">
      <c r="N359" s="24"/>
    </row>
    <row r="360" spans="14:14">
      <c r="N360" s="24"/>
    </row>
    <row r="361" spans="14:14">
      <c r="N361" s="24"/>
    </row>
    <row r="362" spans="14:14">
      <c r="N362" s="24"/>
    </row>
    <row r="363" spans="14:14">
      <c r="N363" s="24"/>
    </row>
    <row r="364" spans="14:14">
      <c r="N364" s="24"/>
    </row>
    <row r="365" spans="14:14">
      <c r="N365" s="24"/>
    </row>
  </sheetData>
  <sheetProtection selectLockedCells="1"/>
  <mergeCells count="11">
    <mergeCell ref="F15:J15"/>
    <mergeCell ref="F3:H3"/>
    <mergeCell ref="F4:H4"/>
    <mergeCell ref="F6:H6"/>
    <mergeCell ref="F7:H7"/>
    <mergeCell ref="F14:J14"/>
    <mergeCell ref="F16:J16"/>
    <mergeCell ref="F17:J17"/>
    <mergeCell ref="F18:J18"/>
    <mergeCell ref="F19:J19"/>
    <mergeCell ref="F86:J86"/>
  </mergeCells>
  <pageMargins left="1.1811023622047245" right="0.78740157480314965" top="0.78740157480314965" bottom="0.78740157480314965" header="0.51181102362204722" footer="0.51181102362204722"/>
  <pageSetup paperSize="9" scale="62" orientation="portrait" r:id="rId1"/>
  <headerFooter scaleWithDoc="0" alignWithMargins="0">
    <oddHeader>&amp;L&amp;"-,Regular"&amp;8&amp;F&amp;R&amp;"-,Regular"&amp;8&amp;A</oddHeader>
  </headerFooter>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1BD8CACA-8E12-4BED-8534-586095A78D12}">
  <sheetPr>
    <tabColor theme="0"/>
  </sheetPr>
  <dimension ref="A1:WWE55"/>
  <sheetViews>
    <sheetView workbookViewId="0">
      <selection activeCell="P15" sqref="P15:Q15"/>
    </sheetView>
  </sheetViews>
  <sheetFormatPr defaultColWidth="0" defaultRowHeight="13.2" zeroHeight="1"/>
  <cols>
    <col min="1" max="2" width="9" style="24" customWidth="1"/>
    <col min="3" max="3" width="40.59765625" style="24" customWidth="1"/>
    <col min="4" max="16" width="9" style="24" customWidth="1"/>
    <col min="17" max="17" width="10.5" style="24" customWidth="1"/>
    <col min="18" max="18" width="7.69921875" style="128" customWidth="1"/>
    <col min="19" max="23" width="7.69921875" style="128" hidden="1"/>
    <col min="24" max="258" width="9" style="24" hidden="1"/>
    <col min="259" max="259" width="37.19921875" style="24" hidden="1"/>
    <col min="260" max="273" width="9" style="24" hidden="1"/>
    <col min="274" max="279" width="7.69921875" style="24" hidden="1"/>
    <col min="280" max="514" width="9" style="24" hidden="1"/>
    <col min="515" max="515" width="37.19921875" style="24" hidden="1"/>
    <col min="516" max="529" width="9" style="24" hidden="1"/>
    <col min="530" max="535" width="7.69921875" style="24" hidden="1"/>
    <col min="536" max="770" width="9" style="24" hidden="1"/>
    <col min="771" max="771" width="37.19921875" style="24" hidden="1"/>
    <col min="772" max="785" width="9" style="24" hidden="1"/>
    <col min="786" max="791" width="7.69921875" style="24" hidden="1"/>
    <col min="792" max="1026" width="9" style="24" hidden="1"/>
    <col min="1027" max="1027" width="37.19921875" style="24" hidden="1"/>
    <col min="1028" max="1041" width="9" style="24" hidden="1"/>
    <col min="1042" max="1047" width="7.69921875" style="24" hidden="1"/>
    <col min="1048" max="1282" width="9" style="24" hidden="1"/>
    <col min="1283" max="1283" width="37.19921875" style="24" hidden="1"/>
    <col min="1284" max="1297" width="9" style="24" hidden="1"/>
    <col min="1298" max="1303" width="7.69921875" style="24" hidden="1"/>
    <col min="1304" max="1538" width="9" style="24" hidden="1"/>
    <col min="1539" max="1539" width="37.19921875" style="24" hidden="1"/>
    <col min="1540" max="1553" width="9" style="24" hidden="1"/>
    <col min="1554" max="1559" width="7.69921875" style="24" hidden="1"/>
    <col min="1560" max="1794" width="9" style="24" hidden="1"/>
    <col min="1795" max="1795" width="37.19921875" style="24" hidden="1"/>
    <col min="1796" max="1809" width="9" style="24" hidden="1"/>
    <col min="1810" max="1815" width="7.69921875" style="24" hidden="1"/>
    <col min="1816" max="2050" width="9" style="24" hidden="1"/>
    <col min="2051" max="2051" width="37.19921875" style="24" hidden="1"/>
    <col min="2052" max="2065" width="9" style="24" hidden="1"/>
    <col min="2066" max="2071" width="7.69921875" style="24" hidden="1"/>
    <col min="2072" max="2306" width="9" style="24" hidden="1"/>
    <col min="2307" max="2307" width="37.19921875" style="24" hidden="1"/>
    <col min="2308" max="2321" width="9" style="24" hidden="1"/>
    <col min="2322" max="2327" width="7.69921875" style="24" hidden="1"/>
    <col min="2328" max="2562" width="9" style="24" hidden="1"/>
    <col min="2563" max="2563" width="37.19921875" style="24" hidden="1"/>
    <col min="2564" max="2577" width="9" style="24" hidden="1"/>
    <col min="2578" max="2583" width="7.69921875" style="24" hidden="1"/>
    <col min="2584" max="2818" width="9" style="24" hidden="1"/>
    <col min="2819" max="2819" width="37.19921875" style="24" hidden="1"/>
    <col min="2820" max="2833" width="9" style="24" hidden="1"/>
    <col min="2834" max="2839" width="7.69921875" style="24" hidden="1"/>
    <col min="2840" max="3074" width="9" style="24" hidden="1"/>
    <col min="3075" max="3075" width="37.19921875" style="24" hidden="1"/>
    <col min="3076" max="3089" width="9" style="24" hidden="1"/>
    <col min="3090" max="3095" width="7.69921875" style="24" hidden="1"/>
    <col min="3096" max="3330" width="9" style="24" hidden="1"/>
    <col min="3331" max="3331" width="37.19921875" style="24" hidden="1"/>
    <col min="3332" max="3345" width="9" style="24" hidden="1"/>
    <col min="3346" max="3351" width="7.69921875" style="24" hidden="1"/>
    <col min="3352" max="3586" width="9" style="24" hidden="1"/>
    <col min="3587" max="3587" width="37.19921875" style="24" hidden="1"/>
    <col min="3588" max="3601" width="9" style="24" hidden="1"/>
    <col min="3602" max="3607" width="7.69921875" style="24" hidden="1"/>
    <col min="3608" max="3842" width="9" style="24" hidden="1"/>
    <col min="3843" max="3843" width="37.19921875" style="24" hidden="1"/>
    <col min="3844" max="3857" width="9" style="24" hidden="1"/>
    <col min="3858" max="3863" width="7.69921875" style="24" hidden="1"/>
    <col min="3864" max="4098" width="9" style="24" hidden="1"/>
    <col min="4099" max="4099" width="37.19921875" style="24" hidden="1"/>
    <col min="4100" max="4113" width="9" style="24" hidden="1"/>
    <col min="4114" max="4119" width="7.69921875" style="24" hidden="1"/>
    <col min="4120" max="4354" width="9" style="24" hidden="1"/>
    <col min="4355" max="4355" width="37.19921875" style="24" hidden="1"/>
    <col min="4356" max="4369" width="9" style="24" hidden="1"/>
    <col min="4370" max="4375" width="7.69921875" style="24" hidden="1"/>
    <col min="4376" max="4610" width="9" style="24" hidden="1"/>
    <col min="4611" max="4611" width="37.19921875" style="24" hidden="1"/>
    <col min="4612" max="4625" width="9" style="24" hidden="1"/>
    <col min="4626" max="4631" width="7.69921875" style="24" hidden="1"/>
    <col min="4632" max="4866" width="9" style="24" hidden="1"/>
    <col min="4867" max="4867" width="37.19921875" style="24" hidden="1"/>
    <col min="4868" max="4881" width="9" style="24" hidden="1"/>
    <col min="4882" max="4887" width="7.69921875" style="24" hidden="1"/>
    <col min="4888" max="5122" width="9" style="24" hidden="1"/>
    <col min="5123" max="5123" width="37.19921875" style="24" hidden="1"/>
    <col min="5124" max="5137" width="9" style="24" hidden="1"/>
    <col min="5138" max="5143" width="7.69921875" style="24" hidden="1"/>
    <col min="5144" max="5378" width="9" style="24" hidden="1"/>
    <col min="5379" max="5379" width="37.19921875" style="24" hidden="1"/>
    <col min="5380" max="5393" width="9" style="24" hidden="1"/>
    <col min="5394" max="5399" width="7.69921875" style="24" hidden="1"/>
    <col min="5400" max="5634" width="9" style="24" hidden="1"/>
    <col min="5635" max="5635" width="37.19921875" style="24" hidden="1"/>
    <col min="5636" max="5649" width="9" style="24" hidden="1"/>
    <col min="5650" max="5655" width="7.69921875" style="24" hidden="1"/>
    <col min="5656" max="5890" width="9" style="24" hidden="1"/>
    <col min="5891" max="5891" width="37.19921875" style="24" hidden="1"/>
    <col min="5892" max="5905" width="9" style="24" hidden="1"/>
    <col min="5906" max="5911" width="7.69921875" style="24" hidden="1"/>
    <col min="5912" max="6146" width="9" style="24" hidden="1"/>
    <col min="6147" max="6147" width="37.19921875" style="24" hidden="1"/>
    <col min="6148" max="6161" width="9" style="24" hidden="1"/>
    <col min="6162" max="6167" width="7.69921875" style="24" hidden="1"/>
    <col min="6168" max="6402" width="9" style="24" hidden="1"/>
    <col min="6403" max="6403" width="37.19921875" style="24" hidden="1"/>
    <col min="6404" max="6417" width="9" style="24" hidden="1"/>
    <col min="6418" max="6423" width="7.69921875" style="24" hidden="1"/>
    <col min="6424" max="6658" width="9" style="24" hidden="1"/>
    <col min="6659" max="6659" width="37.19921875" style="24" hidden="1"/>
    <col min="6660" max="6673" width="9" style="24" hidden="1"/>
    <col min="6674" max="6679" width="7.69921875" style="24" hidden="1"/>
    <col min="6680" max="6914" width="9" style="24" hidden="1"/>
    <col min="6915" max="6915" width="37.19921875" style="24" hidden="1"/>
    <col min="6916" max="6929" width="9" style="24" hidden="1"/>
    <col min="6930" max="6935" width="7.69921875" style="24" hidden="1"/>
    <col min="6936" max="7170" width="9" style="24" hidden="1"/>
    <col min="7171" max="7171" width="37.19921875" style="24" hidden="1"/>
    <col min="7172" max="7185" width="9" style="24" hidden="1"/>
    <col min="7186" max="7191" width="7.69921875" style="24" hidden="1"/>
    <col min="7192" max="7426" width="9" style="24" hidden="1"/>
    <col min="7427" max="7427" width="37.19921875" style="24" hidden="1"/>
    <col min="7428" max="7441" width="9" style="24" hidden="1"/>
    <col min="7442" max="7447" width="7.69921875" style="24" hidden="1"/>
    <col min="7448" max="7682" width="9" style="24" hidden="1"/>
    <col min="7683" max="7683" width="37.19921875" style="24" hidden="1"/>
    <col min="7684" max="7697" width="9" style="24" hidden="1"/>
    <col min="7698" max="7703" width="7.69921875" style="24" hidden="1"/>
    <col min="7704" max="7938" width="9" style="24" hidden="1"/>
    <col min="7939" max="7939" width="37.19921875" style="24" hidden="1"/>
    <col min="7940" max="7953" width="9" style="24" hidden="1"/>
    <col min="7954" max="7959" width="7.69921875" style="24" hidden="1"/>
    <col min="7960" max="8194" width="9" style="24" hidden="1"/>
    <col min="8195" max="8195" width="37.19921875" style="24" hidden="1"/>
    <col min="8196" max="8209" width="9" style="24" hidden="1"/>
    <col min="8210" max="8215" width="7.69921875" style="24" hidden="1"/>
    <col min="8216" max="8450" width="9" style="24" hidden="1"/>
    <col min="8451" max="8451" width="37.19921875" style="24" hidden="1"/>
    <col min="8452" max="8465" width="9" style="24" hidden="1"/>
    <col min="8466" max="8471" width="7.69921875" style="24" hidden="1"/>
    <col min="8472" max="8706" width="9" style="24" hidden="1"/>
    <col min="8707" max="8707" width="37.19921875" style="24" hidden="1"/>
    <col min="8708" max="8721" width="9" style="24" hidden="1"/>
    <col min="8722" max="8727" width="7.69921875" style="24" hidden="1"/>
    <col min="8728" max="8962" width="9" style="24" hidden="1"/>
    <col min="8963" max="8963" width="37.19921875" style="24" hidden="1"/>
    <col min="8964" max="8977" width="9" style="24" hidden="1"/>
    <col min="8978" max="8983" width="7.69921875" style="24" hidden="1"/>
    <col min="8984" max="9218" width="9" style="24" hidden="1"/>
    <col min="9219" max="9219" width="37.19921875" style="24" hidden="1"/>
    <col min="9220" max="9233" width="9" style="24" hidden="1"/>
    <col min="9234" max="9239" width="7.69921875" style="24" hidden="1"/>
    <col min="9240" max="9474" width="9" style="24" hidden="1"/>
    <col min="9475" max="9475" width="37.19921875" style="24" hidden="1"/>
    <col min="9476" max="9489" width="9" style="24" hidden="1"/>
    <col min="9490" max="9495" width="7.69921875" style="24" hidden="1"/>
    <col min="9496" max="9730" width="9" style="24" hidden="1"/>
    <col min="9731" max="9731" width="37.19921875" style="24" hidden="1"/>
    <col min="9732" max="9745" width="9" style="24" hidden="1"/>
    <col min="9746" max="9751" width="7.69921875" style="24" hidden="1"/>
    <col min="9752" max="9986" width="9" style="24" hidden="1"/>
    <col min="9987" max="9987" width="37.19921875" style="24" hidden="1"/>
    <col min="9988" max="10001" width="9" style="24" hidden="1"/>
    <col min="10002" max="10007" width="7.69921875" style="24" hidden="1"/>
    <col min="10008" max="10242" width="9" style="24" hidden="1"/>
    <col min="10243" max="10243" width="37.19921875" style="24" hidden="1"/>
    <col min="10244" max="10257" width="9" style="24" hidden="1"/>
    <col min="10258" max="10263" width="7.69921875" style="24" hidden="1"/>
    <col min="10264" max="10498" width="9" style="24" hidden="1"/>
    <col min="10499" max="10499" width="37.19921875" style="24" hidden="1"/>
    <col min="10500" max="10513" width="9" style="24" hidden="1"/>
    <col min="10514" max="10519" width="7.69921875" style="24" hidden="1"/>
    <col min="10520" max="10754" width="9" style="24" hidden="1"/>
    <col min="10755" max="10755" width="37.19921875" style="24" hidden="1"/>
    <col min="10756" max="10769" width="9" style="24" hidden="1"/>
    <col min="10770" max="10775" width="7.69921875" style="24" hidden="1"/>
    <col min="10776" max="11010" width="9" style="24" hidden="1"/>
    <col min="11011" max="11011" width="37.19921875" style="24" hidden="1"/>
    <col min="11012" max="11025" width="9" style="24" hidden="1"/>
    <col min="11026" max="11031" width="7.69921875" style="24" hidden="1"/>
    <col min="11032" max="11266" width="9" style="24" hidden="1"/>
    <col min="11267" max="11267" width="37.19921875" style="24" hidden="1"/>
    <col min="11268" max="11281" width="9" style="24" hidden="1"/>
    <col min="11282" max="11287" width="7.69921875" style="24" hidden="1"/>
    <col min="11288" max="11522" width="9" style="24" hidden="1"/>
    <col min="11523" max="11523" width="37.19921875" style="24" hidden="1"/>
    <col min="11524" max="11537" width="9" style="24" hidden="1"/>
    <col min="11538" max="11543" width="7.69921875" style="24" hidden="1"/>
    <col min="11544" max="11778" width="9" style="24" hidden="1"/>
    <col min="11779" max="11779" width="37.19921875" style="24" hidden="1"/>
    <col min="11780" max="11793" width="9" style="24" hidden="1"/>
    <col min="11794" max="11799" width="7.69921875" style="24" hidden="1"/>
    <col min="11800" max="12034" width="9" style="24" hidden="1"/>
    <col min="12035" max="12035" width="37.19921875" style="24" hidden="1"/>
    <col min="12036" max="12049" width="9" style="24" hidden="1"/>
    <col min="12050" max="12055" width="7.69921875" style="24" hidden="1"/>
    <col min="12056" max="12290" width="9" style="24" hidden="1"/>
    <col min="12291" max="12291" width="37.19921875" style="24" hidden="1"/>
    <col min="12292" max="12305" width="9" style="24" hidden="1"/>
    <col min="12306" max="12311" width="7.69921875" style="24" hidden="1"/>
    <col min="12312" max="12546" width="9" style="24" hidden="1"/>
    <col min="12547" max="12547" width="37.19921875" style="24" hidden="1"/>
    <col min="12548" max="12561" width="9" style="24" hidden="1"/>
    <col min="12562" max="12567" width="7.69921875" style="24" hidden="1"/>
    <col min="12568" max="12802" width="9" style="24" hidden="1"/>
    <col min="12803" max="12803" width="37.19921875" style="24" hidden="1"/>
    <col min="12804" max="12817" width="9" style="24" hidden="1"/>
    <col min="12818" max="12823" width="7.69921875" style="24" hidden="1"/>
    <col min="12824" max="13058" width="9" style="24" hidden="1"/>
    <col min="13059" max="13059" width="37.19921875" style="24" hidden="1"/>
    <col min="13060" max="13073" width="9" style="24" hidden="1"/>
    <col min="13074" max="13079" width="7.69921875" style="24" hidden="1"/>
    <col min="13080" max="13314" width="9" style="24" hidden="1"/>
    <col min="13315" max="13315" width="37.19921875" style="24" hidden="1"/>
    <col min="13316" max="13329" width="9" style="24" hidden="1"/>
    <col min="13330" max="13335" width="7.69921875" style="24" hidden="1"/>
    <col min="13336" max="13570" width="9" style="24" hidden="1"/>
    <col min="13571" max="13571" width="37.19921875" style="24" hidden="1"/>
    <col min="13572" max="13585" width="9" style="24" hidden="1"/>
    <col min="13586" max="13591" width="7.69921875" style="24" hidden="1"/>
    <col min="13592" max="13826" width="9" style="24" hidden="1"/>
    <col min="13827" max="13827" width="37.19921875" style="24" hidden="1"/>
    <col min="13828" max="13841" width="9" style="24" hidden="1"/>
    <col min="13842" max="13847" width="7.69921875" style="24" hidden="1"/>
    <col min="13848" max="14082" width="9" style="24" hidden="1"/>
    <col min="14083" max="14083" width="37.19921875" style="24" hidden="1"/>
    <col min="14084" max="14097" width="9" style="24" hidden="1"/>
    <col min="14098" max="14103" width="7.69921875" style="24" hidden="1"/>
    <col min="14104" max="14338" width="9" style="24" hidden="1"/>
    <col min="14339" max="14339" width="37.19921875" style="24" hidden="1"/>
    <col min="14340" max="14353" width="9" style="24" hidden="1"/>
    <col min="14354" max="14359" width="7.69921875" style="24" hidden="1"/>
    <col min="14360" max="14594" width="9" style="24" hidden="1"/>
    <col min="14595" max="14595" width="37.19921875" style="24" hidden="1"/>
    <col min="14596" max="14609" width="9" style="24" hidden="1"/>
    <col min="14610" max="14615" width="7.69921875" style="24" hidden="1"/>
    <col min="14616" max="14850" width="9" style="24" hidden="1"/>
    <col min="14851" max="14851" width="37.19921875" style="24" hidden="1"/>
    <col min="14852" max="14865" width="9" style="24" hidden="1"/>
    <col min="14866" max="14871" width="7.69921875" style="24" hidden="1"/>
    <col min="14872" max="15106" width="9" style="24" hidden="1"/>
    <col min="15107" max="15107" width="37.19921875" style="24" hidden="1"/>
    <col min="15108" max="15121" width="9" style="24" hidden="1"/>
    <col min="15122" max="15127" width="7.69921875" style="24" hidden="1"/>
    <col min="15128" max="15362" width="9" style="24" hidden="1"/>
    <col min="15363" max="15363" width="37.19921875" style="24" hidden="1"/>
    <col min="15364" max="15377" width="9" style="24" hidden="1"/>
    <col min="15378" max="15383" width="7.69921875" style="24" hidden="1"/>
    <col min="15384" max="15618" width="9" style="24" hidden="1"/>
    <col min="15619" max="15619" width="37.19921875" style="24" hidden="1"/>
    <col min="15620" max="15633" width="9" style="24" hidden="1"/>
    <col min="15634" max="15639" width="7.69921875" style="24" hidden="1"/>
    <col min="15640" max="15874" width="9" style="24" hidden="1"/>
    <col min="15875" max="15875" width="37.19921875" style="24" hidden="1"/>
    <col min="15876" max="15889" width="9" style="24" hidden="1"/>
    <col min="15890" max="15895" width="7.69921875" style="24" hidden="1"/>
    <col min="15896" max="16130" width="9" style="24" hidden="1"/>
    <col min="16131" max="16131" width="37.19921875" style="24" hidden="1"/>
    <col min="16132" max="16145" width="9" style="24" hidden="1"/>
    <col min="16146" max="16151" width="7.69921875" style="24" hidden="1"/>
    <col min="16152" max="16384" width="9" style="24" hidden="1"/>
  </cols>
  <sheetData>
    <row r="1" spans="1:17" ht="13.8" thickBot="1">
      <c r="A1" s="194"/>
      <c r="B1" s="194"/>
      <c r="C1" s="194"/>
      <c r="D1" s="194"/>
      <c r="E1" s="194"/>
      <c r="F1" s="194"/>
      <c r="G1" s="194"/>
      <c r="H1" s="194"/>
      <c r="I1" s="194"/>
      <c r="J1" s="194"/>
      <c r="K1" s="194"/>
      <c r="L1" s="194"/>
      <c r="M1" s="194"/>
      <c r="N1" s="194"/>
      <c r="O1" s="194"/>
      <c r="P1" s="194"/>
      <c r="Q1" s="128"/>
    </row>
    <row r="2" spans="1:17" ht="16.8" thickBot="1">
      <c r="A2" s="194"/>
      <c r="B2" s="195"/>
      <c r="C2" s="196" t="s">
        <v>709</v>
      </c>
      <c r="D2" s="197"/>
      <c r="E2" s="197"/>
      <c r="F2" s="197"/>
      <c r="G2" s="197"/>
      <c r="H2" s="54"/>
      <c r="I2" s="197"/>
      <c r="J2" s="197"/>
      <c r="K2" s="197"/>
      <c r="L2" s="197" t="str">
        <f>'SP4-1'!L2</f>
        <v>Spreadsheet May 2025</v>
      </c>
      <c r="M2" s="197"/>
      <c r="N2" s="197"/>
      <c r="O2" s="197"/>
      <c r="P2" s="197"/>
      <c r="Q2" s="198"/>
    </row>
    <row r="3" spans="1:17">
      <c r="A3" s="194"/>
      <c r="B3" s="194"/>
      <c r="C3" s="194"/>
      <c r="D3" s="194"/>
      <c r="E3" s="194"/>
      <c r="F3" s="194"/>
      <c r="G3" s="194"/>
      <c r="H3" s="194"/>
      <c r="I3" s="194"/>
      <c r="J3" s="194"/>
      <c r="K3" s="194"/>
      <c r="L3" s="194"/>
      <c r="M3" s="194"/>
      <c r="N3" s="194"/>
      <c r="O3" s="194"/>
      <c r="P3" s="194"/>
      <c r="Q3" s="128"/>
    </row>
    <row r="4" spans="1:17">
      <c r="A4" s="194"/>
      <c r="B4" s="194"/>
      <c r="C4" s="199" t="s">
        <v>329</v>
      </c>
      <c r="D4" s="200"/>
      <c r="E4" s="200"/>
      <c r="F4" s="200"/>
      <c r="G4" s="200"/>
      <c r="H4" s="200"/>
      <c r="I4" s="200"/>
      <c r="J4" s="200"/>
      <c r="K4" s="200"/>
      <c r="L4" s="200"/>
      <c r="M4" s="200"/>
      <c r="N4" s="200"/>
      <c r="O4" s="200"/>
      <c r="P4" s="200"/>
      <c r="Q4" s="128"/>
    </row>
    <row r="5" spans="1:17">
      <c r="A5" s="194"/>
      <c r="B5" s="194"/>
      <c r="C5" s="201" t="s">
        <v>330</v>
      </c>
      <c r="D5" s="202"/>
      <c r="E5" s="203"/>
      <c r="F5" s="203"/>
      <c r="G5" s="203"/>
      <c r="H5" s="203"/>
      <c r="I5" s="203"/>
      <c r="J5" s="203"/>
      <c r="K5" s="203"/>
      <c r="L5" s="203"/>
      <c r="M5" s="203"/>
      <c r="N5" s="203"/>
      <c r="O5" s="203"/>
      <c r="P5" s="194"/>
      <c r="Q5" s="128"/>
    </row>
    <row r="6" spans="1:17">
      <c r="A6" s="194"/>
      <c r="B6" s="194"/>
      <c r="C6" s="204" t="s">
        <v>710</v>
      </c>
      <c r="D6" s="205"/>
      <c r="E6" s="206"/>
      <c r="F6" s="206"/>
      <c r="G6" s="206"/>
      <c r="H6" s="206"/>
      <c r="I6" s="206"/>
      <c r="J6" s="207"/>
      <c r="K6" s="207"/>
      <c r="L6" s="207"/>
      <c r="M6" s="207"/>
      <c r="N6" s="207"/>
      <c r="O6" s="203"/>
      <c r="P6" s="194"/>
      <c r="Q6" s="128"/>
    </row>
    <row r="7" spans="1:17">
      <c r="A7" s="194"/>
      <c r="B7" s="194"/>
      <c r="C7" s="204" t="s">
        <v>711</v>
      </c>
      <c r="D7" s="208"/>
      <c r="E7" s="209"/>
      <c r="F7" s="209"/>
      <c r="G7" s="209"/>
      <c r="H7" s="209"/>
      <c r="I7" s="209"/>
      <c r="J7" s="210"/>
      <c r="K7" s="210"/>
      <c r="L7" s="210"/>
      <c r="M7" s="210"/>
      <c r="N7" s="210"/>
      <c r="O7" s="203"/>
      <c r="P7" s="194"/>
      <c r="Q7" s="128"/>
    </row>
    <row r="8" spans="1:17">
      <c r="A8" s="194"/>
      <c r="B8" s="194"/>
      <c r="C8" s="204" t="s">
        <v>712</v>
      </c>
      <c r="D8" s="208"/>
      <c r="E8" s="209"/>
      <c r="F8" s="209"/>
      <c r="G8" s="209"/>
      <c r="H8" s="209"/>
      <c r="I8" s="209"/>
      <c r="J8" s="210"/>
      <c r="K8" s="210"/>
      <c r="L8" s="210"/>
      <c r="M8" s="210"/>
      <c r="N8" s="210"/>
      <c r="O8" s="203"/>
      <c r="P8" s="194"/>
      <c r="Q8" s="128"/>
    </row>
    <row r="9" spans="1:17">
      <c r="A9" s="194"/>
      <c r="B9" s="194"/>
      <c r="C9" s="204" t="s">
        <v>707</v>
      </c>
      <c r="D9" s="211"/>
      <c r="E9" s="209"/>
      <c r="F9" s="209"/>
      <c r="G9" s="209"/>
      <c r="H9" s="209"/>
      <c r="I9" s="209"/>
      <c r="J9" s="210"/>
      <c r="K9" s="210"/>
      <c r="L9" s="210"/>
      <c r="M9" s="210"/>
      <c r="N9" s="210"/>
      <c r="O9" s="203"/>
      <c r="P9" s="194"/>
      <c r="Q9" s="128"/>
    </row>
    <row r="10" spans="1:17">
      <c r="A10" s="194"/>
      <c r="B10" s="194"/>
      <c r="C10" s="204" t="s">
        <v>713</v>
      </c>
      <c r="D10" s="211"/>
      <c r="E10" s="209"/>
      <c r="F10" s="209"/>
      <c r="G10" s="209"/>
      <c r="H10" s="209"/>
      <c r="I10" s="209"/>
      <c r="J10" s="210"/>
      <c r="K10" s="210"/>
      <c r="L10" s="210"/>
      <c r="M10" s="210"/>
      <c r="N10" s="210"/>
      <c r="O10" s="203"/>
      <c r="P10" s="194"/>
      <c r="Q10" s="128"/>
    </row>
    <row r="11" spans="1:17">
      <c r="A11" s="194"/>
      <c r="B11" s="194"/>
      <c r="C11" s="212" t="s">
        <v>331</v>
      </c>
      <c r="D11" s="212"/>
      <c r="E11" s="209"/>
      <c r="F11" s="209"/>
      <c r="G11" s="209"/>
      <c r="H11" s="209"/>
      <c r="I11" s="209"/>
      <c r="J11" s="210"/>
      <c r="K11" s="210"/>
      <c r="L11" s="210"/>
      <c r="M11" s="210"/>
      <c r="N11" s="210"/>
      <c r="O11" s="203"/>
      <c r="P11" s="194"/>
      <c r="Q11" s="128"/>
    </row>
    <row r="12" spans="1:17">
      <c r="A12" s="194"/>
      <c r="B12" s="194"/>
      <c r="C12" s="482" t="s">
        <v>607</v>
      </c>
      <c r="D12" s="482"/>
      <c r="E12" s="482"/>
      <c r="F12" s="482"/>
      <c r="G12" s="482"/>
      <c r="H12" s="209"/>
      <c r="I12" s="209"/>
      <c r="J12" s="210"/>
      <c r="K12" s="210"/>
      <c r="L12" s="210"/>
      <c r="M12" s="210"/>
      <c r="N12" s="210"/>
      <c r="O12" s="203"/>
      <c r="P12" s="194"/>
      <c r="Q12" s="128"/>
    </row>
    <row r="13" spans="1:17">
      <c r="A13" s="194"/>
      <c r="B13" s="194"/>
      <c r="C13" s="194"/>
      <c r="D13" s="194"/>
      <c r="E13" s="213"/>
      <c r="F13" s="213"/>
      <c r="G13" s="213"/>
      <c r="H13" s="213"/>
      <c r="I13" s="213"/>
      <c r="J13" s="214"/>
      <c r="K13" s="214"/>
      <c r="L13" s="214"/>
      <c r="M13" s="214"/>
      <c r="N13" s="194"/>
      <c r="O13" s="194"/>
      <c r="P13" s="194"/>
      <c r="Q13" s="128"/>
    </row>
    <row r="14" spans="1:17" ht="13.8" thickBot="1">
      <c r="A14" s="194"/>
      <c r="B14" s="194"/>
      <c r="C14" s="215" t="s">
        <v>714</v>
      </c>
      <c r="D14" s="194"/>
      <c r="E14" s="216"/>
      <c r="F14" s="216"/>
      <c r="G14" s="216"/>
      <c r="H14" s="216"/>
      <c r="I14" s="216"/>
      <c r="J14" s="217"/>
      <c r="K14" s="217"/>
      <c r="L14" s="217"/>
      <c r="M14" s="217"/>
      <c r="N14" s="194"/>
      <c r="O14" s="194"/>
      <c r="P14" s="194"/>
      <c r="Q14" s="128"/>
    </row>
    <row r="15" spans="1:17" ht="14.4" thickTop="1" thickBot="1">
      <c r="A15" s="211"/>
      <c r="B15" s="211"/>
      <c r="C15" s="204" t="s">
        <v>332</v>
      </c>
      <c r="D15" s="209"/>
      <c r="E15" s="218"/>
      <c r="F15" s="194"/>
      <c r="G15" s="194"/>
      <c r="H15" s="128"/>
      <c r="I15" s="128"/>
      <c r="J15" s="219"/>
      <c r="K15" s="219"/>
      <c r="L15" s="128"/>
      <c r="M15" s="128"/>
      <c r="N15" s="194"/>
      <c r="O15" s="128"/>
      <c r="P15" s="483"/>
      <c r="Q15" s="484"/>
    </row>
    <row r="16" spans="1:17" ht="13.8" thickTop="1">
      <c r="A16" s="194"/>
      <c r="B16" s="194"/>
      <c r="C16" s="204" t="s">
        <v>333</v>
      </c>
      <c r="D16" s="194"/>
      <c r="E16" s="194"/>
      <c r="F16" s="211"/>
      <c r="G16" s="211"/>
      <c r="H16" s="128"/>
      <c r="I16" s="128"/>
      <c r="J16" s="211"/>
      <c r="K16" s="211"/>
      <c r="L16" s="128"/>
      <c r="M16" s="128"/>
      <c r="N16" s="211"/>
      <c r="O16" s="128"/>
      <c r="P16" s="220"/>
      <c r="Q16" s="221"/>
    </row>
    <row r="17" spans="1:17">
      <c r="A17" s="194"/>
      <c r="B17" s="194"/>
      <c r="C17" s="222" t="s">
        <v>334</v>
      </c>
      <c r="D17" s="216"/>
      <c r="E17" s="194"/>
      <c r="F17" s="194"/>
      <c r="G17" s="194"/>
      <c r="H17" s="128"/>
      <c r="I17" s="128"/>
      <c r="J17" s="194"/>
      <c r="K17" s="194"/>
      <c r="L17" s="128"/>
      <c r="M17" s="128"/>
      <c r="N17" s="194"/>
      <c r="O17" s="128"/>
      <c r="P17" s="223"/>
      <c r="Q17" s="224"/>
    </row>
    <row r="18" spans="1:17">
      <c r="A18" s="194"/>
      <c r="B18" s="194"/>
      <c r="C18" s="225" t="s">
        <v>715</v>
      </c>
      <c r="D18" s="216"/>
      <c r="E18" s="194"/>
      <c r="F18" s="194"/>
      <c r="G18" s="194"/>
      <c r="H18" s="194"/>
      <c r="I18" s="194"/>
      <c r="J18" s="194"/>
      <c r="K18" s="194"/>
      <c r="L18" s="194"/>
      <c r="M18" s="194"/>
      <c r="N18" s="194"/>
      <c r="O18" s="194"/>
      <c r="P18" s="226"/>
      <c r="Q18" s="227"/>
    </row>
    <row r="19" spans="1:17">
      <c r="A19" s="194"/>
      <c r="B19" s="194"/>
      <c r="C19" s="194"/>
      <c r="D19" s="218"/>
      <c r="E19" s="194"/>
      <c r="F19" s="194"/>
      <c r="G19" s="194"/>
      <c r="H19" s="194"/>
      <c r="I19" s="194"/>
      <c r="J19" s="194"/>
      <c r="K19" s="194"/>
      <c r="L19" s="194"/>
      <c r="M19" s="194"/>
      <c r="N19" s="194"/>
      <c r="O19" s="194"/>
      <c r="P19" s="194"/>
      <c r="Q19" s="128"/>
    </row>
    <row r="20" spans="1:17">
      <c r="A20" s="194"/>
      <c r="B20" s="194"/>
      <c r="C20" s="228" t="s">
        <v>335</v>
      </c>
      <c r="D20" s="229"/>
      <c r="E20" s="230"/>
      <c r="F20" s="230"/>
      <c r="G20" s="230"/>
      <c r="H20" s="230"/>
      <c r="I20" s="230"/>
      <c r="J20" s="230"/>
      <c r="K20" s="230"/>
      <c r="L20" s="230"/>
      <c r="M20" s="230"/>
      <c r="N20" s="230"/>
      <c r="O20" s="230"/>
      <c r="P20" s="230"/>
      <c r="Q20" s="230"/>
    </row>
    <row r="21" spans="1:17">
      <c r="A21" s="194"/>
      <c r="B21" s="194"/>
      <c r="C21" s="231"/>
      <c r="D21" s="232" t="s">
        <v>336</v>
      </c>
      <c r="E21" s="194"/>
      <c r="F21" s="194"/>
      <c r="G21" s="194"/>
      <c r="H21" s="194"/>
      <c r="I21" s="194"/>
      <c r="J21" s="194"/>
      <c r="K21" s="194"/>
      <c r="L21" s="194"/>
      <c r="M21" s="194"/>
      <c r="N21" s="194"/>
      <c r="O21" s="194"/>
      <c r="P21" s="194"/>
      <c r="Q21" s="128"/>
    </row>
    <row r="22" spans="1:17">
      <c r="A22" s="194"/>
      <c r="B22" s="194"/>
      <c r="C22" s="194"/>
      <c r="D22" s="194"/>
      <c r="E22" s="194"/>
      <c r="F22" s="194"/>
      <c r="G22" s="194"/>
      <c r="H22" s="194"/>
      <c r="I22" s="194"/>
      <c r="J22" s="194"/>
      <c r="K22" s="194"/>
      <c r="L22" s="194"/>
      <c r="M22" s="194"/>
      <c r="N22" s="194"/>
      <c r="O22" s="194"/>
      <c r="P22" s="194"/>
      <c r="Q22" s="128"/>
    </row>
    <row r="23" spans="1:17" ht="15.6">
      <c r="A23" s="194"/>
      <c r="B23" s="194"/>
      <c r="C23" s="363" t="s">
        <v>807</v>
      </c>
      <c r="D23" s="211" t="s">
        <v>337</v>
      </c>
      <c r="E23" s="211"/>
      <c r="F23" s="211"/>
      <c r="G23" s="211"/>
      <c r="H23" s="211"/>
      <c r="I23" s="211"/>
      <c r="J23" s="211"/>
      <c r="K23" s="211"/>
      <c r="L23" s="211"/>
      <c r="M23" s="211"/>
      <c r="N23" s="211"/>
      <c r="O23" s="211"/>
      <c r="P23" s="194"/>
      <c r="Q23" s="128"/>
    </row>
    <row r="24" spans="1:17">
      <c r="A24" s="194"/>
      <c r="B24" s="194"/>
      <c r="C24" s="194"/>
      <c r="D24" s="211" t="s">
        <v>338</v>
      </c>
      <c r="E24" s="211"/>
      <c r="F24" s="211"/>
      <c r="G24" s="211"/>
      <c r="H24" s="211"/>
      <c r="I24" s="211"/>
      <c r="J24" s="211"/>
      <c r="K24" s="211"/>
      <c r="L24" s="211"/>
      <c r="M24" s="211"/>
      <c r="N24" s="211"/>
      <c r="O24" s="211"/>
      <c r="P24" s="194"/>
      <c r="Q24" s="128"/>
    </row>
    <row r="25" spans="1:17" ht="15.6">
      <c r="A25" s="194"/>
      <c r="B25" s="194"/>
      <c r="C25" s="363" t="s">
        <v>808</v>
      </c>
      <c r="D25" s="211" t="s">
        <v>716</v>
      </c>
      <c r="E25" s="211"/>
      <c r="F25" s="211"/>
      <c r="G25" s="211"/>
      <c r="H25" s="211"/>
      <c r="I25" s="211"/>
      <c r="J25" s="211"/>
      <c r="K25" s="211"/>
      <c r="L25" s="211"/>
      <c r="M25" s="211"/>
      <c r="N25" s="211"/>
      <c r="O25" s="211"/>
      <c r="P25" s="194"/>
      <c r="Q25" s="128"/>
    </row>
    <row r="26" spans="1:17">
      <c r="A26" s="194"/>
      <c r="B26" s="194"/>
      <c r="C26" s="194"/>
      <c r="D26" s="211" t="s">
        <v>338</v>
      </c>
      <c r="E26" s="211"/>
      <c r="F26" s="211"/>
      <c r="G26" s="211"/>
      <c r="H26" s="211"/>
      <c r="I26" s="211"/>
      <c r="J26" s="211"/>
      <c r="K26" s="211"/>
      <c r="L26" s="211"/>
      <c r="M26" s="211"/>
      <c r="N26" s="211"/>
      <c r="O26" s="211"/>
      <c r="P26" s="194"/>
      <c r="Q26" s="128"/>
    </row>
    <row r="27" spans="1:17" s="128" customFormat="1" ht="15.6">
      <c r="A27" s="194"/>
      <c r="B27" s="194"/>
      <c r="C27" s="363" t="s">
        <v>809</v>
      </c>
      <c r="D27" s="211" t="s">
        <v>717</v>
      </c>
      <c r="E27" s="211"/>
      <c r="F27" s="211"/>
      <c r="G27" s="211"/>
      <c r="H27" s="211"/>
      <c r="I27" s="211"/>
      <c r="J27" s="211"/>
      <c r="K27" s="211"/>
      <c r="L27" s="211"/>
      <c r="M27" s="211"/>
      <c r="N27" s="211"/>
      <c r="O27" s="211"/>
      <c r="P27" s="194"/>
    </row>
    <row r="28" spans="1:17" s="128" customFormat="1">
      <c r="A28" s="194"/>
      <c r="B28" s="194"/>
      <c r="C28" s="194"/>
      <c r="D28" s="211"/>
      <c r="E28" s="211"/>
      <c r="F28" s="211"/>
      <c r="G28" s="211"/>
      <c r="H28" s="211"/>
      <c r="I28" s="211"/>
      <c r="J28" s="211"/>
      <c r="K28" s="211"/>
      <c r="L28" s="211"/>
      <c r="M28" s="211"/>
      <c r="N28" s="211"/>
      <c r="O28" s="211"/>
      <c r="P28" s="194"/>
    </row>
    <row r="29" spans="1:17" s="128" customFormat="1" ht="15.6">
      <c r="A29" s="194"/>
      <c r="B29" s="194"/>
      <c r="C29" s="363" t="s">
        <v>810</v>
      </c>
      <c r="D29" s="481" t="s">
        <v>718</v>
      </c>
      <c r="E29" s="481"/>
      <c r="F29" s="481"/>
      <c r="G29" s="481"/>
      <c r="H29" s="481"/>
      <c r="I29" s="481"/>
      <c r="J29" s="481"/>
      <c r="K29" s="481"/>
      <c r="L29" s="481"/>
      <c r="M29" s="481"/>
      <c r="N29" s="481"/>
      <c r="O29" s="481"/>
      <c r="P29" s="481"/>
    </row>
    <row r="30" spans="1:17" s="128" customFormat="1">
      <c r="A30" s="194"/>
      <c r="B30" s="194"/>
      <c r="C30" s="194"/>
      <c r="D30" s="194"/>
      <c r="E30" s="194"/>
      <c r="F30" s="194"/>
      <c r="G30" s="194"/>
      <c r="H30" s="194"/>
      <c r="I30" s="194"/>
      <c r="J30" s="194"/>
      <c r="K30" s="194"/>
      <c r="L30" s="194"/>
      <c r="M30" s="194"/>
      <c r="N30" s="194"/>
      <c r="O30" s="194"/>
      <c r="P30" s="194"/>
    </row>
    <row r="31" spans="1:17" s="128" customFormat="1" ht="15.6">
      <c r="A31" s="194"/>
      <c r="B31" s="194"/>
      <c r="C31" s="363" t="s">
        <v>811</v>
      </c>
      <c r="D31" s="481" t="s">
        <v>720</v>
      </c>
      <c r="E31" s="481"/>
      <c r="F31" s="481"/>
      <c r="G31" s="481"/>
      <c r="H31" s="481"/>
      <c r="I31" s="481"/>
      <c r="J31" s="481"/>
      <c r="K31" s="481"/>
      <c r="L31" s="481"/>
      <c r="M31" s="481"/>
      <c r="N31" s="481"/>
      <c r="O31" s="481"/>
      <c r="P31" s="481"/>
    </row>
    <row r="32" spans="1:17" s="128" customFormat="1">
      <c r="A32" s="194"/>
      <c r="B32" s="194"/>
      <c r="C32" s="194"/>
      <c r="D32" s="194"/>
      <c r="E32" s="194"/>
      <c r="F32" s="194"/>
      <c r="G32" s="194"/>
      <c r="H32" s="194"/>
      <c r="I32" s="194"/>
      <c r="J32" s="194"/>
      <c r="K32" s="194"/>
      <c r="L32" s="194"/>
      <c r="M32" s="194"/>
      <c r="N32" s="194"/>
      <c r="O32" s="194"/>
      <c r="P32" s="194"/>
    </row>
    <row r="33" spans="1:17" s="128" customFormat="1" ht="15.6">
      <c r="A33" s="194"/>
      <c r="B33" s="194"/>
      <c r="C33" t="s">
        <v>812</v>
      </c>
      <c r="D33" s="211" t="s">
        <v>721</v>
      </c>
      <c r="E33" s="211"/>
      <c r="F33" s="211"/>
      <c r="G33" s="211"/>
      <c r="H33" s="211"/>
      <c r="I33" s="211"/>
      <c r="J33" s="211"/>
      <c r="K33" s="211"/>
      <c r="L33" s="211"/>
      <c r="M33" s="211"/>
      <c r="N33" s="211"/>
      <c r="O33" s="211"/>
      <c r="P33" s="194"/>
    </row>
    <row r="34" spans="1:17" s="128" customFormat="1">
      <c r="A34" s="194"/>
      <c r="B34" s="194"/>
      <c r="C34" s="194"/>
      <c r="D34" s="211"/>
      <c r="E34" s="211"/>
      <c r="F34" s="211"/>
      <c r="G34" s="211"/>
      <c r="H34" s="211"/>
      <c r="I34" s="211"/>
      <c r="J34" s="211"/>
      <c r="K34" s="211"/>
      <c r="L34" s="211"/>
      <c r="M34" s="211"/>
      <c r="N34" s="211"/>
      <c r="O34" s="211"/>
      <c r="P34" s="194"/>
    </row>
    <row r="35" spans="1:17" s="128" customFormat="1" ht="15.6">
      <c r="A35" s="194"/>
      <c r="B35" s="194"/>
      <c r="C35" s="363" t="s">
        <v>813</v>
      </c>
      <c r="D35" s="481" t="s">
        <v>722</v>
      </c>
      <c r="E35" s="481"/>
      <c r="F35" s="481"/>
      <c r="G35" s="481"/>
      <c r="H35" s="481"/>
      <c r="I35" s="481"/>
      <c r="J35" s="481"/>
      <c r="K35" s="481"/>
      <c r="L35" s="481"/>
      <c r="M35" s="481"/>
      <c r="N35" s="481"/>
      <c r="O35" s="481"/>
      <c r="P35" s="481"/>
    </row>
    <row r="36" spans="1:17" s="128" customFormat="1">
      <c r="A36" s="194"/>
      <c r="B36" s="194"/>
      <c r="C36" s="194"/>
      <c r="D36" s="194"/>
      <c r="E36" s="194"/>
      <c r="F36" s="194"/>
      <c r="G36" s="194"/>
      <c r="H36" s="194"/>
      <c r="I36" s="194"/>
      <c r="J36" s="194"/>
      <c r="K36" s="194"/>
      <c r="L36" s="194"/>
      <c r="M36" s="194"/>
      <c r="N36" s="194"/>
      <c r="O36" s="194"/>
      <c r="P36" s="194"/>
    </row>
    <row r="37" spans="1:17" s="128" customFormat="1" ht="15.6">
      <c r="A37" s="194"/>
      <c r="B37" s="194"/>
      <c r="C37" s="363" t="s">
        <v>814</v>
      </c>
      <c r="D37" s="481" t="s">
        <v>815</v>
      </c>
      <c r="E37" s="481"/>
      <c r="F37" s="481"/>
      <c r="G37" s="481"/>
      <c r="H37" s="481"/>
      <c r="I37" s="481"/>
      <c r="J37" s="481"/>
      <c r="K37" s="481"/>
      <c r="L37" s="481"/>
      <c r="M37" s="481"/>
      <c r="N37" s="481"/>
      <c r="O37" s="481"/>
      <c r="P37" s="481"/>
    </row>
    <row r="38" spans="1:17" s="128" customFormat="1">
      <c r="A38" s="194"/>
      <c r="B38" s="194"/>
      <c r="C38" s="194"/>
      <c r="D38" s="194"/>
      <c r="E38" s="194"/>
      <c r="F38" s="194"/>
      <c r="G38" s="194"/>
      <c r="H38" s="194"/>
      <c r="I38" s="194"/>
      <c r="J38" s="194"/>
      <c r="K38" s="194"/>
      <c r="L38" s="194"/>
      <c r="M38" s="194"/>
      <c r="N38" s="194"/>
      <c r="O38" s="194"/>
      <c r="P38" s="194"/>
    </row>
    <row r="39" spans="1:17" s="128" customFormat="1">
      <c r="A39" s="194"/>
      <c r="B39" s="194"/>
      <c r="C39" s="194"/>
      <c r="D39" s="194"/>
      <c r="E39" s="194"/>
      <c r="F39" s="194"/>
      <c r="G39" s="194"/>
      <c r="H39" s="194"/>
      <c r="I39" s="194"/>
      <c r="J39" s="194"/>
      <c r="K39" s="194"/>
      <c r="L39" s="194"/>
      <c r="M39" s="194"/>
      <c r="N39" s="194"/>
      <c r="O39" s="194"/>
      <c r="P39" s="194"/>
    </row>
    <row r="40" spans="1:17" s="128" customFormat="1">
      <c r="A40" s="194"/>
      <c r="B40" s="194"/>
      <c r="C40" s="52" t="s">
        <v>339</v>
      </c>
      <c r="D40" s="233"/>
      <c r="E40" s="233"/>
      <c r="F40" s="52" t="s">
        <v>723</v>
      </c>
      <c r="G40" s="52"/>
      <c r="H40" s="234"/>
      <c r="I40" s="234"/>
      <c r="J40" s="234"/>
      <c r="K40" s="234"/>
      <c r="L40" s="234"/>
      <c r="M40" s="234"/>
      <c r="N40" s="234"/>
      <c r="O40" s="234"/>
      <c r="P40" s="234"/>
      <c r="Q40" s="233"/>
    </row>
    <row r="41" spans="1:17" s="128" customFormat="1">
      <c r="A41" s="194"/>
      <c r="B41" s="194"/>
      <c r="C41" s="50"/>
      <c r="F41" s="52" t="s">
        <v>724</v>
      </c>
      <c r="G41" s="52"/>
      <c r="H41" s="234"/>
      <c r="I41" s="234"/>
      <c r="J41" s="234"/>
      <c r="K41" s="234"/>
      <c r="L41" s="234"/>
      <c r="M41" s="234"/>
      <c r="N41" s="234"/>
      <c r="O41" s="234"/>
      <c r="P41" s="234"/>
      <c r="Q41" s="233"/>
    </row>
    <row r="42" spans="1:17" s="128" customFormat="1">
      <c r="A42" s="194"/>
      <c r="B42" s="194"/>
      <c r="C42" s="50"/>
      <c r="F42" s="52" t="s">
        <v>725</v>
      </c>
      <c r="G42" s="52"/>
      <c r="H42" s="234"/>
      <c r="I42" s="234"/>
      <c r="J42" s="234"/>
      <c r="K42" s="234"/>
      <c r="L42" s="234"/>
      <c r="M42" s="234"/>
      <c r="N42" s="234"/>
      <c r="O42" s="234"/>
      <c r="P42" s="234"/>
      <c r="Q42" s="233"/>
    </row>
    <row r="43" spans="1:17" s="128" customFormat="1">
      <c r="A43" s="194"/>
      <c r="B43" s="194"/>
      <c r="C43" s="50"/>
      <c r="F43" s="52" t="s">
        <v>726</v>
      </c>
      <c r="G43" s="52"/>
      <c r="H43" s="234"/>
      <c r="I43" s="234"/>
      <c r="J43" s="234"/>
      <c r="K43" s="234"/>
      <c r="L43" s="234"/>
      <c r="M43" s="234"/>
      <c r="N43" s="234"/>
      <c r="O43" s="234"/>
      <c r="P43" s="234"/>
      <c r="Q43" s="233"/>
    </row>
    <row r="44" spans="1:17" s="128" customFormat="1">
      <c r="A44" s="194"/>
      <c r="B44" s="194"/>
      <c r="C44" s="50"/>
      <c r="D44" s="194"/>
      <c r="E44" s="50"/>
      <c r="F44" s="52" t="s">
        <v>727</v>
      </c>
      <c r="G44" s="234"/>
      <c r="H44" s="234"/>
      <c r="I44" s="234"/>
      <c r="J44" s="234"/>
      <c r="K44" s="234"/>
      <c r="L44" s="234"/>
      <c r="M44" s="234"/>
      <c r="N44" s="234"/>
      <c r="O44" s="234"/>
      <c r="P44" s="234"/>
      <c r="Q44" s="233"/>
    </row>
    <row r="45" spans="1:17" s="128" customFormat="1">
      <c r="A45" s="194"/>
      <c r="B45" s="194"/>
      <c r="C45" s="50"/>
      <c r="D45" s="50"/>
      <c r="E45" s="50"/>
      <c r="F45" s="52" t="s">
        <v>728</v>
      </c>
      <c r="G45" s="234"/>
      <c r="H45" s="234"/>
      <c r="I45" s="234"/>
      <c r="J45" s="234"/>
      <c r="K45" s="234"/>
      <c r="L45" s="234"/>
      <c r="M45" s="234"/>
      <c r="N45" s="234"/>
      <c r="O45" s="234"/>
      <c r="P45" s="234"/>
      <c r="Q45" s="233"/>
    </row>
    <row r="46" spans="1:17" s="128" customFormat="1">
      <c r="A46" s="194"/>
      <c r="B46" s="194"/>
      <c r="C46" s="50"/>
      <c r="D46" s="50"/>
      <c r="E46" s="50"/>
      <c r="F46" s="52" t="s">
        <v>729</v>
      </c>
      <c r="G46" s="234"/>
      <c r="H46" s="234"/>
      <c r="I46" s="234"/>
      <c r="J46" s="234"/>
      <c r="K46" s="234"/>
      <c r="L46" s="234"/>
      <c r="M46" s="234"/>
      <c r="N46" s="234"/>
      <c r="O46" s="234"/>
      <c r="P46" s="234"/>
      <c r="Q46" s="233"/>
    </row>
    <row r="47" spans="1:17" s="128" customFormat="1">
      <c r="A47" s="194"/>
      <c r="B47" s="194"/>
      <c r="C47" s="50"/>
      <c r="D47" s="50"/>
      <c r="E47" s="50"/>
      <c r="F47" s="51"/>
      <c r="G47" s="194"/>
      <c r="H47" s="194"/>
      <c r="I47" s="194"/>
      <c r="J47" s="194"/>
      <c r="K47" s="194"/>
      <c r="L47" s="194"/>
      <c r="M47" s="194"/>
      <c r="N47" s="194"/>
      <c r="O47" s="194"/>
      <c r="P47" s="194"/>
      <c r="Q47" s="24"/>
    </row>
    <row r="48" spans="1:17" s="128" customFormat="1">
      <c r="D48" s="50"/>
    </row>
    <row r="49" spans="4:4" s="128" customFormat="1">
      <c r="D49" s="235"/>
    </row>
    <row r="50" spans="4:4" s="128" customFormat="1"/>
    <row r="51" spans="4:4" s="128" customFormat="1"/>
    <row r="52" spans="4:4" s="128" customFormat="1"/>
    <row r="53" spans="4:4" s="128" customFormat="1"/>
    <row r="54" spans="4:4" s="128" customFormat="1"/>
    <row r="55" spans="4:4" s="128" customFormat="1"/>
  </sheetData>
  <sheetProtection algorithmName="SHA-512" hashValue="ZKdd8fd0mgGwnrb1FUC+NVq+RvqExVny65Dw9jTJw2jxtjTRCdxs0Ep80PAgP0kMOoYK0+CBMaI9kickyXRznA==" saltValue="vEGlJQGu1ijcB8Ni/ZqTVQ==" spinCount="100000" sheet="1" selectLockedCells="1"/>
  <mergeCells count="6">
    <mergeCell ref="D37:P37"/>
    <mergeCell ref="C12:G12"/>
    <mergeCell ref="P15:Q15"/>
    <mergeCell ref="D29:P29"/>
    <mergeCell ref="D31:P31"/>
    <mergeCell ref="D35:P35"/>
  </mergeCells>
  <hyperlinks>
    <hyperlink ref="C12" r:id="rId1" display="for more information please refer to section 3.3 of Economic Evaluation Manual." xr:uid="{F7CA7AC4-7E59-4FF8-A066-1CE9DDEF0B09}"/>
    <hyperlink ref="C12:D12" r:id="rId2" display="For more information please refer to section 4.1 of Monetised benefits and Costs Manual." xr:uid="{C0F9E873-3801-4A29-8CEA-4D817F387EDB}"/>
  </hyperlinks>
  <pageMargins left="0.7" right="0.7" top="0.75" bottom="0.75" header="0.3" footer="0.3"/>
  <pageSetup orientation="portrait" r:id="rId3"/>
</worksheet>
</file>

<file path=xl/worksheets/sheet5.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69BD93FA-400E-4790-8F12-48BBE58F6C33}">
  <sheetPr>
    <pageSetUpPr fitToPage="1"/>
  </sheetPr>
  <dimension ref="A1:W101"/>
  <sheetViews>
    <sheetView tabSelected="1" topLeftCell="A4" zoomScaleNormal="100" workbookViewId="0">
      <selection activeCell="O31" sqref="O31"/>
    </sheetView>
  </sheetViews>
  <sheetFormatPr defaultColWidth="7.69921875" defaultRowHeight="10.199999999999999"/>
  <cols>
    <col min="1" max="1" width="3.59765625" style="58" customWidth="1"/>
    <col min="2" max="2" width="11.5" style="57" customWidth="1"/>
    <col min="3" max="3" width="9.8984375" style="57" customWidth="1"/>
    <col min="4" max="4" width="6.3984375" style="57" customWidth="1"/>
    <col min="5" max="7" width="5" style="57" customWidth="1"/>
    <col min="8" max="8" width="6.69921875" style="57" customWidth="1"/>
    <col min="9" max="10" width="5" style="57" customWidth="1"/>
    <col min="11" max="11" width="8.3984375" style="57" customWidth="1"/>
    <col min="12" max="13" width="5" style="57" customWidth="1"/>
    <col min="14" max="14" width="9.69921875" style="57" customWidth="1"/>
    <col min="15" max="15" width="15.09765625" style="57" customWidth="1"/>
    <col min="16" max="17" width="7.69921875" style="57"/>
    <col min="18" max="18" width="9.19921875" style="57" customWidth="1"/>
    <col min="19" max="19" width="14.19921875" style="57" customWidth="1"/>
    <col min="20" max="20" width="11.09765625" style="57" customWidth="1"/>
    <col min="21" max="256" width="7.69921875" style="57"/>
    <col min="257" max="257" width="3.59765625" style="57" customWidth="1"/>
    <col min="258" max="258" width="11.5" style="57" customWidth="1"/>
    <col min="259" max="259" width="9.8984375" style="57" customWidth="1"/>
    <col min="260" max="260" width="6.3984375" style="57" customWidth="1"/>
    <col min="261" max="263" width="5" style="57" customWidth="1"/>
    <col min="264" max="264" width="6.69921875" style="57" customWidth="1"/>
    <col min="265" max="270" width="5" style="57" customWidth="1"/>
    <col min="271" max="271" width="15.09765625" style="57" customWidth="1"/>
    <col min="272" max="273" width="7.69921875" style="57"/>
    <col min="274" max="274" width="9.19921875" style="57" customWidth="1"/>
    <col min="275" max="275" width="14.19921875" style="57" customWidth="1"/>
    <col min="276" max="276" width="11.09765625" style="57" customWidth="1"/>
    <col min="277" max="512" width="7.69921875" style="57"/>
    <col min="513" max="513" width="3.59765625" style="57" customWidth="1"/>
    <col min="514" max="514" width="11.5" style="57" customWidth="1"/>
    <col min="515" max="515" width="9.8984375" style="57" customWidth="1"/>
    <col min="516" max="516" width="6.3984375" style="57" customWidth="1"/>
    <col min="517" max="519" width="5" style="57" customWidth="1"/>
    <col min="520" max="520" width="6.69921875" style="57" customWidth="1"/>
    <col min="521" max="526" width="5" style="57" customWidth="1"/>
    <col min="527" max="527" width="15.09765625" style="57" customWidth="1"/>
    <col min="528" max="529" width="7.69921875" style="57"/>
    <col min="530" max="530" width="9.19921875" style="57" customWidth="1"/>
    <col min="531" max="531" width="14.19921875" style="57" customWidth="1"/>
    <col min="532" max="532" width="11.09765625" style="57" customWidth="1"/>
    <col min="533" max="768" width="7.69921875" style="57"/>
    <col min="769" max="769" width="3.59765625" style="57" customWidth="1"/>
    <col min="770" max="770" width="11.5" style="57" customWidth="1"/>
    <col min="771" max="771" width="9.8984375" style="57" customWidth="1"/>
    <col min="772" max="772" width="6.3984375" style="57" customWidth="1"/>
    <col min="773" max="775" width="5" style="57" customWidth="1"/>
    <col min="776" max="776" width="6.69921875" style="57" customWidth="1"/>
    <col min="777" max="782" width="5" style="57" customWidth="1"/>
    <col min="783" max="783" width="15.09765625" style="57" customWidth="1"/>
    <col min="784" max="785" width="7.69921875" style="57"/>
    <col min="786" max="786" width="9.19921875" style="57" customWidth="1"/>
    <col min="787" max="787" width="14.19921875" style="57" customWidth="1"/>
    <col min="788" max="788" width="11.09765625" style="57" customWidth="1"/>
    <col min="789" max="1024" width="7.69921875" style="57"/>
    <col min="1025" max="1025" width="3.59765625" style="57" customWidth="1"/>
    <col min="1026" max="1026" width="11.5" style="57" customWidth="1"/>
    <col min="1027" max="1027" width="9.8984375" style="57" customWidth="1"/>
    <col min="1028" max="1028" width="6.3984375" style="57" customWidth="1"/>
    <col min="1029" max="1031" width="5" style="57" customWidth="1"/>
    <col min="1032" max="1032" width="6.69921875" style="57" customWidth="1"/>
    <col min="1033" max="1038" width="5" style="57" customWidth="1"/>
    <col min="1039" max="1039" width="15.09765625" style="57" customWidth="1"/>
    <col min="1040" max="1041" width="7.69921875" style="57"/>
    <col min="1042" max="1042" width="9.19921875" style="57" customWidth="1"/>
    <col min="1043" max="1043" width="14.19921875" style="57" customWidth="1"/>
    <col min="1044" max="1044" width="11.09765625" style="57" customWidth="1"/>
    <col min="1045" max="1280" width="7.69921875" style="57"/>
    <col min="1281" max="1281" width="3.59765625" style="57" customWidth="1"/>
    <col min="1282" max="1282" width="11.5" style="57" customWidth="1"/>
    <col min="1283" max="1283" width="9.8984375" style="57" customWidth="1"/>
    <col min="1284" max="1284" width="6.3984375" style="57" customWidth="1"/>
    <col min="1285" max="1287" width="5" style="57" customWidth="1"/>
    <col min="1288" max="1288" width="6.69921875" style="57" customWidth="1"/>
    <col min="1289" max="1294" width="5" style="57" customWidth="1"/>
    <col min="1295" max="1295" width="15.09765625" style="57" customWidth="1"/>
    <col min="1296" max="1297" width="7.69921875" style="57"/>
    <col min="1298" max="1298" width="9.19921875" style="57" customWidth="1"/>
    <col min="1299" max="1299" width="14.19921875" style="57" customWidth="1"/>
    <col min="1300" max="1300" width="11.09765625" style="57" customWidth="1"/>
    <col min="1301" max="1536" width="7.69921875" style="57"/>
    <col min="1537" max="1537" width="3.59765625" style="57" customWidth="1"/>
    <col min="1538" max="1538" width="11.5" style="57" customWidth="1"/>
    <col min="1539" max="1539" width="9.8984375" style="57" customWidth="1"/>
    <col min="1540" max="1540" width="6.3984375" style="57" customWidth="1"/>
    <col min="1541" max="1543" width="5" style="57" customWidth="1"/>
    <col min="1544" max="1544" width="6.69921875" style="57" customWidth="1"/>
    <col min="1545" max="1550" width="5" style="57" customWidth="1"/>
    <col min="1551" max="1551" width="15.09765625" style="57" customWidth="1"/>
    <col min="1552" max="1553" width="7.69921875" style="57"/>
    <col min="1554" max="1554" width="9.19921875" style="57" customWidth="1"/>
    <col min="1555" max="1555" width="14.19921875" style="57" customWidth="1"/>
    <col min="1556" max="1556" width="11.09765625" style="57" customWidth="1"/>
    <col min="1557" max="1792" width="7.69921875" style="57"/>
    <col min="1793" max="1793" width="3.59765625" style="57" customWidth="1"/>
    <col min="1794" max="1794" width="11.5" style="57" customWidth="1"/>
    <col min="1795" max="1795" width="9.8984375" style="57" customWidth="1"/>
    <col min="1796" max="1796" width="6.3984375" style="57" customWidth="1"/>
    <col min="1797" max="1799" width="5" style="57" customWidth="1"/>
    <col min="1800" max="1800" width="6.69921875" style="57" customWidth="1"/>
    <col min="1801" max="1806" width="5" style="57" customWidth="1"/>
    <col min="1807" max="1807" width="15.09765625" style="57" customWidth="1"/>
    <col min="1808" max="1809" width="7.69921875" style="57"/>
    <col min="1810" max="1810" width="9.19921875" style="57" customWidth="1"/>
    <col min="1811" max="1811" width="14.19921875" style="57" customWidth="1"/>
    <col min="1812" max="1812" width="11.09765625" style="57" customWidth="1"/>
    <col min="1813" max="2048" width="7.69921875" style="57"/>
    <col min="2049" max="2049" width="3.59765625" style="57" customWidth="1"/>
    <col min="2050" max="2050" width="11.5" style="57" customWidth="1"/>
    <col min="2051" max="2051" width="9.8984375" style="57" customWidth="1"/>
    <col min="2052" max="2052" width="6.3984375" style="57" customWidth="1"/>
    <col min="2053" max="2055" width="5" style="57" customWidth="1"/>
    <col min="2056" max="2056" width="6.69921875" style="57" customWidth="1"/>
    <col min="2057" max="2062" width="5" style="57" customWidth="1"/>
    <col min="2063" max="2063" width="15.09765625" style="57" customWidth="1"/>
    <col min="2064" max="2065" width="7.69921875" style="57"/>
    <col min="2066" max="2066" width="9.19921875" style="57" customWidth="1"/>
    <col min="2067" max="2067" width="14.19921875" style="57" customWidth="1"/>
    <col min="2068" max="2068" width="11.09765625" style="57" customWidth="1"/>
    <col min="2069" max="2304" width="7.69921875" style="57"/>
    <col min="2305" max="2305" width="3.59765625" style="57" customWidth="1"/>
    <col min="2306" max="2306" width="11.5" style="57" customWidth="1"/>
    <col min="2307" max="2307" width="9.8984375" style="57" customWidth="1"/>
    <col min="2308" max="2308" width="6.3984375" style="57" customWidth="1"/>
    <col min="2309" max="2311" width="5" style="57" customWidth="1"/>
    <col min="2312" max="2312" width="6.69921875" style="57" customWidth="1"/>
    <col min="2313" max="2318" width="5" style="57" customWidth="1"/>
    <col min="2319" max="2319" width="15.09765625" style="57" customWidth="1"/>
    <col min="2320" max="2321" width="7.69921875" style="57"/>
    <col min="2322" max="2322" width="9.19921875" style="57" customWidth="1"/>
    <col min="2323" max="2323" width="14.19921875" style="57" customWidth="1"/>
    <col min="2324" max="2324" width="11.09765625" style="57" customWidth="1"/>
    <col min="2325" max="2560" width="7.69921875" style="57"/>
    <col min="2561" max="2561" width="3.59765625" style="57" customWidth="1"/>
    <col min="2562" max="2562" width="11.5" style="57" customWidth="1"/>
    <col min="2563" max="2563" width="9.8984375" style="57" customWidth="1"/>
    <col min="2564" max="2564" width="6.3984375" style="57" customWidth="1"/>
    <col min="2565" max="2567" width="5" style="57" customWidth="1"/>
    <col min="2568" max="2568" width="6.69921875" style="57" customWidth="1"/>
    <col min="2569" max="2574" width="5" style="57" customWidth="1"/>
    <col min="2575" max="2575" width="15.09765625" style="57" customWidth="1"/>
    <col min="2576" max="2577" width="7.69921875" style="57"/>
    <col min="2578" max="2578" width="9.19921875" style="57" customWidth="1"/>
    <col min="2579" max="2579" width="14.19921875" style="57" customWidth="1"/>
    <col min="2580" max="2580" width="11.09765625" style="57" customWidth="1"/>
    <col min="2581" max="2816" width="7.69921875" style="57"/>
    <col min="2817" max="2817" width="3.59765625" style="57" customWidth="1"/>
    <col min="2818" max="2818" width="11.5" style="57" customWidth="1"/>
    <col min="2819" max="2819" width="9.8984375" style="57" customWidth="1"/>
    <col min="2820" max="2820" width="6.3984375" style="57" customWidth="1"/>
    <col min="2821" max="2823" width="5" style="57" customWidth="1"/>
    <col min="2824" max="2824" width="6.69921875" style="57" customWidth="1"/>
    <col min="2825" max="2830" width="5" style="57" customWidth="1"/>
    <col min="2831" max="2831" width="15.09765625" style="57" customWidth="1"/>
    <col min="2832" max="2833" width="7.69921875" style="57"/>
    <col min="2834" max="2834" width="9.19921875" style="57" customWidth="1"/>
    <col min="2835" max="2835" width="14.19921875" style="57" customWidth="1"/>
    <col min="2836" max="2836" width="11.09765625" style="57" customWidth="1"/>
    <col min="2837" max="3072" width="7.69921875" style="57"/>
    <col min="3073" max="3073" width="3.59765625" style="57" customWidth="1"/>
    <col min="3074" max="3074" width="11.5" style="57" customWidth="1"/>
    <col min="3075" max="3075" width="9.8984375" style="57" customWidth="1"/>
    <col min="3076" max="3076" width="6.3984375" style="57" customWidth="1"/>
    <col min="3077" max="3079" width="5" style="57" customWidth="1"/>
    <col min="3080" max="3080" width="6.69921875" style="57" customWidth="1"/>
    <col min="3081" max="3086" width="5" style="57" customWidth="1"/>
    <col min="3087" max="3087" width="15.09765625" style="57" customWidth="1"/>
    <col min="3088" max="3089" width="7.69921875" style="57"/>
    <col min="3090" max="3090" width="9.19921875" style="57" customWidth="1"/>
    <col min="3091" max="3091" width="14.19921875" style="57" customWidth="1"/>
    <col min="3092" max="3092" width="11.09765625" style="57" customWidth="1"/>
    <col min="3093" max="3328" width="7.69921875" style="57"/>
    <col min="3329" max="3329" width="3.59765625" style="57" customWidth="1"/>
    <col min="3330" max="3330" width="11.5" style="57" customWidth="1"/>
    <col min="3331" max="3331" width="9.8984375" style="57" customWidth="1"/>
    <col min="3332" max="3332" width="6.3984375" style="57" customWidth="1"/>
    <col min="3333" max="3335" width="5" style="57" customWidth="1"/>
    <col min="3336" max="3336" width="6.69921875" style="57" customWidth="1"/>
    <col min="3337" max="3342" width="5" style="57" customWidth="1"/>
    <col min="3343" max="3343" width="15.09765625" style="57" customWidth="1"/>
    <col min="3344" max="3345" width="7.69921875" style="57"/>
    <col min="3346" max="3346" width="9.19921875" style="57" customWidth="1"/>
    <col min="3347" max="3347" width="14.19921875" style="57" customWidth="1"/>
    <col min="3348" max="3348" width="11.09765625" style="57" customWidth="1"/>
    <col min="3349" max="3584" width="7.69921875" style="57"/>
    <col min="3585" max="3585" width="3.59765625" style="57" customWidth="1"/>
    <col min="3586" max="3586" width="11.5" style="57" customWidth="1"/>
    <col min="3587" max="3587" width="9.8984375" style="57" customWidth="1"/>
    <col min="3588" max="3588" width="6.3984375" style="57" customWidth="1"/>
    <col min="3589" max="3591" width="5" style="57" customWidth="1"/>
    <col min="3592" max="3592" width="6.69921875" style="57" customWidth="1"/>
    <col min="3593" max="3598" width="5" style="57" customWidth="1"/>
    <col min="3599" max="3599" width="15.09765625" style="57" customWidth="1"/>
    <col min="3600" max="3601" width="7.69921875" style="57"/>
    <col min="3602" max="3602" width="9.19921875" style="57" customWidth="1"/>
    <col min="3603" max="3603" width="14.19921875" style="57" customWidth="1"/>
    <col min="3604" max="3604" width="11.09765625" style="57" customWidth="1"/>
    <col min="3605" max="3840" width="7.69921875" style="57"/>
    <col min="3841" max="3841" width="3.59765625" style="57" customWidth="1"/>
    <col min="3842" max="3842" width="11.5" style="57" customWidth="1"/>
    <col min="3843" max="3843" width="9.8984375" style="57" customWidth="1"/>
    <col min="3844" max="3844" width="6.3984375" style="57" customWidth="1"/>
    <col min="3845" max="3847" width="5" style="57" customWidth="1"/>
    <col min="3848" max="3848" width="6.69921875" style="57" customWidth="1"/>
    <col min="3849" max="3854" width="5" style="57" customWidth="1"/>
    <col min="3855" max="3855" width="15.09765625" style="57" customWidth="1"/>
    <col min="3856" max="3857" width="7.69921875" style="57"/>
    <col min="3858" max="3858" width="9.19921875" style="57" customWidth="1"/>
    <col min="3859" max="3859" width="14.19921875" style="57" customWidth="1"/>
    <col min="3860" max="3860" width="11.09765625" style="57" customWidth="1"/>
    <col min="3861" max="4096" width="7.69921875" style="57"/>
    <col min="4097" max="4097" width="3.59765625" style="57" customWidth="1"/>
    <col min="4098" max="4098" width="11.5" style="57" customWidth="1"/>
    <col min="4099" max="4099" width="9.8984375" style="57" customWidth="1"/>
    <col min="4100" max="4100" width="6.3984375" style="57" customWidth="1"/>
    <col min="4101" max="4103" width="5" style="57" customWidth="1"/>
    <col min="4104" max="4104" width="6.69921875" style="57" customWidth="1"/>
    <col min="4105" max="4110" width="5" style="57" customWidth="1"/>
    <col min="4111" max="4111" width="15.09765625" style="57" customWidth="1"/>
    <col min="4112" max="4113" width="7.69921875" style="57"/>
    <col min="4114" max="4114" width="9.19921875" style="57" customWidth="1"/>
    <col min="4115" max="4115" width="14.19921875" style="57" customWidth="1"/>
    <col min="4116" max="4116" width="11.09765625" style="57" customWidth="1"/>
    <col min="4117" max="4352" width="7.69921875" style="57"/>
    <col min="4353" max="4353" width="3.59765625" style="57" customWidth="1"/>
    <col min="4354" max="4354" width="11.5" style="57" customWidth="1"/>
    <col min="4355" max="4355" width="9.8984375" style="57" customWidth="1"/>
    <col min="4356" max="4356" width="6.3984375" style="57" customWidth="1"/>
    <col min="4357" max="4359" width="5" style="57" customWidth="1"/>
    <col min="4360" max="4360" width="6.69921875" style="57" customWidth="1"/>
    <col min="4361" max="4366" width="5" style="57" customWidth="1"/>
    <col min="4367" max="4367" width="15.09765625" style="57" customWidth="1"/>
    <col min="4368" max="4369" width="7.69921875" style="57"/>
    <col min="4370" max="4370" width="9.19921875" style="57" customWidth="1"/>
    <col min="4371" max="4371" width="14.19921875" style="57" customWidth="1"/>
    <col min="4372" max="4372" width="11.09765625" style="57" customWidth="1"/>
    <col min="4373" max="4608" width="7.69921875" style="57"/>
    <col min="4609" max="4609" width="3.59765625" style="57" customWidth="1"/>
    <col min="4610" max="4610" width="11.5" style="57" customWidth="1"/>
    <col min="4611" max="4611" width="9.8984375" style="57" customWidth="1"/>
    <col min="4612" max="4612" width="6.3984375" style="57" customWidth="1"/>
    <col min="4613" max="4615" width="5" style="57" customWidth="1"/>
    <col min="4616" max="4616" width="6.69921875" style="57" customWidth="1"/>
    <col min="4617" max="4622" width="5" style="57" customWidth="1"/>
    <col min="4623" max="4623" width="15.09765625" style="57" customWidth="1"/>
    <col min="4624" max="4625" width="7.69921875" style="57"/>
    <col min="4626" max="4626" width="9.19921875" style="57" customWidth="1"/>
    <col min="4627" max="4627" width="14.19921875" style="57" customWidth="1"/>
    <col min="4628" max="4628" width="11.09765625" style="57" customWidth="1"/>
    <col min="4629" max="4864" width="7.69921875" style="57"/>
    <col min="4865" max="4865" width="3.59765625" style="57" customWidth="1"/>
    <col min="4866" max="4866" width="11.5" style="57" customWidth="1"/>
    <col min="4867" max="4867" width="9.8984375" style="57" customWidth="1"/>
    <col min="4868" max="4868" width="6.3984375" style="57" customWidth="1"/>
    <col min="4869" max="4871" width="5" style="57" customWidth="1"/>
    <col min="4872" max="4872" width="6.69921875" style="57" customWidth="1"/>
    <col min="4873" max="4878" width="5" style="57" customWidth="1"/>
    <col min="4879" max="4879" width="15.09765625" style="57" customWidth="1"/>
    <col min="4880" max="4881" width="7.69921875" style="57"/>
    <col min="4882" max="4882" width="9.19921875" style="57" customWidth="1"/>
    <col min="4883" max="4883" width="14.19921875" style="57" customWidth="1"/>
    <col min="4884" max="4884" width="11.09765625" style="57" customWidth="1"/>
    <col min="4885" max="5120" width="7.69921875" style="57"/>
    <col min="5121" max="5121" width="3.59765625" style="57" customWidth="1"/>
    <col min="5122" max="5122" width="11.5" style="57" customWidth="1"/>
    <col min="5123" max="5123" width="9.8984375" style="57" customWidth="1"/>
    <col min="5124" max="5124" width="6.3984375" style="57" customWidth="1"/>
    <col min="5125" max="5127" width="5" style="57" customWidth="1"/>
    <col min="5128" max="5128" width="6.69921875" style="57" customWidth="1"/>
    <col min="5129" max="5134" width="5" style="57" customWidth="1"/>
    <col min="5135" max="5135" width="15.09765625" style="57" customWidth="1"/>
    <col min="5136" max="5137" width="7.69921875" style="57"/>
    <col min="5138" max="5138" width="9.19921875" style="57" customWidth="1"/>
    <col min="5139" max="5139" width="14.19921875" style="57" customWidth="1"/>
    <col min="5140" max="5140" width="11.09765625" style="57" customWidth="1"/>
    <col min="5141" max="5376" width="7.69921875" style="57"/>
    <col min="5377" max="5377" width="3.59765625" style="57" customWidth="1"/>
    <col min="5378" max="5378" width="11.5" style="57" customWidth="1"/>
    <col min="5379" max="5379" width="9.8984375" style="57" customWidth="1"/>
    <col min="5380" max="5380" width="6.3984375" style="57" customWidth="1"/>
    <col min="5381" max="5383" width="5" style="57" customWidth="1"/>
    <col min="5384" max="5384" width="6.69921875" style="57" customWidth="1"/>
    <col min="5385" max="5390" width="5" style="57" customWidth="1"/>
    <col min="5391" max="5391" width="15.09765625" style="57" customWidth="1"/>
    <col min="5392" max="5393" width="7.69921875" style="57"/>
    <col min="5394" max="5394" width="9.19921875" style="57" customWidth="1"/>
    <col min="5395" max="5395" width="14.19921875" style="57" customWidth="1"/>
    <col min="5396" max="5396" width="11.09765625" style="57" customWidth="1"/>
    <col min="5397" max="5632" width="7.69921875" style="57"/>
    <col min="5633" max="5633" width="3.59765625" style="57" customWidth="1"/>
    <col min="5634" max="5634" width="11.5" style="57" customWidth="1"/>
    <col min="5635" max="5635" width="9.8984375" style="57" customWidth="1"/>
    <col min="5636" max="5636" width="6.3984375" style="57" customWidth="1"/>
    <col min="5637" max="5639" width="5" style="57" customWidth="1"/>
    <col min="5640" max="5640" width="6.69921875" style="57" customWidth="1"/>
    <col min="5641" max="5646" width="5" style="57" customWidth="1"/>
    <col min="5647" max="5647" width="15.09765625" style="57" customWidth="1"/>
    <col min="5648" max="5649" width="7.69921875" style="57"/>
    <col min="5650" max="5650" width="9.19921875" style="57" customWidth="1"/>
    <col min="5651" max="5651" width="14.19921875" style="57" customWidth="1"/>
    <col min="5652" max="5652" width="11.09765625" style="57" customWidth="1"/>
    <col min="5653" max="5888" width="7.69921875" style="57"/>
    <col min="5889" max="5889" width="3.59765625" style="57" customWidth="1"/>
    <col min="5890" max="5890" width="11.5" style="57" customWidth="1"/>
    <col min="5891" max="5891" width="9.8984375" style="57" customWidth="1"/>
    <col min="5892" max="5892" width="6.3984375" style="57" customWidth="1"/>
    <col min="5893" max="5895" width="5" style="57" customWidth="1"/>
    <col min="5896" max="5896" width="6.69921875" style="57" customWidth="1"/>
    <col min="5897" max="5902" width="5" style="57" customWidth="1"/>
    <col min="5903" max="5903" width="15.09765625" style="57" customWidth="1"/>
    <col min="5904" max="5905" width="7.69921875" style="57"/>
    <col min="5906" max="5906" width="9.19921875" style="57" customWidth="1"/>
    <col min="5907" max="5907" width="14.19921875" style="57" customWidth="1"/>
    <col min="5908" max="5908" width="11.09765625" style="57" customWidth="1"/>
    <col min="5909" max="6144" width="7.69921875" style="57"/>
    <col min="6145" max="6145" width="3.59765625" style="57" customWidth="1"/>
    <col min="6146" max="6146" width="11.5" style="57" customWidth="1"/>
    <col min="6147" max="6147" width="9.8984375" style="57" customWidth="1"/>
    <col min="6148" max="6148" width="6.3984375" style="57" customWidth="1"/>
    <col min="6149" max="6151" width="5" style="57" customWidth="1"/>
    <col min="6152" max="6152" width="6.69921875" style="57" customWidth="1"/>
    <col min="6153" max="6158" width="5" style="57" customWidth="1"/>
    <col min="6159" max="6159" width="15.09765625" style="57" customWidth="1"/>
    <col min="6160" max="6161" width="7.69921875" style="57"/>
    <col min="6162" max="6162" width="9.19921875" style="57" customWidth="1"/>
    <col min="6163" max="6163" width="14.19921875" style="57" customWidth="1"/>
    <col min="6164" max="6164" width="11.09765625" style="57" customWidth="1"/>
    <col min="6165" max="6400" width="7.69921875" style="57"/>
    <col min="6401" max="6401" width="3.59765625" style="57" customWidth="1"/>
    <col min="6402" max="6402" width="11.5" style="57" customWidth="1"/>
    <col min="6403" max="6403" width="9.8984375" style="57" customWidth="1"/>
    <col min="6404" max="6404" width="6.3984375" style="57" customWidth="1"/>
    <col min="6405" max="6407" width="5" style="57" customWidth="1"/>
    <col min="6408" max="6408" width="6.69921875" style="57" customWidth="1"/>
    <col min="6409" max="6414" width="5" style="57" customWidth="1"/>
    <col min="6415" max="6415" width="15.09765625" style="57" customWidth="1"/>
    <col min="6416" max="6417" width="7.69921875" style="57"/>
    <col min="6418" max="6418" width="9.19921875" style="57" customWidth="1"/>
    <col min="6419" max="6419" width="14.19921875" style="57" customWidth="1"/>
    <col min="6420" max="6420" width="11.09765625" style="57" customWidth="1"/>
    <col min="6421" max="6656" width="7.69921875" style="57"/>
    <col min="6657" max="6657" width="3.59765625" style="57" customWidth="1"/>
    <col min="6658" max="6658" width="11.5" style="57" customWidth="1"/>
    <col min="6659" max="6659" width="9.8984375" style="57" customWidth="1"/>
    <col min="6660" max="6660" width="6.3984375" style="57" customWidth="1"/>
    <col min="6661" max="6663" width="5" style="57" customWidth="1"/>
    <col min="6664" max="6664" width="6.69921875" style="57" customWidth="1"/>
    <col min="6665" max="6670" width="5" style="57" customWidth="1"/>
    <col min="6671" max="6671" width="15.09765625" style="57" customWidth="1"/>
    <col min="6672" max="6673" width="7.69921875" style="57"/>
    <col min="6674" max="6674" width="9.19921875" style="57" customWidth="1"/>
    <col min="6675" max="6675" width="14.19921875" style="57" customWidth="1"/>
    <col min="6676" max="6676" width="11.09765625" style="57" customWidth="1"/>
    <col min="6677" max="6912" width="7.69921875" style="57"/>
    <col min="6913" max="6913" width="3.59765625" style="57" customWidth="1"/>
    <col min="6914" max="6914" width="11.5" style="57" customWidth="1"/>
    <col min="6915" max="6915" width="9.8984375" style="57" customWidth="1"/>
    <col min="6916" max="6916" width="6.3984375" style="57" customWidth="1"/>
    <col min="6917" max="6919" width="5" style="57" customWidth="1"/>
    <col min="6920" max="6920" width="6.69921875" style="57" customWidth="1"/>
    <col min="6921" max="6926" width="5" style="57" customWidth="1"/>
    <col min="6927" max="6927" width="15.09765625" style="57" customWidth="1"/>
    <col min="6928" max="6929" width="7.69921875" style="57"/>
    <col min="6930" max="6930" width="9.19921875" style="57" customWidth="1"/>
    <col min="6931" max="6931" width="14.19921875" style="57" customWidth="1"/>
    <col min="6932" max="6932" width="11.09765625" style="57" customWidth="1"/>
    <col min="6933" max="7168" width="7.69921875" style="57"/>
    <col min="7169" max="7169" width="3.59765625" style="57" customWidth="1"/>
    <col min="7170" max="7170" width="11.5" style="57" customWidth="1"/>
    <col min="7171" max="7171" width="9.8984375" style="57" customWidth="1"/>
    <col min="7172" max="7172" width="6.3984375" style="57" customWidth="1"/>
    <col min="7173" max="7175" width="5" style="57" customWidth="1"/>
    <col min="7176" max="7176" width="6.69921875" style="57" customWidth="1"/>
    <col min="7177" max="7182" width="5" style="57" customWidth="1"/>
    <col min="7183" max="7183" width="15.09765625" style="57" customWidth="1"/>
    <col min="7184" max="7185" width="7.69921875" style="57"/>
    <col min="7186" max="7186" width="9.19921875" style="57" customWidth="1"/>
    <col min="7187" max="7187" width="14.19921875" style="57" customWidth="1"/>
    <col min="7188" max="7188" width="11.09765625" style="57" customWidth="1"/>
    <col min="7189" max="7424" width="7.69921875" style="57"/>
    <col min="7425" max="7425" width="3.59765625" style="57" customWidth="1"/>
    <col min="7426" max="7426" width="11.5" style="57" customWidth="1"/>
    <col min="7427" max="7427" width="9.8984375" style="57" customWidth="1"/>
    <col min="7428" max="7428" width="6.3984375" style="57" customWidth="1"/>
    <col min="7429" max="7431" width="5" style="57" customWidth="1"/>
    <col min="7432" max="7432" width="6.69921875" style="57" customWidth="1"/>
    <col min="7433" max="7438" width="5" style="57" customWidth="1"/>
    <col min="7439" max="7439" width="15.09765625" style="57" customWidth="1"/>
    <col min="7440" max="7441" width="7.69921875" style="57"/>
    <col min="7442" max="7442" width="9.19921875" style="57" customWidth="1"/>
    <col min="7443" max="7443" width="14.19921875" style="57" customWidth="1"/>
    <col min="7444" max="7444" width="11.09765625" style="57" customWidth="1"/>
    <col min="7445" max="7680" width="7.69921875" style="57"/>
    <col min="7681" max="7681" width="3.59765625" style="57" customWidth="1"/>
    <col min="7682" max="7682" width="11.5" style="57" customWidth="1"/>
    <col min="7683" max="7683" width="9.8984375" style="57" customWidth="1"/>
    <col min="7684" max="7684" width="6.3984375" style="57" customWidth="1"/>
    <col min="7685" max="7687" width="5" style="57" customWidth="1"/>
    <col min="7688" max="7688" width="6.69921875" style="57" customWidth="1"/>
    <col min="7689" max="7694" width="5" style="57" customWidth="1"/>
    <col min="7695" max="7695" width="15.09765625" style="57" customWidth="1"/>
    <col min="7696" max="7697" width="7.69921875" style="57"/>
    <col min="7698" max="7698" width="9.19921875" style="57" customWidth="1"/>
    <col min="7699" max="7699" width="14.19921875" style="57" customWidth="1"/>
    <col min="7700" max="7700" width="11.09765625" style="57" customWidth="1"/>
    <col min="7701" max="7936" width="7.69921875" style="57"/>
    <col min="7937" max="7937" width="3.59765625" style="57" customWidth="1"/>
    <col min="7938" max="7938" width="11.5" style="57" customWidth="1"/>
    <col min="7939" max="7939" width="9.8984375" style="57" customWidth="1"/>
    <col min="7940" max="7940" width="6.3984375" style="57" customWidth="1"/>
    <col min="7941" max="7943" width="5" style="57" customWidth="1"/>
    <col min="7944" max="7944" width="6.69921875" style="57" customWidth="1"/>
    <col min="7945" max="7950" width="5" style="57" customWidth="1"/>
    <col min="7951" max="7951" width="15.09765625" style="57" customWidth="1"/>
    <col min="7952" max="7953" width="7.69921875" style="57"/>
    <col min="7954" max="7954" width="9.19921875" style="57" customWidth="1"/>
    <col min="7955" max="7955" width="14.19921875" style="57" customWidth="1"/>
    <col min="7956" max="7956" width="11.09765625" style="57" customWidth="1"/>
    <col min="7957" max="8192" width="7.69921875" style="57"/>
    <col min="8193" max="8193" width="3.59765625" style="57" customWidth="1"/>
    <col min="8194" max="8194" width="11.5" style="57" customWidth="1"/>
    <col min="8195" max="8195" width="9.8984375" style="57" customWidth="1"/>
    <col min="8196" max="8196" width="6.3984375" style="57" customWidth="1"/>
    <col min="8197" max="8199" width="5" style="57" customWidth="1"/>
    <col min="8200" max="8200" width="6.69921875" style="57" customWidth="1"/>
    <col min="8201" max="8206" width="5" style="57" customWidth="1"/>
    <col min="8207" max="8207" width="15.09765625" style="57" customWidth="1"/>
    <col min="8208" max="8209" width="7.69921875" style="57"/>
    <col min="8210" max="8210" width="9.19921875" style="57" customWidth="1"/>
    <col min="8211" max="8211" width="14.19921875" style="57" customWidth="1"/>
    <col min="8212" max="8212" width="11.09765625" style="57" customWidth="1"/>
    <col min="8213" max="8448" width="7.69921875" style="57"/>
    <col min="8449" max="8449" width="3.59765625" style="57" customWidth="1"/>
    <col min="8450" max="8450" width="11.5" style="57" customWidth="1"/>
    <col min="8451" max="8451" width="9.8984375" style="57" customWidth="1"/>
    <col min="8452" max="8452" width="6.3984375" style="57" customWidth="1"/>
    <col min="8453" max="8455" width="5" style="57" customWidth="1"/>
    <col min="8456" max="8456" width="6.69921875" style="57" customWidth="1"/>
    <col min="8457" max="8462" width="5" style="57" customWidth="1"/>
    <col min="8463" max="8463" width="15.09765625" style="57" customWidth="1"/>
    <col min="8464" max="8465" width="7.69921875" style="57"/>
    <col min="8466" max="8466" width="9.19921875" style="57" customWidth="1"/>
    <col min="8467" max="8467" width="14.19921875" style="57" customWidth="1"/>
    <col min="8468" max="8468" width="11.09765625" style="57" customWidth="1"/>
    <col min="8469" max="8704" width="7.69921875" style="57"/>
    <col min="8705" max="8705" width="3.59765625" style="57" customWidth="1"/>
    <col min="8706" max="8706" width="11.5" style="57" customWidth="1"/>
    <col min="8707" max="8707" width="9.8984375" style="57" customWidth="1"/>
    <col min="8708" max="8708" width="6.3984375" style="57" customWidth="1"/>
    <col min="8709" max="8711" width="5" style="57" customWidth="1"/>
    <col min="8712" max="8712" width="6.69921875" style="57" customWidth="1"/>
    <col min="8713" max="8718" width="5" style="57" customWidth="1"/>
    <col min="8719" max="8719" width="15.09765625" style="57" customWidth="1"/>
    <col min="8720" max="8721" width="7.69921875" style="57"/>
    <col min="8722" max="8722" width="9.19921875" style="57" customWidth="1"/>
    <col min="8723" max="8723" width="14.19921875" style="57" customWidth="1"/>
    <col min="8724" max="8724" width="11.09765625" style="57" customWidth="1"/>
    <col min="8725" max="8960" width="7.69921875" style="57"/>
    <col min="8961" max="8961" width="3.59765625" style="57" customWidth="1"/>
    <col min="8962" max="8962" width="11.5" style="57" customWidth="1"/>
    <col min="8963" max="8963" width="9.8984375" style="57" customWidth="1"/>
    <col min="8964" max="8964" width="6.3984375" style="57" customWidth="1"/>
    <col min="8965" max="8967" width="5" style="57" customWidth="1"/>
    <col min="8968" max="8968" width="6.69921875" style="57" customWidth="1"/>
    <col min="8969" max="8974" width="5" style="57" customWidth="1"/>
    <col min="8975" max="8975" width="15.09765625" style="57" customWidth="1"/>
    <col min="8976" max="8977" width="7.69921875" style="57"/>
    <col min="8978" max="8978" width="9.19921875" style="57" customWidth="1"/>
    <col min="8979" max="8979" width="14.19921875" style="57" customWidth="1"/>
    <col min="8980" max="8980" width="11.09765625" style="57" customWidth="1"/>
    <col min="8981" max="9216" width="7.69921875" style="57"/>
    <col min="9217" max="9217" width="3.59765625" style="57" customWidth="1"/>
    <col min="9218" max="9218" width="11.5" style="57" customWidth="1"/>
    <col min="9219" max="9219" width="9.8984375" style="57" customWidth="1"/>
    <col min="9220" max="9220" width="6.3984375" style="57" customWidth="1"/>
    <col min="9221" max="9223" width="5" style="57" customWidth="1"/>
    <col min="9224" max="9224" width="6.69921875" style="57" customWidth="1"/>
    <col min="9225" max="9230" width="5" style="57" customWidth="1"/>
    <col min="9231" max="9231" width="15.09765625" style="57" customWidth="1"/>
    <col min="9232" max="9233" width="7.69921875" style="57"/>
    <col min="9234" max="9234" width="9.19921875" style="57" customWidth="1"/>
    <col min="9235" max="9235" width="14.19921875" style="57" customWidth="1"/>
    <col min="9236" max="9236" width="11.09765625" style="57" customWidth="1"/>
    <col min="9237" max="9472" width="7.69921875" style="57"/>
    <col min="9473" max="9473" width="3.59765625" style="57" customWidth="1"/>
    <col min="9474" max="9474" width="11.5" style="57" customWidth="1"/>
    <col min="9475" max="9475" width="9.8984375" style="57" customWidth="1"/>
    <col min="9476" max="9476" width="6.3984375" style="57" customWidth="1"/>
    <col min="9477" max="9479" width="5" style="57" customWidth="1"/>
    <col min="9480" max="9480" width="6.69921875" style="57" customWidth="1"/>
    <col min="9481" max="9486" width="5" style="57" customWidth="1"/>
    <col min="9487" max="9487" width="15.09765625" style="57" customWidth="1"/>
    <col min="9488" max="9489" width="7.69921875" style="57"/>
    <col min="9490" max="9490" width="9.19921875" style="57" customWidth="1"/>
    <col min="9491" max="9491" width="14.19921875" style="57" customWidth="1"/>
    <col min="9492" max="9492" width="11.09765625" style="57" customWidth="1"/>
    <col min="9493" max="9728" width="7.69921875" style="57"/>
    <col min="9729" max="9729" width="3.59765625" style="57" customWidth="1"/>
    <col min="9730" max="9730" width="11.5" style="57" customWidth="1"/>
    <col min="9731" max="9731" width="9.8984375" style="57" customWidth="1"/>
    <col min="9732" max="9732" width="6.3984375" style="57" customWidth="1"/>
    <col min="9733" max="9735" width="5" style="57" customWidth="1"/>
    <col min="9736" max="9736" width="6.69921875" style="57" customWidth="1"/>
    <col min="9737" max="9742" width="5" style="57" customWidth="1"/>
    <col min="9743" max="9743" width="15.09765625" style="57" customWidth="1"/>
    <col min="9744" max="9745" width="7.69921875" style="57"/>
    <col min="9746" max="9746" width="9.19921875" style="57" customWidth="1"/>
    <col min="9747" max="9747" width="14.19921875" style="57" customWidth="1"/>
    <col min="9748" max="9748" width="11.09765625" style="57" customWidth="1"/>
    <col min="9749" max="9984" width="7.69921875" style="57"/>
    <col min="9985" max="9985" width="3.59765625" style="57" customWidth="1"/>
    <col min="9986" max="9986" width="11.5" style="57" customWidth="1"/>
    <col min="9987" max="9987" width="9.8984375" style="57" customWidth="1"/>
    <col min="9988" max="9988" width="6.3984375" style="57" customWidth="1"/>
    <col min="9989" max="9991" width="5" style="57" customWidth="1"/>
    <col min="9992" max="9992" width="6.69921875" style="57" customWidth="1"/>
    <col min="9993" max="9998" width="5" style="57" customWidth="1"/>
    <col min="9999" max="9999" width="15.09765625" style="57" customWidth="1"/>
    <col min="10000" max="10001" width="7.69921875" style="57"/>
    <col min="10002" max="10002" width="9.19921875" style="57" customWidth="1"/>
    <col min="10003" max="10003" width="14.19921875" style="57" customWidth="1"/>
    <col min="10004" max="10004" width="11.09765625" style="57" customWidth="1"/>
    <col min="10005" max="10240" width="7.69921875" style="57"/>
    <col min="10241" max="10241" width="3.59765625" style="57" customWidth="1"/>
    <col min="10242" max="10242" width="11.5" style="57" customWidth="1"/>
    <col min="10243" max="10243" width="9.8984375" style="57" customWidth="1"/>
    <col min="10244" max="10244" width="6.3984375" style="57" customWidth="1"/>
    <col min="10245" max="10247" width="5" style="57" customWidth="1"/>
    <col min="10248" max="10248" width="6.69921875" style="57" customWidth="1"/>
    <col min="10249" max="10254" width="5" style="57" customWidth="1"/>
    <col min="10255" max="10255" width="15.09765625" style="57" customWidth="1"/>
    <col min="10256" max="10257" width="7.69921875" style="57"/>
    <col min="10258" max="10258" width="9.19921875" style="57" customWidth="1"/>
    <col min="10259" max="10259" width="14.19921875" style="57" customWidth="1"/>
    <col min="10260" max="10260" width="11.09765625" style="57" customWidth="1"/>
    <col min="10261" max="10496" width="7.69921875" style="57"/>
    <col min="10497" max="10497" width="3.59765625" style="57" customWidth="1"/>
    <col min="10498" max="10498" width="11.5" style="57" customWidth="1"/>
    <col min="10499" max="10499" width="9.8984375" style="57" customWidth="1"/>
    <col min="10500" max="10500" width="6.3984375" style="57" customWidth="1"/>
    <col min="10501" max="10503" width="5" style="57" customWidth="1"/>
    <col min="10504" max="10504" width="6.69921875" style="57" customWidth="1"/>
    <col min="10505" max="10510" width="5" style="57" customWidth="1"/>
    <col min="10511" max="10511" width="15.09765625" style="57" customWidth="1"/>
    <col min="10512" max="10513" width="7.69921875" style="57"/>
    <col min="10514" max="10514" width="9.19921875" style="57" customWidth="1"/>
    <col min="10515" max="10515" width="14.19921875" style="57" customWidth="1"/>
    <col min="10516" max="10516" width="11.09765625" style="57" customWidth="1"/>
    <col min="10517" max="10752" width="7.69921875" style="57"/>
    <col min="10753" max="10753" width="3.59765625" style="57" customWidth="1"/>
    <col min="10754" max="10754" width="11.5" style="57" customWidth="1"/>
    <col min="10755" max="10755" width="9.8984375" style="57" customWidth="1"/>
    <col min="10756" max="10756" width="6.3984375" style="57" customWidth="1"/>
    <col min="10757" max="10759" width="5" style="57" customWidth="1"/>
    <col min="10760" max="10760" width="6.69921875" style="57" customWidth="1"/>
    <col min="10761" max="10766" width="5" style="57" customWidth="1"/>
    <col min="10767" max="10767" width="15.09765625" style="57" customWidth="1"/>
    <col min="10768" max="10769" width="7.69921875" style="57"/>
    <col min="10770" max="10770" width="9.19921875" style="57" customWidth="1"/>
    <col min="10771" max="10771" width="14.19921875" style="57" customWidth="1"/>
    <col min="10772" max="10772" width="11.09765625" style="57" customWidth="1"/>
    <col min="10773" max="11008" width="7.69921875" style="57"/>
    <col min="11009" max="11009" width="3.59765625" style="57" customWidth="1"/>
    <col min="11010" max="11010" width="11.5" style="57" customWidth="1"/>
    <col min="11011" max="11011" width="9.8984375" style="57" customWidth="1"/>
    <col min="11012" max="11012" width="6.3984375" style="57" customWidth="1"/>
    <col min="11013" max="11015" width="5" style="57" customWidth="1"/>
    <col min="11016" max="11016" width="6.69921875" style="57" customWidth="1"/>
    <col min="11017" max="11022" width="5" style="57" customWidth="1"/>
    <col min="11023" max="11023" width="15.09765625" style="57" customWidth="1"/>
    <col min="11024" max="11025" width="7.69921875" style="57"/>
    <col min="11026" max="11026" width="9.19921875" style="57" customWidth="1"/>
    <col min="11027" max="11027" width="14.19921875" style="57" customWidth="1"/>
    <col min="11028" max="11028" width="11.09765625" style="57" customWidth="1"/>
    <col min="11029" max="11264" width="7.69921875" style="57"/>
    <col min="11265" max="11265" width="3.59765625" style="57" customWidth="1"/>
    <col min="11266" max="11266" width="11.5" style="57" customWidth="1"/>
    <col min="11267" max="11267" width="9.8984375" style="57" customWidth="1"/>
    <col min="11268" max="11268" width="6.3984375" style="57" customWidth="1"/>
    <col min="11269" max="11271" width="5" style="57" customWidth="1"/>
    <col min="11272" max="11272" width="6.69921875" style="57" customWidth="1"/>
    <col min="11273" max="11278" width="5" style="57" customWidth="1"/>
    <col min="11279" max="11279" width="15.09765625" style="57" customWidth="1"/>
    <col min="11280" max="11281" width="7.69921875" style="57"/>
    <col min="11282" max="11282" width="9.19921875" style="57" customWidth="1"/>
    <col min="11283" max="11283" width="14.19921875" style="57" customWidth="1"/>
    <col min="11284" max="11284" width="11.09765625" style="57" customWidth="1"/>
    <col min="11285" max="11520" width="7.69921875" style="57"/>
    <col min="11521" max="11521" width="3.59765625" style="57" customWidth="1"/>
    <col min="11522" max="11522" width="11.5" style="57" customWidth="1"/>
    <col min="11523" max="11523" width="9.8984375" style="57" customWidth="1"/>
    <col min="11524" max="11524" width="6.3984375" style="57" customWidth="1"/>
    <col min="11525" max="11527" width="5" style="57" customWidth="1"/>
    <col min="11528" max="11528" width="6.69921875" style="57" customWidth="1"/>
    <col min="11529" max="11534" width="5" style="57" customWidth="1"/>
    <col min="11535" max="11535" width="15.09765625" style="57" customWidth="1"/>
    <col min="11536" max="11537" width="7.69921875" style="57"/>
    <col min="11538" max="11538" width="9.19921875" style="57" customWidth="1"/>
    <col min="11539" max="11539" width="14.19921875" style="57" customWidth="1"/>
    <col min="11540" max="11540" width="11.09765625" style="57" customWidth="1"/>
    <col min="11541" max="11776" width="7.69921875" style="57"/>
    <col min="11777" max="11777" width="3.59765625" style="57" customWidth="1"/>
    <col min="11778" max="11778" width="11.5" style="57" customWidth="1"/>
    <col min="11779" max="11779" width="9.8984375" style="57" customWidth="1"/>
    <col min="11780" max="11780" width="6.3984375" style="57" customWidth="1"/>
    <col min="11781" max="11783" width="5" style="57" customWidth="1"/>
    <col min="11784" max="11784" width="6.69921875" style="57" customWidth="1"/>
    <col min="11785" max="11790" width="5" style="57" customWidth="1"/>
    <col min="11791" max="11791" width="15.09765625" style="57" customWidth="1"/>
    <col min="11792" max="11793" width="7.69921875" style="57"/>
    <col min="11794" max="11794" width="9.19921875" style="57" customWidth="1"/>
    <col min="11795" max="11795" width="14.19921875" style="57" customWidth="1"/>
    <col min="11796" max="11796" width="11.09765625" style="57" customWidth="1"/>
    <col min="11797" max="12032" width="7.69921875" style="57"/>
    <col min="12033" max="12033" width="3.59765625" style="57" customWidth="1"/>
    <col min="12034" max="12034" width="11.5" style="57" customWidth="1"/>
    <col min="12035" max="12035" width="9.8984375" style="57" customWidth="1"/>
    <col min="12036" max="12036" width="6.3984375" style="57" customWidth="1"/>
    <col min="12037" max="12039" width="5" style="57" customWidth="1"/>
    <col min="12040" max="12040" width="6.69921875" style="57" customWidth="1"/>
    <col min="12041" max="12046" width="5" style="57" customWidth="1"/>
    <col min="12047" max="12047" width="15.09765625" style="57" customWidth="1"/>
    <col min="12048" max="12049" width="7.69921875" style="57"/>
    <col min="12050" max="12050" width="9.19921875" style="57" customWidth="1"/>
    <col min="12051" max="12051" width="14.19921875" style="57" customWidth="1"/>
    <col min="12052" max="12052" width="11.09765625" style="57" customWidth="1"/>
    <col min="12053" max="12288" width="7.69921875" style="57"/>
    <col min="12289" max="12289" width="3.59765625" style="57" customWidth="1"/>
    <col min="12290" max="12290" width="11.5" style="57" customWidth="1"/>
    <col min="12291" max="12291" width="9.8984375" style="57" customWidth="1"/>
    <col min="12292" max="12292" width="6.3984375" style="57" customWidth="1"/>
    <col min="12293" max="12295" width="5" style="57" customWidth="1"/>
    <col min="12296" max="12296" width="6.69921875" style="57" customWidth="1"/>
    <col min="12297" max="12302" width="5" style="57" customWidth="1"/>
    <col min="12303" max="12303" width="15.09765625" style="57" customWidth="1"/>
    <col min="12304" max="12305" width="7.69921875" style="57"/>
    <col min="12306" max="12306" width="9.19921875" style="57" customWidth="1"/>
    <col min="12307" max="12307" width="14.19921875" style="57" customWidth="1"/>
    <col min="12308" max="12308" width="11.09765625" style="57" customWidth="1"/>
    <col min="12309" max="12544" width="7.69921875" style="57"/>
    <col min="12545" max="12545" width="3.59765625" style="57" customWidth="1"/>
    <col min="12546" max="12546" width="11.5" style="57" customWidth="1"/>
    <col min="12547" max="12547" width="9.8984375" style="57" customWidth="1"/>
    <col min="12548" max="12548" width="6.3984375" style="57" customWidth="1"/>
    <col min="12549" max="12551" width="5" style="57" customWidth="1"/>
    <col min="12552" max="12552" width="6.69921875" style="57" customWidth="1"/>
    <col min="12553" max="12558" width="5" style="57" customWidth="1"/>
    <col min="12559" max="12559" width="15.09765625" style="57" customWidth="1"/>
    <col min="12560" max="12561" width="7.69921875" style="57"/>
    <col min="12562" max="12562" width="9.19921875" style="57" customWidth="1"/>
    <col min="12563" max="12563" width="14.19921875" style="57" customWidth="1"/>
    <col min="12564" max="12564" width="11.09765625" style="57" customWidth="1"/>
    <col min="12565" max="12800" width="7.69921875" style="57"/>
    <col min="12801" max="12801" width="3.59765625" style="57" customWidth="1"/>
    <col min="12802" max="12802" width="11.5" style="57" customWidth="1"/>
    <col min="12803" max="12803" width="9.8984375" style="57" customWidth="1"/>
    <col min="12804" max="12804" width="6.3984375" style="57" customWidth="1"/>
    <col min="12805" max="12807" width="5" style="57" customWidth="1"/>
    <col min="12808" max="12808" width="6.69921875" style="57" customWidth="1"/>
    <col min="12809" max="12814" width="5" style="57" customWidth="1"/>
    <col min="12815" max="12815" width="15.09765625" style="57" customWidth="1"/>
    <col min="12816" max="12817" width="7.69921875" style="57"/>
    <col min="12818" max="12818" width="9.19921875" style="57" customWidth="1"/>
    <col min="12819" max="12819" width="14.19921875" style="57" customWidth="1"/>
    <col min="12820" max="12820" width="11.09765625" style="57" customWidth="1"/>
    <col min="12821" max="13056" width="7.69921875" style="57"/>
    <col min="13057" max="13057" width="3.59765625" style="57" customWidth="1"/>
    <col min="13058" max="13058" width="11.5" style="57" customWidth="1"/>
    <col min="13059" max="13059" width="9.8984375" style="57" customWidth="1"/>
    <col min="13060" max="13060" width="6.3984375" style="57" customWidth="1"/>
    <col min="13061" max="13063" width="5" style="57" customWidth="1"/>
    <col min="13064" max="13064" width="6.69921875" style="57" customWidth="1"/>
    <col min="13065" max="13070" width="5" style="57" customWidth="1"/>
    <col min="13071" max="13071" width="15.09765625" style="57" customWidth="1"/>
    <col min="13072" max="13073" width="7.69921875" style="57"/>
    <col min="13074" max="13074" width="9.19921875" style="57" customWidth="1"/>
    <col min="13075" max="13075" width="14.19921875" style="57" customWidth="1"/>
    <col min="13076" max="13076" width="11.09765625" style="57" customWidth="1"/>
    <col min="13077" max="13312" width="7.69921875" style="57"/>
    <col min="13313" max="13313" width="3.59765625" style="57" customWidth="1"/>
    <col min="13314" max="13314" width="11.5" style="57" customWidth="1"/>
    <col min="13315" max="13315" width="9.8984375" style="57" customWidth="1"/>
    <col min="13316" max="13316" width="6.3984375" style="57" customWidth="1"/>
    <col min="13317" max="13319" width="5" style="57" customWidth="1"/>
    <col min="13320" max="13320" width="6.69921875" style="57" customWidth="1"/>
    <col min="13321" max="13326" width="5" style="57" customWidth="1"/>
    <col min="13327" max="13327" width="15.09765625" style="57" customWidth="1"/>
    <col min="13328" max="13329" width="7.69921875" style="57"/>
    <col min="13330" max="13330" width="9.19921875" style="57" customWidth="1"/>
    <col min="13331" max="13331" width="14.19921875" style="57" customWidth="1"/>
    <col min="13332" max="13332" width="11.09765625" style="57" customWidth="1"/>
    <col min="13333" max="13568" width="7.69921875" style="57"/>
    <col min="13569" max="13569" width="3.59765625" style="57" customWidth="1"/>
    <col min="13570" max="13570" width="11.5" style="57" customWidth="1"/>
    <col min="13571" max="13571" width="9.8984375" style="57" customWidth="1"/>
    <col min="13572" max="13572" width="6.3984375" style="57" customWidth="1"/>
    <col min="13573" max="13575" width="5" style="57" customWidth="1"/>
    <col min="13576" max="13576" width="6.69921875" style="57" customWidth="1"/>
    <col min="13577" max="13582" width="5" style="57" customWidth="1"/>
    <col min="13583" max="13583" width="15.09765625" style="57" customWidth="1"/>
    <col min="13584" max="13585" width="7.69921875" style="57"/>
    <col min="13586" max="13586" width="9.19921875" style="57" customWidth="1"/>
    <col min="13587" max="13587" width="14.19921875" style="57" customWidth="1"/>
    <col min="13588" max="13588" width="11.09765625" style="57" customWidth="1"/>
    <col min="13589" max="13824" width="7.69921875" style="57"/>
    <col min="13825" max="13825" width="3.59765625" style="57" customWidth="1"/>
    <col min="13826" max="13826" width="11.5" style="57" customWidth="1"/>
    <col min="13827" max="13827" width="9.8984375" style="57" customWidth="1"/>
    <col min="13828" max="13828" width="6.3984375" style="57" customWidth="1"/>
    <col min="13829" max="13831" width="5" style="57" customWidth="1"/>
    <col min="13832" max="13832" width="6.69921875" style="57" customWidth="1"/>
    <col min="13833" max="13838" width="5" style="57" customWidth="1"/>
    <col min="13839" max="13839" width="15.09765625" style="57" customWidth="1"/>
    <col min="13840" max="13841" width="7.69921875" style="57"/>
    <col min="13842" max="13842" width="9.19921875" style="57" customWidth="1"/>
    <col min="13843" max="13843" width="14.19921875" style="57" customWidth="1"/>
    <col min="13844" max="13844" width="11.09765625" style="57" customWidth="1"/>
    <col min="13845" max="14080" width="7.69921875" style="57"/>
    <col min="14081" max="14081" width="3.59765625" style="57" customWidth="1"/>
    <col min="14082" max="14082" width="11.5" style="57" customWidth="1"/>
    <col min="14083" max="14083" width="9.8984375" style="57" customWidth="1"/>
    <col min="14084" max="14084" width="6.3984375" style="57" customWidth="1"/>
    <col min="14085" max="14087" width="5" style="57" customWidth="1"/>
    <col min="14088" max="14088" width="6.69921875" style="57" customWidth="1"/>
    <col min="14089" max="14094" width="5" style="57" customWidth="1"/>
    <col min="14095" max="14095" width="15.09765625" style="57" customWidth="1"/>
    <col min="14096" max="14097" width="7.69921875" style="57"/>
    <col min="14098" max="14098" width="9.19921875" style="57" customWidth="1"/>
    <col min="14099" max="14099" width="14.19921875" style="57" customWidth="1"/>
    <col min="14100" max="14100" width="11.09765625" style="57" customWidth="1"/>
    <col min="14101" max="14336" width="7.69921875" style="57"/>
    <col min="14337" max="14337" width="3.59765625" style="57" customWidth="1"/>
    <col min="14338" max="14338" width="11.5" style="57" customWidth="1"/>
    <col min="14339" max="14339" width="9.8984375" style="57" customWidth="1"/>
    <col min="14340" max="14340" width="6.3984375" style="57" customWidth="1"/>
    <col min="14341" max="14343" width="5" style="57" customWidth="1"/>
    <col min="14344" max="14344" width="6.69921875" style="57" customWidth="1"/>
    <col min="14345" max="14350" width="5" style="57" customWidth="1"/>
    <col min="14351" max="14351" width="15.09765625" style="57" customWidth="1"/>
    <col min="14352" max="14353" width="7.69921875" style="57"/>
    <col min="14354" max="14354" width="9.19921875" style="57" customWidth="1"/>
    <col min="14355" max="14355" width="14.19921875" style="57" customWidth="1"/>
    <col min="14356" max="14356" width="11.09765625" style="57" customWidth="1"/>
    <col min="14357" max="14592" width="7.69921875" style="57"/>
    <col min="14593" max="14593" width="3.59765625" style="57" customWidth="1"/>
    <col min="14594" max="14594" width="11.5" style="57" customWidth="1"/>
    <col min="14595" max="14595" width="9.8984375" style="57" customWidth="1"/>
    <col min="14596" max="14596" width="6.3984375" style="57" customWidth="1"/>
    <col min="14597" max="14599" width="5" style="57" customWidth="1"/>
    <col min="14600" max="14600" width="6.69921875" style="57" customWidth="1"/>
    <col min="14601" max="14606" width="5" style="57" customWidth="1"/>
    <col min="14607" max="14607" width="15.09765625" style="57" customWidth="1"/>
    <col min="14608" max="14609" width="7.69921875" style="57"/>
    <col min="14610" max="14610" width="9.19921875" style="57" customWidth="1"/>
    <col min="14611" max="14611" width="14.19921875" style="57" customWidth="1"/>
    <col min="14612" max="14612" width="11.09765625" style="57" customWidth="1"/>
    <col min="14613" max="14848" width="7.69921875" style="57"/>
    <col min="14849" max="14849" width="3.59765625" style="57" customWidth="1"/>
    <col min="14850" max="14850" width="11.5" style="57" customWidth="1"/>
    <col min="14851" max="14851" width="9.8984375" style="57" customWidth="1"/>
    <col min="14852" max="14852" width="6.3984375" style="57" customWidth="1"/>
    <col min="14853" max="14855" width="5" style="57" customWidth="1"/>
    <col min="14856" max="14856" width="6.69921875" style="57" customWidth="1"/>
    <col min="14857" max="14862" width="5" style="57" customWidth="1"/>
    <col min="14863" max="14863" width="15.09765625" style="57" customWidth="1"/>
    <col min="14864" max="14865" width="7.69921875" style="57"/>
    <col min="14866" max="14866" width="9.19921875" style="57" customWidth="1"/>
    <col min="14867" max="14867" width="14.19921875" style="57" customWidth="1"/>
    <col min="14868" max="14868" width="11.09765625" style="57" customWidth="1"/>
    <col min="14869" max="15104" width="7.69921875" style="57"/>
    <col min="15105" max="15105" width="3.59765625" style="57" customWidth="1"/>
    <col min="15106" max="15106" width="11.5" style="57" customWidth="1"/>
    <col min="15107" max="15107" width="9.8984375" style="57" customWidth="1"/>
    <col min="15108" max="15108" width="6.3984375" style="57" customWidth="1"/>
    <col min="15109" max="15111" width="5" style="57" customWidth="1"/>
    <col min="15112" max="15112" width="6.69921875" style="57" customWidth="1"/>
    <col min="15113" max="15118" width="5" style="57" customWidth="1"/>
    <col min="15119" max="15119" width="15.09765625" style="57" customWidth="1"/>
    <col min="15120" max="15121" width="7.69921875" style="57"/>
    <col min="15122" max="15122" width="9.19921875" style="57" customWidth="1"/>
    <col min="15123" max="15123" width="14.19921875" style="57" customWidth="1"/>
    <col min="15124" max="15124" width="11.09765625" style="57" customWidth="1"/>
    <col min="15125" max="15360" width="7.69921875" style="57"/>
    <col min="15361" max="15361" width="3.59765625" style="57" customWidth="1"/>
    <col min="15362" max="15362" width="11.5" style="57" customWidth="1"/>
    <col min="15363" max="15363" width="9.8984375" style="57" customWidth="1"/>
    <col min="15364" max="15364" width="6.3984375" style="57" customWidth="1"/>
    <col min="15365" max="15367" width="5" style="57" customWidth="1"/>
    <col min="15368" max="15368" width="6.69921875" style="57" customWidth="1"/>
    <col min="15369" max="15374" width="5" style="57" customWidth="1"/>
    <col min="15375" max="15375" width="15.09765625" style="57" customWidth="1"/>
    <col min="15376" max="15377" width="7.69921875" style="57"/>
    <col min="15378" max="15378" width="9.19921875" style="57" customWidth="1"/>
    <col min="15379" max="15379" width="14.19921875" style="57" customWidth="1"/>
    <col min="15380" max="15380" width="11.09765625" style="57" customWidth="1"/>
    <col min="15381" max="15616" width="7.69921875" style="57"/>
    <col min="15617" max="15617" width="3.59765625" style="57" customWidth="1"/>
    <col min="15618" max="15618" width="11.5" style="57" customWidth="1"/>
    <col min="15619" max="15619" width="9.8984375" style="57" customWidth="1"/>
    <col min="15620" max="15620" width="6.3984375" style="57" customWidth="1"/>
    <col min="15621" max="15623" width="5" style="57" customWidth="1"/>
    <col min="15624" max="15624" width="6.69921875" style="57" customWidth="1"/>
    <col min="15625" max="15630" width="5" style="57" customWidth="1"/>
    <col min="15631" max="15631" width="15.09765625" style="57" customWidth="1"/>
    <col min="15632" max="15633" width="7.69921875" style="57"/>
    <col min="15634" max="15634" width="9.19921875" style="57" customWidth="1"/>
    <col min="15635" max="15635" width="14.19921875" style="57" customWidth="1"/>
    <col min="15636" max="15636" width="11.09765625" style="57" customWidth="1"/>
    <col min="15637" max="15872" width="7.69921875" style="57"/>
    <col min="15873" max="15873" width="3.59765625" style="57" customWidth="1"/>
    <col min="15874" max="15874" width="11.5" style="57" customWidth="1"/>
    <col min="15875" max="15875" width="9.8984375" style="57" customWidth="1"/>
    <col min="15876" max="15876" width="6.3984375" style="57" customWidth="1"/>
    <col min="15877" max="15879" width="5" style="57" customWidth="1"/>
    <col min="15880" max="15880" width="6.69921875" style="57" customWidth="1"/>
    <col min="15881" max="15886" width="5" style="57" customWidth="1"/>
    <col min="15887" max="15887" width="15.09765625" style="57" customWidth="1"/>
    <col min="15888" max="15889" width="7.69921875" style="57"/>
    <col min="15890" max="15890" width="9.19921875" style="57" customWidth="1"/>
    <col min="15891" max="15891" width="14.19921875" style="57" customWidth="1"/>
    <col min="15892" max="15892" width="11.09765625" style="57" customWidth="1"/>
    <col min="15893" max="16128" width="7.69921875" style="57"/>
    <col min="16129" max="16129" width="3.59765625" style="57" customWidth="1"/>
    <col min="16130" max="16130" width="11.5" style="57" customWidth="1"/>
    <col min="16131" max="16131" width="9.8984375" style="57" customWidth="1"/>
    <col min="16132" max="16132" width="6.3984375" style="57" customWidth="1"/>
    <col min="16133" max="16135" width="5" style="57" customWidth="1"/>
    <col min="16136" max="16136" width="6.69921875" style="57" customWidth="1"/>
    <col min="16137" max="16142" width="5" style="57" customWidth="1"/>
    <col min="16143" max="16143" width="15.09765625" style="57" customWidth="1"/>
    <col min="16144" max="16145" width="7.69921875" style="57"/>
    <col min="16146" max="16146" width="9.19921875" style="57" customWidth="1"/>
    <col min="16147" max="16147" width="14.19921875" style="57" customWidth="1"/>
    <col min="16148" max="16148" width="11.09765625" style="57" customWidth="1"/>
    <col min="16149" max="16384" width="7.69921875" style="57"/>
  </cols>
  <sheetData>
    <row r="1" spans="1:20" s="59" customFormat="1" ht="16.5" customHeight="1">
      <c r="Q1" s="59" t="s">
        <v>340</v>
      </c>
    </row>
    <row r="2" spans="1:20" s="59" customFormat="1" ht="19.5" customHeight="1">
      <c r="A2" s="67" t="s">
        <v>730</v>
      </c>
      <c r="L2" s="171" t="s">
        <v>886</v>
      </c>
      <c r="Q2" s="236" t="s">
        <v>341</v>
      </c>
    </row>
    <row r="3" spans="1:20" s="59" customFormat="1" ht="11.25" customHeight="1">
      <c r="A3" s="65" t="s">
        <v>342</v>
      </c>
    </row>
    <row r="4" spans="1:20" s="59" customFormat="1" ht="21.75" customHeight="1">
      <c r="A4" s="65"/>
      <c r="B4" s="533" t="s">
        <v>731</v>
      </c>
      <c r="C4" s="533"/>
      <c r="D4" s="533"/>
      <c r="E4" s="533"/>
      <c r="F4" s="533"/>
      <c r="G4" s="533"/>
      <c r="H4" s="533"/>
      <c r="I4" s="533"/>
      <c r="J4" s="533"/>
      <c r="K4" s="533"/>
      <c r="L4" s="533"/>
      <c r="M4" s="533"/>
      <c r="N4" s="533"/>
      <c r="O4" s="533"/>
      <c r="Q4" s="236"/>
    </row>
    <row r="5" spans="1:20" s="59" customFormat="1" ht="11.25" customHeight="1">
      <c r="A5" s="123"/>
    </row>
    <row r="6" spans="1:20" s="59" customFormat="1" ht="3.75" customHeight="1">
      <c r="A6" s="298"/>
      <c r="B6" s="299"/>
      <c r="C6" s="299"/>
      <c r="D6" s="299"/>
      <c r="E6" s="299"/>
      <c r="F6" s="299"/>
      <c r="G6" s="299"/>
      <c r="H6" s="299"/>
      <c r="I6" s="299"/>
      <c r="J6" s="299"/>
      <c r="K6" s="299"/>
      <c r="L6" s="299"/>
      <c r="M6" s="299"/>
      <c r="N6" s="299"/>
      <c r="O6" s="299"/>
    </row>
    <row r="7" spans="1:20" s="59" customFormat="1" ht="19.5" customHeight="1">
      <c r="A7" s="314">
        <v>1</v>
      </c>
      <c r="B7" s="299" t="s">
        <v>343</v>
      </c>
      <c r="C7" s="513"/>
      <c r="D7" s="514"/>
      <c r="E7" s="514"/>
      <c r="F7" s="514"/>
      <c r="G7" s="514"/>
      <c r="H7" s="514"/>
      <c r="I7" s="514"/>
      <c r="J7" s="514"/>
      <c r="K7" s="514"/>
      <c r="L7" s="514"/>
      <c r="M7" s="514"/>
      <c r="N7" s="515"/>
      <c r="O7" s="299"/>
      <c r="R7" s="534"/>
      <c r="S7" s="534"/>
      <c r="T7" s="69"/>
    </row>
    <row r="8" spans="1:20" s="59" customFormat="1" ht="19.5" customHeight="1">
      <c r="A8" s="298"/>
      <c r="B8" s="299" t="s">
        <v>344</v>
      </c>
      <c r="C8" s="513"/>
      <c r="D8" s="514"/>
      <c r="E8" s="514"/>
      <c r="F8" s="514"/>
      <c r="G8" s="514"/>
      <c r="H8" s="514"/>
      <c r="I8" s="514"/>
      <c r="J8" s="514"/>
      <c r="K8" s="514"/>
      <c r="L8" s="514"/>
      <c r="M8" s="514"/>
      <c r="N8" s="515"/>
      <c r="O8" s="299"/>
    </row>
    <row r="9" spans="1:20" s="59" customFormat="1" ht="3.75" customHeight="1">
      <c r="A9" s="302"/>
      <c r="B9" s="301"/>
      <c r="C9" s="301"/>
      <c r="D9" s="301"/>
      <c r="E9" s="301"/>
      <c r="F9" s="301"/>
      <c r="G9" s="301"/>
      <c r="H9" s="301"/>
      <c r="I9" s="301"/>
      <c r="J9" s="301"/>
      <c r="K9" s="301"/>
      <c r="L9" s="301"/>
      <c r="M9" s="301"/>
      <c r="N9" s="301"/>
      <c r="O9" s="301"/>
    </row>
    <row r="10" spans="1:20" s="59" customFormat="1" ht="19.5" customHeight="1">
      <c r="A10" s="314">
        <v>2</v>
      </c>
      <c r="B10" s="529" t="s">
        <v>608</v>
      </c>
      <c r="C10" s="529"/>
      <c r="D10" s="312"/>
      <c r="E10" s="312"/>
      <c r="F10" s="312"/>
      <c r="G10" s="312"/>
      <c r="H10" s="312"/>
      <c r="I10" s="312"/>
      <c r="J10" s="312"/>
      <c r="K10" s="312"/>
      <c r="L10" s="299"/>
      <c r="M10" s="299"/>
      <c r="N10" s="299"/>
      <c r="O10" s="299"/>
    </row>
    <row r="11" spans="1:20" s="59" customFormat="1" ht="19.5" customHeight="1">
      <c r="A11" s="298"/>
      <c r="B11" s="299" t="s">
        <v>345</v>
      </c>
      <c r="C11" s="299"/>
      <c r="D11" s="299"/>
      <c r="E11" s="513"/>
      <c r="F11" s="514"/>
      <c r="G11" s="514"/>
      <c r="H11" s="514"/>
      <c r="I11" s="514"/>
      <c r="J11" s="514"/>
      <c r="K11" s="514"/>
      <c r="L11" s="514"/>
      <c r="M11" s="514"/>
      <c r="N11" s="515"/>
      <c r="O11" s="299"/>
    </row>
    <row r="12" spans="1:20" s="59" customFormat="1" ht="19.5" customHeight="1">
      <c r="A12" s="298"/>
      <c r="B12" s="299" t="s">
        <v>609</v>
      </c>
      <c r="C12" s="299"/>
      <c r="D12" s="299"/>
      <c r="E12" s="513"/>
      <c r="F12" s="514"/>
      <c r="G12" s="514"/>
      <c r="H12" s="514"/>
      <c r="I12" s="514"/>
      <c r="J12" s="514"/>
      <c r="K12" s="514"/>
      <c r="L12" s="514"/>
      <c r="M12" s="514"/>
      <c r="N12" s="515"/>
      <c r="O12" s="299"/>
    </row>
    <row r="13" spans="1:20" s="59" customFormat="1" ht="19.5" customHeight="1">
      <c r="A13" s="298"/>
      <c r="B13" s="299" t="s">
        <v>346</v>
      </c>
      <c r="C13" s="299"/>
      <c r="D13" s="299"/>
      <c r="E13" s="513"/>
      <c r="F13" s="514"/>
      <c r="G13" s="514"/>
      <c r="H13" s="514"/>
      <c r="I13" s="514"/>
      <c r="J13" s="514"/>
      <c r="K13" s="514"/>
      <c r="L13" s="514"/>
      <c r="M13" s="514"/>
      <c r="N13" s="515"/>
      <c r="O13" s="299"/>
    </row>
    <row r="14" spans="1:20" s="59" customFormat="1" ht="19.5" customHeight="1">
      <c r="A14" s="298"/>
      <c r="B14" s="299" t="s">
        <v>347</v>
      </c>
      <c r="C14" s="299"/>
      <c r="D14" s="299"/>
      <c r="E14" s="513"/>
      <c r="F14" s="514"/>
      <c r="G14" s="514"/>
      <c r="H14" s="514"/>
      <c r="I14" s="514"/>
      <c r="J14" s="514"/>
      <c r="K14" s="514"/>
      <c r="L14" s="514"/>
      <c r="M14" s="514"/>
      <c r="N14" s="515"/>
      <c r="O14" s="299"/>
    </row>
    <row r="15" spans="1:20" s="59" customFormat="1" ht="19.5" customHeight="1">
      <c r="A15" s="298"/>
      <c r="B15" s="299" t="s">
        <v>348</v>
      </c>
      <c r="C15" s="299"/>
      <c r="D15" s="299"/>
      <c r="E15" s="513"/>
      <c r="F15" s="514"/>
      <c r="G15" s="514"/>
      <c r="H15" s="514"/>
      <c r="I15" s="514"/>
      <c r="J15" s="514"/>
      <c r="K15" s="514"/>
      <c r="L15" s="514"/>
      <c r="M15" s="514"/>
      <c r="N15" s="515"/>
      <c r="O15" s="299"/>
    </row>
    <row r="16" spans="1:20" s="59" customFormat="1" ht="3.75" customHeight="1">
      <c r="A16" s="302"/>
      <c r="B16" s="301"/>
      <c r="C16" s="301"/>
      <c r="D16" s="301"/>
      <c r="E16" s="301"/>
      <c r="F16" s="301"/>
      <c r="G16" s="301"/>
      <c r="H16" s="301"/>
      <c r="I16" s="301"/>
      <c r="J16" s="301"/>
      <c r="K16" s="301"/>
      <c r="L16" s="301"/>
      <c r="M16" s="301"/>
      <c r="N16" s="301"/>
      <c r="O16" s="301"/>
    </row>
    <row r="17" spans="1:15" s="59" customFormat="1" ht="19.5" customHeight="1">
      <c r="A17" s="314">
        <v>3</v>
      </c>
      <c r="B17" s="299" t="s">
        <v>168</v>
      </c>
      <c r="C17" s="312"/>
      <c r="D17" s="312"/>
      <c r="E17" s="312"/>
      <c r="F17" s="312"/>
      <c r="G17" s="312"/>
      <c r="H17" s="312"/>
      <c r="I17" s="312"/>
      <c r="J17" s="312"/>
      <c r="K17" s="312"/>
      <c r="L17" s="312"/>
      <c r="M17" s="312"/>
      <c r="N17" s="312"/>
      <c r="O17" s="299"/>
    </row>
    <row r="18" spans="1:15" s="59" customFormat="1" ht="19.5" customHeight="1">
      <c r="A18" s="298"/>
      <c r="B18" s="299" t="s">
        <v>349</v>
      </c>
      <c r="C18" s="299"/>
      <c r="D18" s="299"/>
      <c r="E18" s="513"/>
      <c r="F18" s="514"/>
      <c r="G18" s="514"/>
      <c r="H18" s="514"/>
      <c r="I18" s="514"/>
      <c r="J18" s="514"/>
      <c r="K18" s="514"/>
      <c r="L18" s="514"/>
      <c r="M18" s="514"/>
      <c r="N18" s="515"/>
      <c r="O18" s="299"/>
    </row>
    <row r="19" spans="1:15" s="59" customFormat="1" ht="3.75" customHeight="1">
      <c r="A19" s="302"/>
      <c r="B19" s="301"/>
      <c r="C19" s="301"/>
      <c r="D19" s="301"/>
      <c r="E19" s="301"/>
      <c r="F19" s="301"/>
      <c r="G19" s="301"/>
      <c r="H19" s="301"/>
      <c r="I19" s="301"/>
      <c r="J19" s="301"/>
      <c r="K19" s="301"/>
      <c r="L19" s="301"/>
      <c r="M19" s="301"/>
      <c r="N19" s="301"/>
      <c r="O19" s="301"/>
    </row>
    <row r="20" spans="1:15" s="59" customFormat="1" ht="19.5" customHeight="1">
      <c r="A20" s="314">
        <v>4</v>
      </c>
      <c r="B20" s="529" t="s">
        <v>350</v>
      </c>
      <c r="C20" s="529"/>
      <c r="D20" s="312"/>
      <c r="E20" s="312"/>
      <c r="F20" s="312"/>
      <c r="G20" s="312"/>
      <c r="H20" s="312"/>
      <c r="I20" s="312"/>
      <c r="J20" s="312"/>
      <c r="K20" s="312"/>
      <c r="L20" s="312"/>
      <c r="M20" s="312"/>
      <c r="N20" s="312"/>
      <c r="O20" s="299"/>
    </row>
    <row r="21" spans="1:15" s="59" customFormat="1" ht="19.5" customHeight="1">
      <c r="A21" s="298"/>
      <c r="B21" s="299" t="s">
        <v>351</v>
      </c>
      <c r="C21" s="299"/>
      <c r="D21" s="299"/>
      <c r="E21" s="513"/>
      <c r="F21" s="514"/>
      <c r="G21" s="514"/>
      <c r="H21" s="514"/>
      <c r="I21" s="514"/>
      <c r="J21" s="514"/>
      <c r="K21" s="514"/>
      <c r="L21" s="514"/>
      <c r="M21" s="514"/>
      <c r="N21" s="515"/>
      <c r="O21" s="299"/>
    </row>
    <row r="22" spans="1:15" s="59" customFormat="1" ht="19.5" customHeight="1">
      <c r="A22" s="298"/>
      <c r="B22" s="299" t="s">
        <v>352</v>
      </c>
      <c r="C22" s="299"/>
      <c r="D22" s="299"/>
      <c r="E22" s="513"/>
      <c r="F22" s="514"/>
      <c r="G22" s="514"/>
      <c r="H22" s="514"/>
      <c r="I22" s="514"/>
      <c r="J22" s="514"/>
      <c r="K22" s="514"/>
      <c r="L22" s="514"/>
      <c r="M22" s="514"/>
      <c r="N22" s="515"/>
      <c r="O22" s="299"/>
    </row>
    <row r="23" spans="1:15" s="59" customFormat="1" ht="3.75" customHeight="1">
      <c r="A23" s="302"/>
      <c r="B23" s="301"/>
      <c r="C23" s="301"/>
      <c r="D23" s="301"/>
      <c r="E23" s="301"/>
      <c r="F23" s="301"/>
      <c r="G23" s="301"/>
      <c r="H23" s="301"/>
      <c r="I23" s="301"/>
      <c r="J23" s="301"/>
      <c r="K23" s="301"/>
      <c r="L23" s="301"/>
      <c r="M23" s="301"/>
      <c r="N23" s="301"/>
      <c r="O23" s="301"/>
    </row>
    <row r="24" spans="1:15" s="59" customFormat="1" ht="19.5" customHeight="1">
      <c r="A24" s="314">
        <v>5</v>
      </c>
      <c r="B24" s="299" t="s">
        <v>353</v>
      </c>
      <c r="C24" s="312"/>
      <c r="D24" s="312"/>
      <c r="E24" s="312"/>
      <c r="F24" s="312"/>
      <c r="G24" s="312"/>
      <c r="H24" s="312"/>
      <c r="I24" s="310"/>
      <c r="J24" s="312"/>
      <c r="K24" s="312"/>
      <c r="L24" s="312"/>
      <c r="M24" s="312"/>
      <c r="N24" s="312"/>
      <c r="O24" s="312"/>
    </row>
    <row r="25" spans="1:15" s="59" customFormat="1" ht="19.5" customHeight="1">
      <c r="A25" s="298"/>
      <c r="B25" s="299" t="s">
        <v>354</v>
      </c>
      <c r="C25" s="299"/>
      <c r="D25" s="299"/>
      <c r="E25" s="299"/>
      <c r="F25" s="299"/>
      <c r="G25" s="299"/>
      <c r="H25" s="311" t="s">
        <v>355</v>
      </c>
      <c r="I25" s="520"/>
      <c r="J25" s="521"/>
      <c r="K25" s="521"/>
      <c r="L25" s="521"/>
      <c r="M25" s="521"/>
      <c r="N25" s="522"/>
      <c r="O25" s="299"/>
    </row>
    <row r="26" spans="1:15" s="59" customFormat="1" ht="19.5" customHeight="1">
      <c r="A26" s="298"/>
      <c r="B26" s="299" t="s">
        <v>356</v>
      </c>
      <c r="C26" s="299"/>
      <c r="D26" s="299"/>
      <c r="E26" s="299"/>
      <c r="F26" s="299"/>
      <c r="G26" s="299"/>
      <c r="H26" s="313"/>
      <c r="I26" s="517"/>
      <c r="J26" s="518"/>
      <c r="K26" s="518"/>
      <c r="L26" s="518"/>
      <c r="M26" s="518"/>
      <c r="N26" s="519"/>
      <c r="O26" s="299"/>
    </row>
    <row r="27" spans="1:15" s="59" customFormat="1" ht="19.5" customHeight="1">
      <c r="A27" s="298"/>
      <c r="B27" s="299" t="s">
        <v>612</v>
      </c>
      <c r="C27" s="299"/>
      <c r="D27" s="299"/>
      <c r="E27" s="299"/>
      <c r="F27" s="299"/>
      <c r="G27" s="299"/>
      <c r="H27" s="313"/>
      <c r="I27" s="517">
        <v>40</v>
      </c>
      <c r="J27" s="518"/>
      <c r="K27" s="518"/>
      <c r="L27" s="518"/>
      <c r="M27" s="518"/>
      <c r="N27" s="519"/>
      <c r="O27" s="299"/>
    </row>
    <row r="28" spans="1:15" s="59" customFormat="1" ht="19.5" customHeight="1">
      <c r="A28" s="298"/>
      <c r="B28" s="299" t="s">
        <v>133</v>
      </c>
      <c r="C28" s="299"/>
      <c r="D28" s="299"/>
      <c r="E28" s="299"/>
      <c r="F28" s="299"/>
      <c r="G28" s="299"/>
      <c r="H28" s="313"/>
      <c r="I28" s="516" t="s">
        <v>864</v>
      </c>
      <c r="J28" s="516"/>
      <c r="K28" s="516"/>
      <c r="L28" s="516"/>
      <c r="M28" s="516"/>
      <c r="N28" s="516"/>
      <c r="O28" s="299"/>
    </row>
    <row r="29" spans="1:15" s="59" customFormat="1" ht="3.75" customHeight="1">
      <c r="A29" s="302"/>
      <c r="B29" s="301"/>
      <c r="C29" s="301"/>
      <c r="D29" s="301"/>
      <c r="E29" s="301"/>
      <c r="F29" s="301"/>
      <c r="G29" s="301"/>
      <c r="H29" s="315"/>
      <c r="I29" s="315"/>
      <c r="J29" s="315"/>
      <c r="K29" s="315"/>
      <c r="L29" s="315"/>
      <c r="M29" s="315"/>
      <c r="N29" s="315"/>
      <c r="O29" s="301"/>
    </row>
    <row r="30" spans="1:15" s="59" customFormat="1" ht="19.5" customHeight="1">
      <c r="A30" s="314">
        <v>6</v>
      </c>
      <c r="B30" s="529" t="s">
        <v>357</v>
      </c>
      <c r="C30" s="529"/>
      <c r="D30" s="312"/>
      <c r="E30" s="312"/>
      <c r="F30" s="312"/>
      <c r="G30" s="312"/>
      <c r="H30" s="316"/>
      <c r="I30" s="310"/>
      <c r="J30" s="312"/>
      <c r="K30" s="312"/>
      <c r="L30" s="312"/>
      <c r="M30" s="312"/>
      <c r="N30" s="312"/>
      <c r="O30" s="312"/>
    </row>
    <row r="31" spans="1:15" s="59" customFormat="1" ht="19.5" customHeight="1">
      <c r="A31" s="314"/>
      <c r="B31" s="299" t="s">
        <v>358</v>
      </c>
      <c r="C31" s="299"/>
      <c r="D31" s="299"/>
      <c r="E31" s="299"/>
      <c r="F31" s="299"/>
      <c r="G31" s="299"/>
      <c r="H31" s="313"/>
      <c r="I31" s="530"/>
      <c r="J31" s="531"/>
      <c r="K31" s="531"/>
      <c r="L31" s="531"/>
      <c r="M31" s="531"/>
      <c r="N31" s="532"/>
      <c r="O31" s="312"/>
    </row>
    <row r="32" spans="1:15" s="59" customFormat="1" ht="19.5" customHeight="1">
      <c r="A32" s="314"/>
      <c r="B32" s="299" t="s">
        <v>359</v>
      </c>
      <c r="C32" s="299"/>
      <c r="D32" s="299"/>
      <c r="E32" s="299"/>
      <c r="F32" s="299"/>
      <c r="G32" s="299"/>
      <c r="H32" s="311" t="s">
        <v>355</v>
      </c>
      <c r="I32" s="520"/>
      <c r="J32" s="521"/>
      <c r="K32" s="521"/>
      <c r="L32" s="521"/>
      <c r="M32" s="521"/>
      <c r="N32" s="522"/>
      <c r="O32" s="312"/>
    </row>
    <row r="33" spans="1:23" s="59" customFormat="1" ht="19.5" customHeight="1">
      <c r="A33" s="314"/>
      <c r="B33" s="299" t="s">
        <v>611</v>
      </c>
      <c r="C33" s="299"/>
      <c r="D33" s="299"/>
      <c r="E33" s="299"/>
      <c r="F33" s="299"/>
      <c r="G33" s="299"/>
      <c r="H33" s="299"/>
      <c r="I33" s="523"/>
      <c r="J33" s="524"/>
      <c r="K33" s="524"/>
      <c r="L33" s="524"/>
      <c r="M33" s="524"/>
      <c r="N33" s="525"/>
      <c r="O33" s="312"/>
    </row>
    <row r="34" spans="1:23" s="59" customFormat="1" ht="19.5" customHeight="1">
      <c r="A34" s="314"/>
      <c r="B34" s="299" t="s">
        <v>613</v>
      </c>
      <c r="C34" s="299"/>
      <c r="D34" s="299"/>
      <c r="E34" s="299"/>
      <c r="F34" s="299"/>
      <c r="G34" s="299"/>
      <c r="H34" s="299"/>
      <c r="I34" s="526"/>
      <c r="J34" s="527"/>
      <c r="K34" s="527"/>
      <c r="L34" s="527"/>
      <c r="M34" s="527"/>
      <c r="N34" s="528"/>
      <c r="O34" s="312"/>
    </row>
    <row r="35" spans="1:23" s="59" customFormat="1" ht="19.5" customHeight="1">
      <c r="A35" s="314"/>
      <c r="B35" s="299" t="s">
        <v>732</v>
      </c>
      <c r="C35" s="299"/>
      <c r="D35" s="299"/>
      <c r="E35" s="510"/>
      <c r="F35" s="511"/>
      <c r="G35" s="299" t="s">
        <v>614</v>
      </c>
      <c r="H35" s="299"/>
      <c r="I35" s="299"/>
      <c r="J35" s="299"/>
      <c r="K35" s="299"/>
      <c r="L35" s="313" t="s">
        <v>615</v>
      </c>
      <c r="M35" s="510"/>
      <c r="N35" s="511"/>
      <c r="O35" s="299" t="s">
        <v>211</v>
      </c>
    </row>
    <row r="36" spans="1:23" s="59" customFormat="1" ht="19.5" customHeight="1">
      <c r="A36" s="314"/>
      <c r="B36" s="299" t="s">
        <v>733</v>
      </c>
      <c r="C36" s="299"/>
      <c r="D36" s="299"/>
      <c r="E36" s="510"/>
      <c r="F36" s="511"/>
      <c r="G36" s="299" t="s">
        <v>614</v>
      </c>
      <c r="H36" s="299"/>
      <c r="I36" s="299"/>
      <c r="J36" s="299"/>
      <c r="K36" s="299"/>
      <c r="L36" s="313" t="s">
        <v>616</v>
      </c>
      <c r="M36" s="510"/>
      <c r="N36" s="511"/>
      <c r="O36" s="299" t="s">
        <v>211</v>
      </c>
    </row>
    <row r="37" spans="1:23" s="59" customFormat="1" ht="19.5" customHeight="1">
      <c r="A37" s="314"/>
      <c r="B37" s="299" t="s">
        <v>617</v>
      </c>
      <c r="C37" s="299"/>
      <c r="D37" s="299"/>
      <c r="E37" s="510"/>
      <c r="F37" s="511"/>
      <c r="G37" s="299" t="s">
        <v>207</v>
      </c>
      <c r="H37" s="299"/>
      <c r="I37" s="299"/>
      <c r="J37" s="299"/>
      <c r="K37" s="299"/>
      <c r="L37" s="313" t="s">
        <v>734</v>
      </c>
      <c r="M37" s="510"/>
      <c r="N37" s="511"/>
      <c r="O37" s="299" t="s">
        <v>735</v>
      </c>
    </row>
    <row r="38" spans="1:23" s="59" customFormat="1" ht="19.5" customHeight="1">
      <c r="A38" s="314"/>
      <c r="B38" s="299" t="s">
        <v>618</v>
      </c>
      <c r="C38" s="299"/>
      <c r="D38" s="299"/>
      <c r="E38" s="510"/>
      <c r="F38" s="511"/>
      <c r="G38" s="299" t="s">
        <v>207</v>
      </c>
      <c r="H38" s="299"/>
      <c r="I38" s="299"/>
      <c r="J38" s="299"/>
      <c r="K38" s="299"/>
      <c r="L38" s="313" t="s">
        <v>736</v>
      </c>
      <c r="M38" s="510"/>
      <c r="N38" s="511"/>
      <c r="O38" s="299" t="s">
        <v>735</v>
      </c>
      <c r="S38" s="61"/>
      <c r="T38" s="61" t="s">
        <v>737</v>
      </c>
    </row>
    <row r="39" spans="1:23" s="237" customFormat="1" ht="3.75" customHeight="1">
      <c r="A39" s="300"/>
      <c r="B39" s="301"/>
      <c r="C39" s="301"/>
      <c r="D39" s="301"/>
      <c r="E39" s="301"/>
      <c r="F39" s="301"/>
      <c r="G39" s="301"/>
      <c r="H39" s="301"/>
      <c r="I39" s="301"/>
      <c r="J39" s="301"/>
      <c r="K39" s="301"/>
      <c r="L39" s="301"/>
      <c r="M39" s="301"/>
      <c r="N39" s="301"/>
      <c r="O39" s="301"/>
      <c r="S39" s="238"/>
      <c r="T39" s="238"/>
    </row>
    <row r="40" spans="1:23" s="239" customFormat="1" ht="3.75" customHeight="1">
      <c r="A40" s="304"/>
      <c r="B40" s="305"/>
      <c r="C40" s="305"/>
      <c r="D40" s="305"/>
      <c r="E40" s="305"/>
      <c r="F40" s="305"/>
      <c r="G40" s="305"/>
      <c r="H40" s="305"/>
      <c r="I40" s="305"/>
      <c r="J40" s="305"/>
      <c r="K40" s="305"/>
      <c r="L40" s="305"/>
      <c r="M40" s="305"/>
      <c r="N40" s="305"/>
      <c r="O40" s="305"/>
      <c r="S40" s="240"/>
      <c r="T40" s="240"/>
    </row>
    <row r="41" spans="1:23" s="59" customFormat="1" ht="19.5" customHeight="1">
      <c r="A41" s="314">
        <v>7</v>
      </c>
      <c r="B41" s="487" t="s">
        <v>360</v>
      </c>
      <c r="C41" s="487"/>
      <c r="D41" s="312"/>
      <c r="E41" s="312"/>
      <c r="F41" s="312"/>
      <c r="G41" s="299"/>
      <c r="H41" s="312"/>
      <c r="I41" s="312"/>
      <c r="J41" s="312"/>
      <c r="K41" s="312"/>
      <c r="L41" s="313" t="s">
        <v>255</v>
      </c>
      <c r="M41" s="512">
        <f>T41</f>
        <v>0</v>
      </c>
      <c r="N41" s="512"/>
      <c r="O41" s="310" t="s">
        <v>361</v>
      </c>
      <c r="S41" s="61" t="s">
        <v>738</v>
      </c>
      <c r="T41" s="241">
        <f>'SP4-2'!R36</f>
        <v>0</v>
      </c>
    </row>
    <row r="42" spans="1:23" s="237" customFormat="1" ht="3.75" customHeight="1">
      <c r="A42" s="300"/>
      <c r="B42" s="301"/>
      <c r="C42" s="301"/>
      <c r="D42" s="301"/>
      <c r="E42" s="301"/>
      <c r="F42" s="301"/>
      <c r="G42" s="301"/>
      <c r="H42" s="301"/>
      <c r="I42" s="301"/>
      <c r="J42" s="301"/>
      <c r="K42" s="301"/>
      <c r="L42" s="301"/>
      <c r="M42" s="301"/>
      <c r="N42" s="301"/>
      <c r="O42" s="303"/>
      <c r="Q42" s="242"/>
      <c r="S42" s="238"/>
      <c r="T42" s="243"/>
    </row>
    <row r="43" spans="1:23" s="239" customFormat="1" ht="3.75" customHeight="1">
      <c r="A43" s="304"/>
      <c r="B43" s="305"/>
      <c r="C43" s="305"/>
      <c r="D43" s="305"/>
      <c r="E43" s="305"/>
      <c r="F43" s="305"/>
      <c r="G43" s="305"/>
      <c r="H43" s="305"/>
      <c r="I43" s="305"/>
      <c r="J43" s="305"/>
      <c r="K43" s="305"/>
      <c r="L43" s="305"/>
      <c r="M43" s="305"/>
      <c r="N43" s="305"/>
      <c r="O43" s="307"/>
      <c r="S43" s="240"/>
      <c r="T43" s="244"/>
    </row>
    <row r="44" spans="1:23" s="59" customFormat="1" ht="19.5" customHeight="1">
      <c r="A44" s="314">
        <v>8</v>
      </c>
      <c r="B44" s="487" t="s">
        <v>362</v>
      </c>
      <c r="C44" s="487"/>
      <c r="D44" s="487"/>
      <c r="E44" s="312"/>
      <c r="F44" s="312"/>
      <c r="G44" s="312"/>
      <c r="H44" s="312"/>
      <c r="I44" s="312"/>
      <c r="J44" s="312"/>
      <c r="K44" s="312"/>
      <c r="L44" s="313" t="s">
        <v>255</v>
      </c>
      <c r="M44" s="509">
        <f>'SP4-3 (1)'!Q34</f>
        <v>0</v>
      </c>
      <c r="N44" s="509"/>
      <c r="O44" s="310" t="s">
        <v>363</v>
      </c>
      <c r="S44" s="61" t="s">
        <v>739</v>
      </c>
      <c r="T44" s="241">
        <f>'SP4-3 (1)'!Q34</f>
        <v>0</v>
      </c>
    </row>
    <row r="45" spans="1:23" s="237" customFormat="1" ht="3.75" customHeight="1">
      <c r="A45" s="300"/>
      <c r="B45" s="301"/>
      <c r="C45" s="301"/>
      <c r="D45" s="301"/>
      <c r="E45" s="301"/>
      <c r="F45" s="301"/>
      <c r="G45" s="301"/>
      <c r="H45" s="301"/>
      <c r="I45" s="301"/>
      <c r="J45" s="301"/>
      <c r="K45" s="301"/>
      <c r="L45" s="301"/>
      <c r="M45" s="301"/>
      <c r="N45" s="301"/>
      <c r="O45" s="303"/>
      <c r="S45" s="238"/>
      <c r="T45" s="243"/>
    </row>
    <row r="46" spans="1:23" s="239" customFormat="1" ht="3.75" customHeight="1">
      <c r="A46" s="304"/>
      <c r="B46" s="305"/>
      <c r="C46" s="305"/>
      <c r="D46" s="305"/>
      <c r="E46" s="305"/>
      <c r="F46" s="305"/>
      <c r="G46" s="305"/>
      <c r="H46" s="305"/>
      <c r="I46" s="305"/>
      <c r="J46" s="305"/>
      <c r="K46" s="305"/>
      <c r="L46" s="305"/>
      <c r="M46" s="305"/>
      <c r="N46" s="305"/>
      <c r="O46" s="307"/>
      <c r="S46" s="240"/>
      <c r="T46" s="244"/>
    </row>
    <row r="47" spans="1:23" s="59" customFormat="1" ht="19.5" customHeight="1">
      <c r="A47" s="314">
        <v>9</v>
      </c>
      <c r="B47" s="487" t="s">
        <v>364</v>
      </c>
      <c r="C47" s="487"/>
      <c r="D47" s="487"/>
      <c r="E47" s="487"/>
      <c r="F47" s="312"/>
      <c r="G47" s="312"/>
      <c r="H47" s="312"/>
      <c r="I47" s="312"/>
      <c r="J47" s="312"/>
      <c r="K47" s="312"/>
      <c r="L47" s="312"/>
      <c r="M47" s="312"/>
      <c r="N47" s="299"/>
      <c r="O47" s="310"/>
      <c r="S47" s="61" t="s">
        <v>740</v>
      </c>
      <c r="T47" s="241">
        <f>'SP4-3 (2)'!Q34</f>
        <v>0</v>
      </c>
    </row>
    <row r="48" spans="1:23" s="59" customFormat="1" ht="19.5" customHeight="1">
      <c r="A48" s="298"/>
      <c r="B48" s="299" t="s">
        <v>365</v>
      </c>
      <c r="C48" s="299"/>
      <c r="D48" s="313" t="s">
        <v>255</v>
      </c>
      <c r="E48" s="504">
        <f>IF('SP4-4'!O30="","",'SP4-4'!O30)</f>
        <v>0</v>
      </c>
      <c r="F48" s="505"/>
      <c r="G48" s="312" t="s">
        <v>366</v>
      </c>
      <c r="H48" s="299"/>
      <c r="I48" s="299"/>
      <c r="J48" s="506"/>
      <c r="K48" s="507"/>
      <c r="L48" s="311" t="s">
        <v>367</v>
      </c>
      <c r="M48" s="495">
        <f>E48*J48</f>
        <v>0</v>
      </c>
      <c r="N48" s="496"/>
      <c r="O48" s="310" t="s">
        <v>619</v>
      </c>
      <c r="S48" s="508" t="s">
        <v>826</v>
      </c>
      <c r="T48" s="508"/>
      <c r="U48" s="508"/>
      <c r="V48" s="508"/>
      <c r="W48" s="508"/>
    </row>
    <row r="49" spans="1:23" s="59" customFormat="1" ht="19.5" customHeight="1">
      <c r="A49" s="298"/>
      <c r="B49" s="299" t="s">
        <v>741</v>
      </c>
      <c r="C49" s="299"/>
      <c r="D49" s="313" t="s">
        <v>255</v>
      </c>
      <c r="E49" s="504">
        <f>'SP4-4'!O38</f>
        <v>0</v>
      </c>
      <c r="F49" s="505"/>
      <c r="G49" s="312" t="s">
        <v>742</v>
      </c>
      <c r="H49" s="299"/>
      <c r="I49" s="299"/>
      <c r="J49" s="506"/>
      <c r="K49" s="507"/>
      <c r="L49" s="311" t="s">
        <v>367</v>
      </c>
      <c r="M49" s="495">
        <f>E49*J49</f>
        <v>0</v>
      </c>
      <c r="N49" s="496"/>
      <c r="O49" s="310" t="s">
        <v>743</v>
      </c>
      <c r="S49" s="508"/>
      <c r="T49" s="508"/>
      <c r="U49" s="508"/>
      <c r="V49" s="508"/>
      <c r="W49" s="508"/>
    </row>
    <row r="50" spans="1:23" s="59" customFormat="1" ht="19.5" customHeight="1">
      <c r="A50" s="298"/>
      <c r="B50" s="299" t="s">
        <v>620</v>
      </c>
      <c r="C50" s="299"/>
      <c r="D50" s="313" t="s">
        <v>255</v>
      </c>
      <c r="E50" s="504">
        <f>'SP4-5'!O31</f>
        <v>0</v>
      </c>
      <c r="F50" s="505"/>
      <c r="G50" s="312" t="s">
        <v>621</v>
      </c>
      <c r="H50" s="299"/>
      <c r="I50" s="299"/>
      <c r="J50" s="506"/>
      <c r="K50" s="507"/>
      <c r="L50" s="311" t="s">
        <v>367</v>
      </c>
      <c r="M50" s="495">
        <f>E50*J50</f>
        <v>0</v>
      </c>
      <c r="N50" s="496"/>
      <c r="O50" s="310" t="s">
        <v>368</v>
      </c>
      <c r="S50" s="508"/>
      <c r="T50" s="508"/>
      <c r="U50" s="508"/>
      <c r="V50" s="508"/>
      <c r="W50" s="508"/>
    </row>
    <row r="51" spans="1:23" s="59" customFormat="1" ht="19.5" customHeight="1">
      <c r="A51" s="298"/>
      <c r="B51" s="299" t="s">
        <v>622</v>
      </c>
      <c r="C51" s="299"/>
      <c r="D51" s="313" t="s">
        <v>255</v>
      </c>
      <c r="E51" s="504">
        <f>'SP4-6'!J41</f>
        <v>0</v>
      </c>
      <c r="F51" s="505"/>
      <c r="G51" s="312" t="s">
        <v>623</v>
      </c>
      <c r="H51" s="299"/>
      <c r="I51" s="299"/>
      <c r="J51" s="506"/>
      <c r="K51" s="507"/>
      <c r="L51" s="311" t="s">
        <v>367</v>
      </c>
      <c r="M51" s="495">
        <f>E51*J51</f>
        <v>0</v>
      </c>
      <c r="N51" s="496"/>
      <c r="O51" s="310" t="s">
        <v>369</v>
      </c>
    </row>
    <row r="52" spans="1:23" s="237" customFormat="1" ht="3.75" customHeight="1">
      <c r="A52" s="300"/>
      <c r="B52" s="301"/>
      <c r="C52" s="301"/>
      <c r="D52" s="301"/>
      <c r="E52" s="301"/>
      <c r="F52" s="301"/>
      <c r="G52" s="301"/>
      <c r="H52" s="301"/>
      <c r="I52" s="301"/>
      <c r="J52" s="301"/>
      <c r="K52" s="301"/>
      <c r="L52" s="301"/>
      <c r="M52" s="301"/>
      <c r="N52" s="301"/>
      <c r="O52" s="303"/>
      <c r="P52" s="59"/>
      <c r="Q52" s="59"/>
    </row>
    <row r="53" spans="1:23" s="239" customFormat="1" ht="3.75" customHeight="1" thickBot="1">
      <c r="A53" s="304"/>
      <c r="B53" s="305"/>
      <c r="C53" s="305"/>
      <c r="D53" s="305"/>
      <c r="E53" s="305"/>
      <c r="F53" s="305"/>
      <c r="G53" s="305"/>
      <c r="H53" s="305"/>
      <c r="I53" s="305"/>
      <c r="J53" s="305"/>
      <c r="K53" s="305"/>
      <c r="L53" s="305"/>
      <c r="M53" s="305"/>
      <c r="N53" s="305"/>
      <c r="O53" s="307"/>
      <c r="P53" s="59"/>
      <c r="Q53" s="59"/>
    </row>
    <row r="54" spans="1:23" s="59" customFormat="1" ht="19.5" customHeight="1" thickBot="1">
      <c r="A54" s="490">
        <v>10</v>
      </c>
      <c r="B54" s="491" t="s">
        <v>370</v>
      </c>
      <c r="C54" s="492" t="s">
        <v>371</v>
      </c>
      <c r="D54" s="492"/>
      <c r="E54" s="490" t="s">
        <v>372</v>
      </c>
      <c r="F54" s="497" t="s">
        <v>744</v>
      </c>
      <c r="G54" s="497"/>
      <c r="H54" s="497"/>
      <c r="I54" s="490" t="s">
        <v>372</v>
      </c>
      <c r="J54" s="498">
        <f>M48+M50+M51+M49</f>
        <v>0</v>
      </c>
      <c r="K54" s="498"/>
      <c r="L54" s="494" t="s">
        <v>745</v>
      </c>
      <c r="M54" s="499">
        <f>IF(J55=0,,J54/J55)</f>
        <v>0</v>
      </c>
      <c r="N54" s="500"/>
      <c r="O54" s="309"/>
    </row>
    <row r="55" spans="1:23" s="59" customFormat="1" ht="19.5" customHeight="1" thickTop="1" thickBot="1">
      <c r="A55" s="490"/>
      <c r="B55" s="491"/>
      <c r="C55" s="488" t="s">
        <v>624</v>
      </c>
      <c r="D55" s="488"/>
      <c r="E55" s="490"/>
      <c r="F55" s="489" t="s">
        <v>373</v>
      </c>
      <c r="G55" s="489"/>
      <c r="H55" s="489"/>
      <c r="I55" s="490"/>
      <c r="J55" s="503">
        <f>M44-M41</f>
        <v>0</v>
      </c>
      <c r="K55" s="503"/>
      <c r="L55" s="494"/>
      <c r="M55" s="501"/>
      <c r="N55" s="502"/>
      <c r="O55" s="308"/>
    </row>
    <row r="56" spans="1:23" s="237" customFormat="1" ht="3.75" customHeight="1">
      <c r="A56" s="300"/>
      <c r="B56" s="301"/>
      <c r="C56" s="301"/>
      <c r="D56" s="301"/>
      <c r="E56" s="301"/>
      <c r="F56" s="301"/>
      <c r="G56" s="301"/>
      <c r="H56" s="301"/>
      <c r="I56" s="301"/>
      <c r="J56" s="301"/>
      <c r="K56" s="301"/>
      <c r="L56" s="302"/>
      <c r="M56" s="301"/>
      <c r="N56" s="301"/>
      <c r="O56" s="303"/>
      <c r="P56" s="59"/>
      <c r="Q56" s="59"/>
    </row>
    <row r="57" spans="1:23" s="239" customFormat="1" ht="3.75" customHeight="1">
      <c r="A57" s="304"/>
      <c r="B57" s="305"/>
      <c r="C57" s="305"/>
      <c r="D57" s="305"/>
      <c r="E57" s="305"/>
      <c r="F57" s="305"/>
      <c r="G57" s="305"/>
      <c r="H57" s="305"/>
      <c r="I57" s="305"/>
      <c r="J57" s="305"/>
      <c r="K57" s="305"/>
      <c r="L57" s="306"/>
      <c r="M57" s="305"/>
      <c r="N57" s="305"/>
      <c r="O57" s="307"/>
    </row>
    <row r="58" spans="1:23" s="59" customFormat="1" ht="19.5" customHeight="1" thickBot="1">
      <c r="A58" s="490">
        <v>11</v>
      </c>
      <c r="B58" s="491" t="s">
        <v>374</v>
      </c>
      <c r="C58" s="492" t="s">
        <v>625</v>
      </c>
      <c r="D58" s="492"/>
      <c r="E58" s="490" t="s">
        <v>372</v>
      </c>
      <c r="F58" s="493" t="s">
        <v>885</v>
      </c>
      <c r="G58" s="493"/>
      <c r="H58" s="493"/>
      <c r="I58" s="493"/>
      <c r="J58" s="493"/>
      <c r="K58" s="493"/>
      <c r="L58" s="494" t="s">
        <v>745</v>
      </c>
      <c r="M58" s="485">
        <f>IF(M54=0,,(((M48+M49+M50)/'SP4-5'!J37+('SP4-1'!M51/'SP4-6'!H49))*(1+I34)*Tables!T6)/(M44-M41))</f>
        <v>0</v>
      </c>
      <c r="N58" s="485"/>
      <c r="O58" s="487" t="s">
        <v>198</v>
      </c>
    </row>
    <row r="59" spans="1:23" s="59" customFormat="1" ht="19.5" customHeight="1" thickTop="1">
      <c r="A59" s="490"/>
      <c r="B59" s="491"/>
      <c r="C59" s="488" t="s">
        <v>624</v>
      </c>
      <c r="D59" s="488"/>
      <c r="E59" s="490"/>
      <c r="F59" s="489" t="s">
        <v>626</v>
      </c>
      <c r="G59" s="489"/>
      <c r="H59" s="489"/>
      <c r="I59" s="489"/>
      <c r="J59" s="489"/>
      <c r="K59" s="489"/>
      <c r="L59" s="494"/>
      <c r="M59" s="486"/>
      <c r="N59" s="486"/>
      <c r="O59" s="487"/>
    </row>
    <row r="60" spans="1:23" s="59" customFormat="1" ht="3.75" customHeight="1">
      <c r="A60" s="298"/>
      <c r="B60" s="299"/>
      <c r="C60" s="299"/>
      <c r="D60" s="299"/>
      <c r="E60" s="299"/>
      <c r="F60" s="299"/>
      <c r="G60" s="299"/>
      <c r="H60" s="299"/>
      <c r="I60" s="299"/>
      <c r="J60" s="299"/>
      <c r="K60" s="299"/>
      <c r="L60" s="299"/>
      <c r="M60" s="299"/>
      <c r="N60" s="299"/>
      <c r="O60" s="299"/>
    </row>
    <row r="61" spans="1:23" s="59" customFormat="1">
      <c r="A61" s="123"/>
    </row>
    <row r="62" spans="1:23" s="59" customFormat="1">
      <c r="A62" s="123"/>
    </row>
    <row r="63" spans="1:23" s="59" customFormat="1">
      <c r="A63" s="123"/>
    </row>
    <row r="64" spans="1:23" s="59" customFormat="1">
      <c r="A64" s="123"/>
    </row>
    <row r="65" spans="1:1" s="59" customFormat="1">
      <c r="A65" s="123"/>
    </row>
    <row r="66" spans="1:1" s="59" customFormat="1">
      <c r="A66" s="123"/>
    </row>
    <row r="70" spans="1:1" hidden="1">
      <c r="A70" s="58">
        <v>2024</v>
      </c>
    </row>
    <row r="71" spans="1:1" hidden="1">
      <c r="A71" s="58">
        <v>2025</v>
      </c>
    </row>
    <row r="72" spans="1:1" hidden="1">
      <c r="A72" s="58">
        <v>2026</v>
      </c>
    </row>
    <row r="73" spans="1:1" hidden="1">
      <c r="A73" s="58">
        <v>2027</v>
      </c>
    </row>
    <row r="74" spans="1:1" hidden="1">
      <c r="A74" s="58">
        <v>2028</v>
      </c>
    </row>
    <row r="75" spans="1:1" hidden="1">
      <c r="A75" s="58">
        <v>2029</v>
      </c>
    </row>
    <row r="76" spans="1:1" hidden="1">
      <c r="A76" s="58">
        <v>2030</v>
      </c>
    </row>
    <row r="77" spans="1:1" hidden="1">
      <c r="A77" s="58">
        <v>2031</v>
      </c>
    </row>
    <row r="78" spans="1:1" hidden="1">
      <c r="A78" s="58">
        <v>2032</v>
      </c>
    </row>
    <row r="79" spans="1:1" hidden="1">
      <c r="A79" s="58">
        <v>2033</v>
      </c>
    </row>
    <row r="80" spans="1:1" hidden="1">
      <c r="A80" s="58">
        <v>2034</v>
      </c>
    </row>
    <row r="81" spans="1:1" hidden="1">
      <c r="A81" s="58">
        <v>2035</v>
      </c>
    </row>
    <row r="82" spans="1:1" hidden="1">
      <c r="A82" s="58">
        <v>2036</v>
      </c>
    </row>
    <row r="83" spans="1:1" hidden="1">
      <c r="A83" s="58">
        <v>2037</v>
      </c>
    </row>
    <row r="84" spans="1:1" hidden="1">
      <c r="A84" s="58">
        <v>2038</v>
      </c>
    </row>
    <row r="85" spans="1:1" hidden="1">
      <c r="A85" s="58">
        <v>2039</v>
      </c>
    </row>
    <row r="86" spans="1:1" hidden="1">
      <c r="A86" s="58">
        <v>2040</v>
      </c>
    </row>
    <row r="87" spans="1:1" hidden="1">
      <c r="A87" s="58">
        <v>2041</v>
      </c>
    </row>
    <row r="88" spans="1:1" hidden="1">
      <c r="A88" s="58">
        <v>2042</v>
      </c>
    </row>
    <row r="89" spans="1:1" hidden="1">
      <c r="A89" s="58">
        <v>2043</v>
      </c>
    </row>
    <row r="90" spans="1:1" hidden="1">
      <c r="A90" s="58">
        <v>2044</v>
      </c>
    </row>
    <row r="91" spans="1:1" hidden="1">
      <c r="A91" s="58">
        <v>2045</v>
      </c>
    </row>
    <row r="92" spans="1:1" hidden="1">
      <c r="A92" s="58">
        <v>2046</v>
      </c>
    </row>
    <row r="93" spans="1:1" hidden="1">
      <c r="A93" s="58">
        <v>2047</v>
      </c>
    </row>
    <row r="94" spans="1:1" hidden="1">
      <c r="A94" s="58">
        <v>2048</v>
      </c>
    </row>
    <row r="95" spans="1:1" hidden="1">
      <c r="A95" s="58">
        <v>2049</v>
      </c>
    </row>
    <row r="96" spans="1:1" hidden="1">
      <c r="A96" s="58">
        <v>2050</v>
      </c>
    </row>
    <row r="97" spans="1:1" hidden="1">
      <c r="A97" s="58">
        <v>2051</v>
      </c>
    </row>
    <row r="98" spans="1:1" hidden="1">
      <c r="A98" s="58">
        <v>2052</v>
      </c>
    </row>
    <row r="99" spans="1:1" hidden="1">
      <c r="A99" s="58">
        <v>2053</v>
      </c>
    </row>
    <row r="100" spans="1:1" hidden="1">
      <c r="A100" s="58">
        <v>2054</v>
      </c>
    </row>
    <row r="101" spans="1:1" hidden="1">
      <c r="A101" s="58">
        <v>2055</v>
      </c>
    </row>
  </sheetData>
  <sheetProtection algorithmName="SHA-512" hashValue="/UmkCqw1Kk/5ltyrvK4MzPC3xkeylxtPOemXkofEhmszVIATbZk2XxrhByBcjq5ZIsG1474aRw9iftOsuXAxBg==" saltValue="jQaDu30954eon2AURfs7Zw==" spinCount="100000" sheet="1" objects="1" scenarios="1"/>
  <protectedRanges>
    <protectedRange sqref="E48:F51" name="Range15"/>
    <protectedRange sqref="J48:K51" name="Range14"/>
    <protectedRange sqref="M44 M41:N41" name="Range13"/>
    <protectedRange sqref="M44 M41:N41" name="Range12"/>
    <protectedRange sqref="C7:N8" name="Range1_1"/>
    <protectedRange sqref="E11:N15" name="Range2_1"/>
    <protectedRange sqref="E18:N18" name="Range3_1"/>
    <protectedRange sqref="E21:N22" name="Range5_1_1"/>
  </protectedRanges>
  <mergeCells count="71">
    <mergeCell ref="B4:O4"/>
    <mergeCell ref="C7:N7"/>
    <mergeCell ref="R7:S7"/>
    <mergeCell ref="C8:N8"/>
    <mergeCell ref="B10:C10"/>
    <mergeCell ref="B30:C30"/>
    <mergeCell ref="I31:N31"/>
    <mergeCell ref="E12:N12"/>
    <mergeCell ref="E13:N13"/>
    <mergeCell ref="E14:N14"/>
    <mergeCell ref="E15:N15"/>
    <mergeCell ref="E18:N18"/>
    <mergeCell ref="B20:C20"/>
    <mergeCell ref="E11:N11"/>
    <mergeCell ref="I28:N28"/>
    <mergeCell ref="I27:N27"/>
    <mergeCell ref="E36:F36"/>
    <mergeCell ref="M36:N36"/>
    <mergeCell ref="E21:N21"/>
    <mergeCell ref="E22:N22"/>
    <mergeCell ref="I25:N25"/>
    <mergeCell ref="I26:N26"/>
    <mergeCell ref="I32:N32"/>
    <mergeCell ref="I33:N33"/>
    <mergeCell ref="I34:N34"/>
    <mergeCell ref="E35:F35"/>
    <mergeCell ref="M35:N35"/>
    <mergeCell ref="E37:F37"/>
    <mergeCell ref="M37:N37"/>
    <mergeCell ref="E38:F38"/>
    <mergeCell ref="M38:N38"/>
    <mergeCell ref="B41:C41"/>
    <mergeCell ref="M41:N41"/>
    <mergeCell ref="B44:D44"/>
    <mergeCell ref="M44:N44"/>
    <mergeCell ref="B47:E47"/>
    <mergeCell ref="E48:F48"/>
    <mergeCell ref="J48:K48"/>
    <mergeCell ref="M48:N48"/>
    <mergeCell ref="S48:W50"/>
    <mergeCell ref="E49:F49"/>
    <mergeCell ref="J49:K49"/>
    <mergeCell ref="M49:N49"/>
    <mergeCell ref="E50:F50"/>
    <mergeCell ref="J50:K50"/>
    <mergeCell ref="M50:N50"/>
    <mergeCell ref="M51:N51"/>
    <mergeCell ref="A54:A55"/>
    <mergeCell ref="B54:B55"/>
    <mergeCell ref="C54:D54"/>
    <mergeCell ref="E54:E55"/>
    <mergeCell ref="F54:H54"/>
    <mergeCell ref="I54:I55"/>
    <mergeCell ref="J54:K54"/>
    <mergeCell ref="L54:L55"/>
    <mergeCell ref="M54:N55"/>
    <mergeCell ref="C55:D55"/>
    <mergeCell ref="F55:H55"/>
    <mergeCell ref="J55:K55"/>
    <mergeCell ref="E51:F51"/>
    <mergeCell ref="J51:K51"/>
    <mergeCell ref="M58:N59"/>
    <mergeCell ref="O58:O59"/>
    <mergeCell ref="C59:D59"/>
    <mergeCell ref="F59:K59"/>
    <mergeCell ref="A58:A59"/>
    <mergeCell ref="B58:B59"/>
    <mergeCell ref="C58:D58"/>
    <mergeCell ref="E58:E59"/>
    <mergeCell ref="F58:K58"/>
    <mergeCell ref="L58:L59"/>
  </mergeCells>
  <dataValidations count="3">
    <dataValidation type="decimal" operator="lessThanOrEqual" allowBlank="1" showInputMessage="1" showErrorMessage="1" error="Traffic growth must  not be greater then 7% per annum" sqref="I34:N34 JE34:JJ34 TA34:TF34 ACW34:ADB34 AMS34:AMX34 AWO34:AWT34 BGK34:BGP34 BQG34:BQL34 CAC34:CAH34 CJY34:CKD34 CTU34:CTZ34 DDQ34:DDV34 DNM34:DNR34 DXI34:DXN34 EHE34:EHJ34 ERA34:ERF34 FAW34:FBB34 FKS34:FKX34 FUO34:FUT34 GEK34:GEP34 GOG34:GOL34 GYC34:GYH34 HHY34:HID34 HRU34:HRZ34 IBQ34:IBV34 ILM34:ILR34 IVI34:IVN34 JFE34:JFJ34 JPA34:JPF34 JYW34:JZB34 KIS34:KIX34 KSO34:KST34 LCK34:LCP34 LMG34:LML34 LWC34:LWH34 MFY34:MGD34 MPU34:MPZ34 MZQ34:MZV34 NJM34:NJR34 NTI34:NTN34 ODE34:ODJ34 ONA34:ONF34 OWW34:OXB34 PGS34:PGX34 PQO34:PQT34 QAK34:QAP34 QKG34:QKL34 QUC34:QUH34 RDY34:RED34 RNU34:RNZ34 RXQ34:RXV34 SHM34:SHR34 SRI34:SRN34 TBE34:TBJ34 TLA34:TLF34 TUW34:TVB34 UES34:UEX34 UOO34:UOT34 UYK34:UYP34 VIG34:VIL34 VSC34:VSH34 WBY34:WCD34 WLU34:WLZ34 WVQ34:WVV34 I65570:N65570 JE65570:JJ65570 TA65570:TF65570 ACW65570:ADB65570 AMS65570:AMX65570 AWO65570:AWT65570 BGK65570:BGP65570 BQG65570:BQL65570 CAC65570:CAH65570 CJY65570:CKD65570 CTU65570:CTZ65570 DDQ65570:DDV65570 DNM65570:DNR65570 DXI65570:DXN65570 EHE65570:EHJ65570 ERA65570:ERF65570 FAW65570:FBB65570 FKS65570:FKX65570 FUO65570:FUT65570 GEK65570:GEP65570 GOG65570:GOL65570 GYC65570:GYH65570 HHY65570:HID65570 HRU65570:HRZ65570 IBQ65570:IBV65570 ILM65570:ILR65570 IVI65570:IVN65570 JFE65570:JFJ65570 JPA65570:JPF65570 JYW65570:JZB65570 KIS65570:KIX65570 KSO65570:KST65570 LCK65570:LCP65570 LMG65570:LML65570 LWC65570:LWH65570 MFY65570:MGD65570 MPU65570:MPZ65570 MZQ65570:MZV65570 NJM65570:NJR65570 NTI65570:NTN65570 ODE65570:ODJ65570 ONA65570:ONF65570 OWW65570:OXB65570 PGS65570:PGX65570 PQO65570:PQT65570 QAK65570:QAP65570 QKG65570:QKL65570 QUC65570:QUH65570 RDY65570:RED65570 RNU65570:RNZ65570 RXQ65570:RXV65570 SHM65570:SHR65570 SRI65570:SRN65570 TBE65570:TBJ65570 TLA65570:TLF65570 TUW65570:TVB65570 UES65570:UEX65570 UOO65570:UOT65570 UYK65570:UYP65570 VIG65570:VIL65570 VSC65570:VSH65570 WBY65570:WCD65570 WLU65570:WLZ65570 WVQ65570:WVV65570 I131106:N131106 JE131106:JJ131106 TA131106:TF131106 ACW131106:ADB131106 AMS131106:AMX131106 AWO131106:AWT131106 BGK131106:BGP131106 BQG131106:BQL131106 CAC131106:CAH131106 CJY131106:CKD131106 CTU131106:CTZ131106 DDQ131106:DDV131106 DNM131106:DNR131106 DXI131106:DXN131106 EHE131106:EHJ131106 ERA131106:ERF131106 FAW131106:FBB131106 FKS131106:FKX131106 FUO131106:FUT131106 GEK131106:GEP131106 GOG131106:GOL131106 GYC131106:GYH131106 HHY131106:HID131106 HRU131106:HRZ131106 IBQ131106:IBV131106 ILM131106:ILR131106 IVI131106:IVN131106 JFE131106:JFJ131106 JPA131106:JPF131106 JYW131106:JZB131106 KIS131106:KIX131106 KSO131106:KST131106 LCK131106:LCP131106 LMG131106:LML131106 LWC131106:LWH131106 MFY131106:MGD131106 MPU131106:MPZ131106 MZQ131106:MZV131106 NJM131106:NJR131106 NTI131106:NTN131106 ODE131106:ODJ131106 ONA131106:ONF131106 OWW131106:OXB131106 PGS131106:PGX131106 PQO131106:PQT131106 QAK131106:QAP131106 QKG131106:QKL131106 QUC131106:QUH131106 RDY131106:RED131106 RNU131106:RNZ131106 RXQ131106:RXV131106 SHM131106:SHR131106 SRI131106:SRN131106 TBE131106:TBJ131106 TLA131106:TLF131106 TUW131106:TVB131106 UES131106:UEX131106 UOO131106:UOT131106 UYK131106:UYP131106 VIG131106:VIL131106 VSC131106:VSH131106 WBY131106:WCD131106 WLU131106:WLZ131106 WVQ131106:WVV131106 I196642:N196642 JE196642:JJ196642 TA196642:TF196642 ACW196642:ADB196642 AMS196642:AMX196642 AWO196642:AWT196642 BGK196642:BGP196642 BQG196642:BQL196642 CAC196642:CAH196642 CJY196642:CKD196642 CTU196642:CTZ196642 DDQ196642:DDV196642 DNM196642:DNR196642 DXI196642:DXN196642 EHE196642:EHJ196642 ERA196642:ERF196642 FAW196642:FBB196642 FKS196642:FKX196642 FUO196642:FUT196642 GEK196642:GEP196642 GOG196642:GOL196642 GYC196642:GYH196642 HHY196642:HID196642 HRU196642:HRZ196642 IBQ196642:IBV196642 ILM196642:ILR196642 IVI196642:IVN196642 JFE196642:JFJ196642 JPA196642:JPF196642 JYW196642:JZB196642 KIS196642:KIX196642 KSO196642:KST196642 LCK196642:LCP196642 LMG196642:LML196642 LWC196642:LWH196642 MFY196642:MGD196642 MPU196642:MPZ196642 MZQ196642:MZV196642 NJM196642:NJR196642 NTI196642:NTN196642 ODE196642:ODJ196642 ONA196642:ONF196642 OWW196642:OXB196642 PGS196642:PGX196642 PQO196642:PQT196642 QAK196642:QAP196642 QKG196642:QKL196642 QUC196642:QUH196642 RDY196642:RED196642 RNU196642:RNZ196642 RXQ196642:RXV196642 SHM196642:SHR196642 SRI196642:SRN196642 TBE196642:TBJ196642 TLA196642:TLF196642 TUW196642:TVB196642 UES196642:UEX196642 UOO196642:UOT196642 UYK196642:UYP196642 VIG196642:VIL196642 VSC196642:VSH196642 WBY196642:WCD196642 WLU196642:WLZ196642 WVQ196642:WVV196642 I262178:N262178 JE262178:JJ262178 TA262178:TF262178 ACW262178:ADB262178 AMS262178:AMX262178 AWO262178:AWT262178 BGK262178:BGP262178 BQG262178:BQL262178 CAC262178:CAH262178 CJY262178:CKD262178 CTU262178:CTZ262178 DDQ262178:DDV262178 DNM262178:DNR262178 DXI262178:DXN262178 EHE262178:EHJ262178 ERA262178:ERF262178 FAW262178:FBB262178 FKS262178:FKX262178 FUO262178:FUT262178 GEK262178:GEP262178 GOG262178:GOL262178 GYC262178:GYH262178 HHY262178:HID262178 HRU262178:HRZ262178 IBQ262178:IBV262178 ILM262178:ILR262178 IVI262178:IVN262178 JFE262178:JFJ262178 JPA262178:JPF262178 JYW262178:JZB262178 KIS262178:KIX262178 KSO262178:KST262178 LCK262178:LCP262178 LMG262178:LML262178 LWC262178:LWH262178 MFY262178:MGD262178 MPU262178:MPZ262178 MZQ262178:MZV262178 NJM262178:NJR262178 NTI262178:NTN262178 ODE262178:ODJ262178 ONA262178:ONF262178 OWW262178:OXB262178 PGS262178:PGX262178 PQO262178:PQT262178 QAK262178:QAP262178 QKG262178:QKL262178 QUC262178:QUH262178 RDY262178:RED262178 RNU262178:RNZ262178 RXQ262178:RXV262178 SHM262178:SHR262178 SRI262178:SRN262178 TBE262178:TBJ262178 TLA262178:TLF262178 TUW262178:TVB262178 UES262178:UEX262178 UOO262178:UOT262178 UYK262178:UYP262178 VIG262178:VIL262178 VSC262178:VSH262178 WBY262178:WCD262178 WLU262178:WLZ262178 WVQ262178:WVV262178 I327714:N327714 JE327714:JJ327714 TA327714:TF327714 ACW327714:ADB327714 AMS327714:AMX327714 AWO327714:AWT327714 BGK327714:BGP327714 BQG327714:BQL327714 CAC327714:CAH327714 CJY327714:CKD327714 CTU327714:CTZ327714 DDQ327714:DDV327714 DNM327714:DNR327714 DXI327714:DXN327714 EHE327714:EHJ327714 ERA327714:ERF327714 FAW327714:FBB327714 FKS327714:FKX327714 FUO327714:FUT327714 GEK327714:GEP327714 GOG327714:GOL327714 GYC327714:GYH327714 HHY327714:HID327714 HRU327714:HRZ327714 IBQ327714:IBV327714 ILM327714:ILR327714 IVI327714:IVN327714 JFE327714:JFJ327714 JPA327714:JPF327714 JYW327714:JZB327714 KIS327714:KIX327714 KSO327714:KST327714 LCK327714:LCP327714 LMG327714:LML327714 LWC327714:LWH327714 MFY327714:MGD327714 MPU327714:MPZ327714 MZQ327714:MZV327714 NJM327714:NJR327714 NTI327714:NTN327714 ODE327714:ODJ327714 ONA327714:ONF327714 OWW327714:OXB327714 PGS327714:PGX327714 PQO327714:PQT327714 QAK327714:QAP327714 QKG327714:QKL327714 QUC327714:QUH327714 RDY327714:RED327714 RNU327714:RNZ327714 RXQ327714:RXV327714 SHM327714:SHR327714 SRI327714:SRN327714 TBE327714:TBJ327714 TLA327714:TLF327714 TUW327714:TVB327714 UES327714:UEX327714 UOO327714:UOT327714 UYK327714:UYP327714 VIG327714:VIL327714 VSC327714:VSH327714 WBY327714:WCD327714 WLU327714:WLZ327714 WVQ327714:WVV327714 I393250:N393250 JE393250:JJ393250 TA393250:TF393250 ACW393250:ADB393250 AMS393250:AMX393250 AWO393250:AWT393250 BGK393250:BGP393250 BQG393250:BQL393250 CAC393250:CAH393250 CJY393250:CKD393250 CTU393250:CTZ393250 DDQ393250:DDV393250 DNM393250:DNR393250 DXI393250:DXN393250 EHE393250:EHJ393250 ERA393250:ERF393250 FAW393250:FBB393250 FKS393250:FKX393250 FUO393250:FUT393250 GEK393250:GEP393250 GOG393250:GOL393250 GYC393250:GYH393250 HHY393250:HID393250 HRU393250:HRZ393250 IBQ393250:IBV393250 ILM393250:ILR393250 IVI393250:IVN393250 JFE393250:JFJ393250 JPA393250:JPF393250 JYW393250:JZB393250 KIS393250:KIX393250 KSO393250:KST393250 LCK393250:LCP393250 LMG393250:LML393250 LWC393250:LWH393250 MFY393250:MGD393250 MPU393250:MPZ393250 MZQ393250:MZV393250 NJM393250:NJR393250 NTI393250:NTN393250 ODE393250:ODJ393250 ONA393250:ONF393250 OWW393250:OXB393250 PGS393250:PGX393250 PQO393250:PQT393250 QAK393250:QAP393250 QKG393250:QKL393250 QUC393250:QUH393250 RDY393250:RED393250 RNU393250:RNZ393250 RXQ393250:RXV393250 SHM393250:SHR393250 SRI393250:SRN393250 TBE393250:TBJ393250 TLA393250:TLF393250 TUW393250:TVB393250 UES393250:UEX393250 UOO393250:UOT393250 UYK393250:UYP393250 VIG393250:VIL393250 VSC393250:VSH393250 WBY393250:WCD393250 WLU393250:WLZ393250 WVQ393250:WVV393250 I458786:N458786 JE458786:JJ458786 TA458786:TF458786 ACW458786:ADB458786 AMS458786:AMX458786 AWO458786:AWT458786 BGK458786:BGP458786 BQG458786:BQL458786 CAC458786:CAH458786 CJY458786:CKD458786 CTU458786:CTZ458786 DDQ458786:DDV458786 DNM458786:DNR458786 DXI458786:DXN458786 EHE458786:EHJ458786 ERA458786:ERF458786 FAW458786:FBB458786 FKS458786:FKX458786 FUO458786:FUT458786 GEK458786:GEP458786 GOG458786:GOL458786 GYC458786:GYH458786 HHY458786:HID458786 HRU458786:HRZ458786 IBQ458786:IBV458786 ILM458786:ILR458786 IVI458786:IVN458786 JFE458786:JFJ458786 JPA458786:JPF458786 JYW458786:JZB458786 KIS458786:KIX458786 KSO458786:KST458786 LCK458786:LCP458786 LMG458786:LML458786 LWC458786:LWH458786 MFY458786:MGD458786 MPU458786:MPZ458786 MZQ458786:MZV458786 NJM458786:NJR458786 NTI458786:NTN458786 ODE458786:ODJ458786 ONA458786:ONF458786 OWW458786:OXB458786 PGS458786:PGX458786 PQO458786:PQT458786 QAK458786:QAP458786 QKG458786:QKL458786 QUC458786:QUH458786 RDY458786:RED458786 RNU458786:RNZ458786 RXQ458786:RXV458786 SHM458786:SHR458786 SRI458786:SRN458786 TBE458786:TBJ458786 TLA458786:TLF458786 TUW458786:TVB458786 UES458786:UEX458786 UOO458786:UOT458786 UYK458786:UYP458786 VIG458786:VIL458786 VSC458786:VSH458786 WBY458786:WCD458786 WLU458786:WLZ458786 WVQ458786:WVV458786 I524322:N524322 JE524322:JJ524322 TA524322:TF524322 ACW524322:ADB524322 AMS524322:AMX524322 AWO524322:AWT524322 BGK524322:BGP524322 BQG524322:BQL524322 CAC524322:CAH524322 CJY524322:CKD524322 CTU524322:CTZ524322 DDQ524322:DDV524322 DNM524322:DNR524322 DXI524322:DXN524322 EHE524322:EHJ524322 ERA524322:ERF524322 FAW524322:FBB524322 FKS524322:FKX524322 FUO524322:FUT524322 GEK524322:GEP524322 GOG524322:GOL524322 GYC524322:GYH524322 HHY524322:HID524322 HRU524322:HRZ524322 IBQ524322:IBV524322 ILM524322:ILR524322 IVI524322:IVN524322 JFE524322:JFJ524322 JPA524322:JPF524322 JYW524322:JZB524322 KIS524322:KIX524322 KSO524322:KST524322 LCK524322:LCP524322 LMG524322:LML524322 LWC524322:LWH524322 MFY524322:MGD524322 MPU524322:MPZ524322 MZQ524322:MZV524322 NJM524322:NJR524322 NTI524322:NTN524322 ODE524322:ODJ524322 ONA524322:ONF524322 OWW524322:OXB524322 PGS524322:PGX524322 PQO524322:PQT524322 QAK524322:QAP524322 QKG524322:QKL524322 QUC524322:QUH524322 RDY524322:RED524322 RNU524322:RNZ524322 RXQ524322:RXV524322 SHM524322:SHR524322 SRI524322:SRN524322 TBE524322:TBJ524322 TLA524322:TLF524322 TUW524322:TVB524322 UES524322:UEX524322 UOO524322:UOT524322 UYK524322:UYP524322 VIG524322:VIL524322 VSC524322:VSH524322 WBY524322:WCD524322 WLU524322:WLZ524322 WVQ524322:WVV524322 I589858:N589858 JE589858:JJ589858 TA589858:TF589858 ACW589858:ADB589858 AMS589858:AMX589858 AWO589858:AWT589858 BGK589858:BGP589858 BQG589858:BQL589858 CAC589858:CAH589858 CJY589858:CKD589858 CTU589858:CTZ589858 DDQ589858:DDV589858 DNM589858:DNR589858 DXI589858:DXN589858 EHE589858:EHJ589858 ERA589858:ERF589858 FAW589858:FBB589858 FKS589858:FKX589858 FUO589858:FUT589858 GEK589858:GEP589858 GOG589858:GOL589858 GYC589858:GYH589858 HHY589858:HID589858 HRU589858:HRZ589858 IBQ589858:IBV589858 ILM589858:ILR589858 IVI589858:IVN589858 JFE589858:JFJ589858 JPA589858:JPF589858 JYW589858:JZB589858 KIS589858:KIX589858 KSO589858:KST589858 LCK589858:LCP589858 LMG589858:LML589858 LWC589858:LWH589858 MFY589858:MGD589858 MPU589858:MPZ589858 MZQ589858:MZV589858 NJM589858:NJR589858 NTI589858:NTN589858 ODE589858:ODJ589858 ONA589858:ONF589858 OWW589858:OXB589858 PGS589858:PGX589858 PQO589858:PQT589858 QAK589858:QAP589858 QKG589858:QKL589858 QUC589858:QUH589858 RDY589858:RED589858 RNU589858:RNZ589858 RXQ589858:RXV589858 SHM589858:SHR589858 SRI589858:SRN589858 TBE589858:TBJ589858 TLA589858:TLF589858 TUW589858:TVB589858 UES589858:UEX589858 UOO589858:UOT589858 UYK589858:UYP589858 VIG589858:VIL589858 VSC589858:VSH589858 WBY589858:WCD589858 WLU589858:WLZ589858 WVQ589858:WVV589858 I655394:N655394 JE655394:JJ655394 TA655394:TF655394 ACW655394:ADB655394 AMS655394:AMX655394 AWO655394:AWT655394 BGK655394:BGP655394 BQG655394:BQL655394 CAC655394:CAH655394 CJY655394:CKD655394 CTU655394:CTZ655394 DDQ655394:DDV655394 DNM655394:DNR655394 DXI655394:DXN655394 EHE655394:EHJ655394 ERA655394:ERF655394 FAW655394:FBB655394 FKS655394:FKX655394 FUO655394:FUT655394 GEK655394:GEP655394 GOG655394:GOL655394 GYC655394:GYH655394 HHY655394:HID655394 HRU655394:HRZ655394 IBQ655394:IBV655394 ILM655394:ILR655394 IVI655394:IVN655394 JFE655394:JFJ655394 JPA655394:JPF655394 JYW655394:JZB655394 KIS655394:KIX655394 KSO655394:KST655394 LCK655394:LCP655394 LMG655394:LML655394 LWC655394:LWH655394 MFY655394:MGD655394 MPU655394:MPZ655394 MZQ655394:MZV655394 NJM655394:NJR655394 NTI655394:NTN655394 ODE655394:ODJ655394 ONA655394:ONF655394 OWW655394:OXB655394 PGS655394:PGX655394 PQO655394:PQT655394 QAK655394:QAP655394 QKG655394:QKL655394 QUC655394:QUH655394 RDY655394:RED655394 RNU655394:RNZ655394 RXQ655394:RXV655394 SHM655394:SHR655394 SRI655394:SRN655394 TBE655394:TBJ655394 TLA655394:TLF655394 TUW655394:TVB655394 UES655394:UEX655394 UOO655394:UOT655394 UYK655394:UYP655394 VIG655394:VIL655394 VSC655394:VSH655394 WBY655394:WCD655394 WLU655394:WLZ655394 WVQ655394:WVV655394 I720930:N720930 JE720930:JJ720930 TA720930:TF720930 ACW720930:ADB720930 AMS720930:AMX720930 AWO720930:AWT720930 BGK720930:BGP720930 BQG720930:BQL720930 CAC720930:CAH720930 CJY720930:CKD720930 CTU720930:CTZ720930 DDQ720930:DDV720930 DNM720930:DNR720930 DXI720930:DXN720930 EHE720930:EHJ720930 ERA720930:ERF720930 FAW720930:FBB720930 FKS720930:FKX720930 FUO720930:FUT720930 GEK720930:GEP720930 GOG720930:GOL720930 GYC720930:GYH720930 HHY720930:HID720930 HRU720930:HRZ720930 IBQ720930:IBV720930 ILM720930:ILR720930 IVI720930:IVN720930 JFE720930:JFJ720930 JPA720930:JPF720930 JYW720930:JZB720930 KIS720930:KIX720930 KSO720930:KST720930 LCK720930:LCP720930 LMG720930:LML720930 LWC720930:LWH720930 MFY720930:MGD720930 MPU720930:MPZ720930 MZQ720930:MZV720930 NJM720930:NJR720930 NTI720930:NTN720930 ODE720930:ODJ720930 ONA720930:ONF720930 OWW720930:OXB720930 PGS720930:PGX720930 PQO720930:PQT720930 QAK720930:QAP720930 QKG720930:QKL720930 QUC720930:QUH720930 RDY720930:RED720930 RNU720930:RNZ720930 RXQ720930:RXV720930 SHM720930:SHR720930 SRI720930:SRN720930 TBE720930:TBJ720930 TLA720930:TLF720930 TUW720930:TVB720930 UES720930:UEX720930 UOO720930:UOT720930 UYK720930:UYP720930 VIG720930:VIL720930 VSC720930:VSH720930 WBY720930:WCD720930 WLU720930:WLZ720930 WVQ720930:WVV720930 I786466:N786466 JE786466:JJ786466 TA786466:TF786466 ACW786466:ADB786466 AMS786466:AMX786466 AWO786466:AWT786466 BGK786466:BGP786466 BQG786466:BQL786466 CAC786466:CAH786466 CJY786466:CKD786466 CTU786466:CTZ786466 DDQ786466:DDV786466 DNM786466:DNR786466 DXI786466:DXN786466 EHE786466:EHJ786466 ERA786466:ERF786466 FAW786466:FBB786466 FKS786466:FKX786466 FUO786466:FUT786466 GEK786466:GEP786466 GOG786466:GOL786466 GYC786466:GYH786466 HHY786466:HID786466 HRU786466:HRZ786466 IBQ786466:IBV786466 ILM786466:ILR786466 IVI786466:IVN786466 JFE786466:JFJ786466 JPA786466:JPF786466 JYW786466:JZB786466 KIS786466:KIX786466 KSO786466:KST786466 LCK786466:LCP786466 LMG786466:LML786466 LWC786466:LWH786466 MFY786466:MGD786466 MPU786466:MPZ786466 MZQ786466:MZV786466 NJM786466:NJR786466 NTI786466:NTN786466 ODE786466:ODJ786466 ONA786466:ONF786466 OWW786466:OXB786466 PGS786466:PGX786466 PQO786466:PQT786466 QAK786466:QAP786466 QKG786466:QKL786466 QUC786466:QUH786466 RDY786466:RED786466 RNU786466:RNZ786466 RXQ786466:RXV786466 SHM786466:SHR786466 SRI786466:SRN786466 TBE786466:TBJ786466 TLA786466:TLF786466 TUW786466:TVB786466 UES786466:UEX786466 UOO786466:UOT786466 UYK786466:UYP786466 VIG786466:VIL786466 VSC786466:VSH786466 WBY786466:WCD786466 WLU786466:WLZ786466 WVQ786466:WVV786466 I852002:N852002 JE852002:JJ852002 TA852002:TF852002 ACW852002:ADB852002 AMS852002:AMX852002 AWO852002:AWT852002 BGK852002:BGP852002 BQG852002:BQL852002 CAC852002:CAH852002 CJY852002:CKD852002 CTU852002:CTZ852002 DDQ852002:DDV852002 DNM852002:DNR852002 DXI852002:DXN852002 EHE852002:EHJ852002 ERA852002:ERF852002 FAW852002:FBB852002 FKS852002:FKX852002 FUO852002:FUT852002 GEK852002:GEP852002 GOG852002:GOL852002 GYC852002:GYH852002 HHY852002:HID852002 HRU852002:HRZ852002 IBQ852002:IBV852002 ILM852002:ILR852002 IVI852002:IVN852002 JFE852002:JFJ852002 JPA852002:JPF852002 JYW852002:JZB852002 KIS852002:KIX852002 KSO852002:KST852002 LCK852002:LCP852002 LMG852002:LML852002 LWC852002:LWH852002 MFY852002:MGD852002 MPU852002:MPZ852002 MZQ852002:MZV852002 NJM852002:NJR852002 NTI852002:NTN852002 ODE852002:ODJ852002 ONA852002:ONF852002 OWW852002:OXB852002 PGS852002:PGX852002 PQO852002:PQT852002 QAK852002:QAP852002 QKG852002:QKL852002 QUC852002:QUH852002 RDY852002:RED852002 RNU852002:RNZ852002 RXQ852002:RXV852002 SHM852002:SHR852002 SRI852002:SRN852002 TBE852002:TBJ852002 TLA852002:TLF852002 TUW852002:TVB852002 UES852002:UEX852002 UOO852002:UOT852002 UYK852002:UYP852002 VIG852002:VIL852002 VSC852002:VSH852002 WBY852002:WCD852002 WLU852002:WLZ852002 WVQ852002:WVV852002 I917538:N917538 JE917538:JJ917538 TA917538:TF917538 ACW917538:ADB917538 AMS917538:AMX917538 AWO917538:AWT917538 BGK917538:BGP917538 BQG917538:BQL917538 CAC917538:CAH917538 CJY917538:CKD917538 CTU917538:CTZ917538 DDQ917538:DDV917538 DNM917538:DNR917538 DXI917538:DXN917538 EHE917538:EHJ917538 ERA917538:ERF917538 FAW917538:FBB917538 FKS917538:FKX917538 FUO917538:FUT917538 GEK917538:GEP917538 GOG917538:GOL917538 GYC917538:GYH917538 HHY917538:HID917538 HRU917538:HRZ917538 IBQ917538:IBV917538 ILM917538:ILR917538 IVI917538:IVN917538 JFE917538:JFJ917538 JPA917538:JPF917538 JYW917538:JZB917538 KIS917538:KIX917538 KSO917538:KST917538 LCK917538:LCP917538 LMG917538:LML917538 LWC917538:LWH917538 MFY917538:MGD917538 MPU917538:MPZ917538 MZQ917538:MZV917538 NJM917538:NJR917538 NTI917538:NTN917538 ODE917538:ODJ917538 ONA917538:ONF917538 OWW917538:OXB917538 PGS917538:PGX917538 PQO917538:PQT917538 QAK917538:QAP917538 QKG917538:QKL917538 QUC917538:QUH917538 RDY917538:RED917538 RNU917538:RNZ917538 RXQ917538:RXV917538 SHM917538:SHR917538 SRI917538:SRN917538 TBE917538:TBJ917538 TLA917538:TLF917538 TUW917538:TVB917538 UES917538:UEX917538 UOO917538:UOT917538 UYK917538:UYP917538 VIG917538:VIL917538 VSC917538:VSH917538 WBY917538:WCD917538 WLU917538:WLZ917538 WVQ917538:WVV917538 I983074:N983074 JE983074:JJ983074 TA983074:TF983074 ACW983074:ADB983074 AMS983074:AMX983074 AWO983074:AWT983074 BGK983074:BGP983074 BQG983074:BQL983074 CAC983074:CAH983074 CJY983074:CKD983074 CTU983074:CTZ983074 DDQ983074:DDV983074 DNM983074:DNR983074 DXI983074:DXN983074 EHE983074:EHJ983074 ERA983074:ERF983074 FAW983074:FBB983074 FKS983074:FKX983074 FUO983074:FUT983074 GEK983074:GEP983074 GOG983074:GOL983074 GYC983074:GYH983074 HHY983074:HID983074 HRU983074:HRZ983074 IBQ983074:IBV983074 ILM983074:ILR983074 IVI983074:IVN983074 JFE983074:JFJ983074 JPA983074:JPF983074 JYW983074:JZB983074 KIS983074:KIX983074 KSO983074:KST983074 LCK983074:LCP983074 LMG983074:LML983074 LWC983074:LWH983074 MFY983074:MGD983074 MPU983074:MPZ983074 MZQ983074:MZV983074 NJM983074:NJR983074 NTI983074:NTN983074 ODE983074:ODJ983074 ONA983074:ONF983074 OWW983074:OXB983074 PGS983074:PGX983074 PQO983074:PQT983074 QAK983074:QAP983074 QKG983074:QKL983074 QUC983074:QUH983074 RDY983074:RED983074 RNU983074:RNZ983074 RXQ983074:RXV983074 SHM983074:SHR983074 SRI983074:SRN983074 TBE983074:TBJ983074 TLA983074:TLF983074 TUW983074:TVB983074 UES983074:UEX983074 UOO983074:UOT983074 UYK983074:UYP983074 VIG983074:VIL983074 VSC983074:VSH983074 WBY983074:WCD983074 WLU983074:WLZ983074 WVQ983074:WVV983074" xr:uid="{B110F66C-8307-4E35-B57C-E5B25086B52D}">
      <formula1>0.075</formula1>
    </dataValidation>
    <dataValidation type="list" allowBlank="1" showInputMessage="1" showErrorMessage="1" sqref="WVQ983072:WVV983072 JE25:JJ25 TA25:TF25 ACW25:ADB25 AMS25:AMX25 AWO25:AWT25 BGK25:BGP25 BQG25:BQL25 CAC25:CAH25 CJY25:CKD25 CTU25:CTZ25 DDQ25:DDV25 DNM25:DNR25 DXI25:DXN25 EHE25:EHJ25 ERA25:ERF25 FAW25:FBB25 FKS25:FKX25 FUO25:FUT25 GEK25:GEP25 GOG25:GOL25 GYC25:GYH25 HHY25:HID25 HRU25:HRZ25 IBQ25:IBV25 ILM25:ILR25 IVI25:IVN25 JFE25:JFJ25 JPA25:JPF25 JYW25:JZB25 KIS25:KIX25 KSO25:KST25 LCK25:LCP25 LMG25:LML25 LWC25:LWH25 MFY25:MGD25 MPU25:MPZ25 MZQ25:MZV25 NJM25:NJR25 NTI25:NTN25 ODE25:ODJ25 ONA25:ONF25 OWW25:OXB25 PGS25:PGX25 PQO25:PQT25 QAK25:QAP25 QKG25:QKL25 QUC25:QUH25 RDY25:RED25 RNU25:RNZ25 RXQ25:RXV25 SHM25:SHR25 SRI25:SRN25 TBE25:TBJ25 TLA25:TLF25 TUW25:TVB25 UES25:UEX25 UOO25:UOT25 UYK25:UYP25 VIG25:VIL25 VSC25:VSH25 WBY25:WCD25 WLU25:WLZ25 WVQ25:WVV25 I65563:N65563 JE65563:JJ65563 TA65563:TF65563 ACW65563:ADB65563 AMS65563:AMX65563 AWO65563:AWT65563 BGK65563:BGP65563 BQG65563:BQL65563 CAC65563:CAH65563 CJY65563:CKD65563 CTU65563:CTZ65563 DDQ65563:DDV65563 DNM65563:DNR65563 DXI65563:DXN65563 EHE65563:EHJ65563 ERA65563:ERF65563 FAW65563:FBB65563 FKS65563:FKX65563 FUO65563:FUT65563 GEK65563:GEP65563 GOG65563:GOL65563 GYC65563:GYH65563 HHY65563:HID65563 HRU65563:HRZ65563 IBQ65563:IBV65563 ILM65563:ILR65563 IVI65563:IVN65563 JFE65563:JFJ65563 JPA65563:JPF65563 JYW65563:JZB65563 KIS65563:KIX65563 KSO65563:KST65563 LCK65563:LCP65563 LMG65563:LML65563 LWC65563:LWH65563 MFY65563:MGD65563 MPU65563:MPZ65563 MZQ65563:MZV65563 NJM65563:NJR65563 NTI65563:NTN65563 ODE65563:ODJ65563 ONA65563:ONF65563 OWW65563:OXB65563 PGS65563:PGX65563 PQO65563:PQT65563 QAK65563:QAP65563 QKG65563:QKL65563 QUC65563:QUH65563 RDY65563:RED65563 RNU65563:RNZ65563 RXQ65563:RXV65563 SHM65563:SHR65563 SRI65563:SRN65563 TBE65563:TBJ65563 TLA65563:TLF65563 TUW65563:TVB65563 UES65563:UEX65563 UOO65563:UOT65563 UYK65563:UYP65563 VIG65563:VIL65563 VSC65563:VSH65563 WBY65563:WCD65563 WLU65563:WLZ65563 WVQ65563:WVV65563 I131099:N131099 JE131099:JJ131099 TA131099:TF131099 ACW131099:ADB131099 AMS131099:AMX131099 AWO131099:AWT131099 BGK131099:BGP131099 BQG131099:BQL131099 CAC131099:CAH131099 CJY131099:CKD131099 CTU131099:CTZ131099 DDQ131099:DDV131099 DNM131099:DNR131099 DXI131099:DXN131099 EHE131099:EHJ131099 ERA131099:ERF131099 FAW131099:FBB131099 FKS131099:FKX131099 FUO131099:FUT131099 GEK131099:GEP131099 GOG131099:GOL131099 GYC131099:GYH131099 HHY131099:HID131099 HRU131099:HRZ131099 IBQ131099:IBV131099 ILM131099:ILR131099 IVI131099:IVN131099 JFE131099:JFJ131099 JPA131099:JPF131099 JYW131099:JZB131099 KIS131099:KIX131099 KSO131099:KST131099 LCK131099:LCP131099 LMG131099:LML131099 LWC131099:LWH131099 MFY131099:MGD131099 MPU131099:MPZ131099 MZQ131099:MZV131099 NJM131099:NJR131099 NTI131099:NTN131099 ODE131099:ODJ131099 ONA131099:ONF131099 OWW131099:OXB131099 PGS131099:PGX131099 PQO131099:PQT131099 QAK131099:QAP131099 QKG131099:QKL131099 QUC131099:QUH131099 RDY131099:RED131099 RNU131099:RNZ131099 RXQ131099:RXV131099 SHM131099:SHR131099 SRI131099:SRN131099 TBE131099:TBJ131099 TLA131099:TLF131099 TUW131099:TVB131099 UES131099:UEX131099 UOO131099:UOT131099 UYK131099:UYP131099 VIG131099:VIL131099 VSC131099:VSH131099 WBY131099:WCD131099 WLU131099:WLZ131099 WVQ131099:WVV131099 I196635:N196635 JE196635:JJ196635 TA196635:TF196635 ACW196635:ADB196635 AMS196635:AMX196635 AWO196635:AWT196635 BGK196635:BGP196635 BQG196635:BQL196635 CAC196635:CAH196635 CJY196635:CKD196635 CTU196635:CTZ196635 DDQ196635:DDV196635 DNM196635:DNR196635 DXI196635:DXN196635 EHE196635:EHJ196635 ERA196635:ERF196635 FAW196635:FBB196635 FKS196635:FKX196635 FUO196635:FUT196635 GEK196635:GEP196635 GOG196635:GOL196635 GYC196635:GYH196635 HHY196635:HID196635 HRU196635:HRZ196635 IBQ196635:IBV196635 ILM196635:ILR196635 IVI196635:IVN196635 JFE196635:JFJ196635 JPA196635:JPF196635 JYW196635:JZB196635 KIS196635:KIX196635 KSO196635:KST196635 LCK196635:LCP196635 LMG196635:LML196635 LWC196635:LWH196635 MFY196635:MGD196635 MPU196635:MPZ196635 MZQ196635:MZV196635 NJM196635:NJR196635 NTI196635:NTN196635 ODE196635:ODJ196635 ONA196635:ONF196635 OWW196635:OXB196635 PGS196635:PGX196635 PQO196635:PQT196635 QAK196635:QAP196635 QKG196635:QKL196635 QUC196635:QUH196635 RDY196635:RED196635 RNU196635:RNZ196635 RXQ196635:RXV196635 SHM196635:SHR196635 SRI196635:SRN196635 TBE196635:TBJ196635 TLA196635:TLF196635 TUW196635:TVB196635 UES196635:UEX196635 UOO196635:UOT196635 UYK196635:UYP196635 VIG196635:VIL196635 VSC196635:VSH196635 WBY196635:WCD196635 WLU196635:WLZ196635 WVQ196635:WVV196635 I262171:N262171 JE262171:JJ262171 TA262171:TF262171 ACW262171:ADB262171 AMS262171:AMX262171 AWO262171:AWT262171 BGK262171:BGP262171 BQG262171:BQL262171 CAC262171:CAH262171 CJY262171:CKD262171 CTU262171:CTZ262171 DDQ262171:DDV262171 DNM262171:DNR262171 DXI262171:DXN262171 EHE262171:EHJ262171 ERA262171:ERF262171 FAW262171:FBB262171 FKS262171:FKX262171 FUO262171:FUT262171 GEK262171:GEP262171 GOG262171:GOL262171 GYC262171:GYH262171 HHY262171:HID262171 HRU262171:HRZ262171 IBQ262171:IBV262171 ILM262171:ILR262171 IVI262171:IVN262171 JFE262171:JFJ262171 JPA262171:JPF262171 JYW262171:JZB262171 KIS262171:KIX262171 KSO262171:KST262171 LCK262171:LCP262171 LMG262171:LML262171 LWC262171:LWH262171 MFY262171:MGD262171 MPU262171:MPZ262171 MZQ262171:MZV262171 NJM262171:NJR262171 NTI262171:NTN262171 ODE262171:ODJ262171 ONA262171:ONF262171 OWW262171:OXB262171 PGS262171:PGX262171 PQO262171:PQT262171 QAK262171:QAP262171 QKG262171:QKL262171 QUC262171:QUH262171 RDY262171:RED262171 RNU262171:RNZ262171 RXQ262171:RXV262171 SHM262171:SHR262171 SRI262171:SRN262171 TBE262171:TBJ262171 TLA262171:TLF262171 TUW262171:TVB262171 UES262171:UEX262171 UOO262171:UOT262171 UYK262171:UYP262171 VIG262171:VIL262171 VSC262171:VSH262171 WBY262171:WCD262171 WLU262171:WLZ262171 WVQ262171:WVV262171 I327707:N327707 JE327707:JJ327707 TA327707:TF327707 ACW327707:ADB327707 AMS327707:AMX327707 AWO327707:AWT327707 BGK327707:BGP327707 BQG327707:BQL327707 CAC327707:CAH327707 CJY327707:CKD327707 CTU327707:CTZ327707 DDQ327707:DDV327707 DNM327707:DNR327707 DXI327707:DXN327707 EHE327707:EHJ327707 ERA327707:ERF327707 FAW327707:FBB327707 FKS327707:FKX327707 FUO327707:FUT327707 GEK327707:GEP327707 GOG327707:GOL327707 GYC327707:GYH327707 HHY327707:HID327707 HRU327707:HRZ327707 IBQ327707:IBV327707 ILM327707:ILR327707 IVI327707:IVN327707 JFE327707:JFJ327707 JPA327707:JPF327707 JYW327707:JZB327707 KIS327707:KIX327707 KSO327707:KST327707 LCK327707:LCP327707 LMG327707:LML327707 LWC327707:LWH327707 MFY327707:MGD327707 MPU327707:MPZ327707 MZQ327707:MZV327707 NJM327707:NJR327707 NTI327707:NTN327707 ODE327707:ODJ327707 ONA327707:ONF327707 OWW327707:OXB327707 PGS327707:PGX327707 PQO327707:PQT327707 QAK327707:QAP327707 QKG327707:QKL327707 QUC327707:QUH327707 RDY327707:RED327707 RNU327707:RNZ327707 RXQ327707:RXV327707 SHM327707:SHR327707 SRI327707:SRN327707 TBE327707:TBJ327707 TLA327707:TLF327707 TUW327707:TVB327707 UES327707:UEX327707 UOO327707:UOT327707 UYK327707:UYP327707 VIG327707:VIL327707 VSC327707:VSH327707 WBY327707:WCD327707 WLU327707:WLZ327707 WVQ327707:WVV327707 I393243:N393243 JE393243:JJ393243 TA393243:TF393243 ACW393243:ADB393243 AMS393243:AMX393243 AWO393243:AWT393243 BGK393243:BGP393243 BQG393243:BQL393243 CAC393243:CAH393243 CJY393243:CKD393243 CTU393243:CTZ393243 DDQ393243:DDV393243 DNM393243:DNR393243 DXI393243:DXN393243 EHE393243:EHJ393243 ERA393243:ERF393243 FAW393243:FBB393243 FKS393243:FKX393243 FUO393243:FUT393243 GEK393243:GEP393243 GOG393243:GOL393243 GYC393243:GYH393243 HHY393243:HID393243 HRU393243:HRZ393243 IBQ393243:IBV393243 ILM393243:ILR393243 IVI393243:IVN393243 JFE393243:JFJ393243 JPA393243:JPF393243 JYW393243:JZB393243 KIS393243:KIX393243 KSO393243:KST393243 LCK393243:LCP393243 LMG393243:LML393243 LWC393243:LWH393243 MFY393243:MGD393243 MPU393243:MPZ393243 MZQ393243:MZV393243 NJM393243:NJR393243 NTI393243:NTN393243 ODE393243:ODJ393243 ONA393243:ONF393243 OWW393243:OXB393243 PGS393243:PGX393243 PQO393243:PQT393243 QAK393243:QAP393243 QKG393243:QKL393243 QUC393243:QUH393243 RDY393243:RED393243 RNU393243:RNZ393243 RXQ393243:RXV393243 SHM393243:SHR393243 SRI393243:SRN393243 TBE393243:TBJ393243 TLA393243:TLF393243 TUW393243:TVB393243 UES393243:UEX393243 UOO393243:UOT393243 UYK393243:UYP393243 VIG393243:VIL393243 VSC393243:VSH393243 WBY393243:WCD393243 WLU393243:WLZ393243 WVQ393243:WVV393243 I458779:N458779 JE458779:JJ458779 TA458779:TF458779 ACW458779:ADB458779 AMS458779:AMX458779 AWO458779:AWT458779 BGK458779:BGP458779 BQG458779:BQL458779 CAC458779:CAH458779 CJY458779:CKD458779 CTU458779:CTZ458779 DDQ458779:DDV458779 DNM458779:DNR458779 DXI458779:DXN458779 EHE458779:EHJ458779 ERA458779:ERF458779 FAW458779:FBB458779 FKS458779:FKX458779 FUO458779:FUT458779 GEK458779:GEP458779 GOG458779:GOL458779 GYC458779:GYH458779 HHY458779:HID458779 HRU458779:HRZ458779 IBQ458779:IBV458779 ILM458779:ILR458779 IVI458779:IVN458779 JFE458779:JFJ458779 JPA458779:JPF458779 JYW458779:JZB458779 KIS458779:KIX458779 KSO458779:KST458779 LCK458779:LCP458779 LMG458779:LML458779 LWC458779:LWH458779 MFY458779:MGD458779 MPU458779:MPZ458779 MZQ458779:MZV458779 NJM458779:NJR458779 NTI458779:NTN458779 ODE458779:ODJ458779 ONA458779:ONF458779 OWW458779:OXB458779 PGS458779:PGX458779 PQO458779:PQT458779 QAK458779:QAP458779 QKG458779:QKL458779 QUC458779:QUH458779 RDY458779:RED458779 RNU458779:RNZ458779 RXQ458779:RXV458779 SHM458779:SHR458779 SRI458779:SRN458779 TBE458779:TBJ458779 TLA458779:TLF458779 TUW458779:TVB458779 UES458779:UEX458779 UOO458779:UOT458779 UYK458779:UYP458779 VIG458779:VIL458779 VSC458779:VSH458779 WBY458779:WCD458779 WLU458779:WLZ458779 WVQ458779:WVV458779 I524315:N524315 JE524315:JJ524315 TA524315:TF524315 ACW524315:ADB524315 AMS524315:AMX524315 AWO524315:AWT524315 BGK524315:BGP524315 BQG524315:BQL524315 CAC524315:CAH524315 CJY524315:CKD524315 CTU524315:CTZ524315 DDQ524315:DDV524315 DNM524315:DNR524315 DXI524315:DXN524315 EHE524315:EHJ524315 ERA524315:ERF524315 FAW524315:FBB524315 FKS524315:FKX524315 FUO524315:FUT524315 GEK524315:GEP524315 GOG524315:GOL524315 GYC524315:GYH524315 HHY524315:HID524315 HRU524315:HRZ524315 IBQ524315:IBV524315 ILM524315:ILR524315 IVI524315:IVN524315 JFE524315:JFJ524315 JPA524315:JPF524315 JYW524315:JZB524315 KIS524315:KIX524315 KSO524315:KST524315 LCK524315:LCP524315 LMG524315:LML524315 LWC524315:LWH524315 MFY524315:MGD524315 MPU524315:MPZ524315 MZQ524315:MZV524315 NJM524315:NJR524315 NTI524315:NTN524315 ODE524315:ODJ524315 ONA524315:ONF524315 OWW524315:OXB524315 PGS524315:PGX524315 PQO524315:PQT524315 QAK524315:QAP524315 QKG524315:QKL524315 QUC524315:QUH524315 RDY524315:RED524315 RNU524315:RNZ524315 RXQ524315:RXV524315 SHM524315:SHR524315 SRI524315:SRN524315 TBE524315:TBJ524315 TLA524315:TLF524315 TUW524315:TVB524315 UES524315:UEX524315 UOO524315:UOT524315 UYK524315:UYP524315 VIG524315:VIL524315 VSC524315:VSH524315 WBY524315:WCD524315 WLU524315:WLZ524315 WVQ524315:WVV524315 I589851:N589851 JE589851:JJ589851 TA589851:TF589851 ACW589851:ADB589851 AMS589851:AMX589851 AWO589851:AWT589851 BGK589851:BGP589851 BQG589851:BQL589851 CAC589851:CAH589851 CJY589851:CKD589851 CTU589851:CTZ589851 DDQ589851:DDV589851 DNM589851:DNR589851 DXI589851:DXN589851 EHE589851:EHJ589851 ERA589851:ERF589851 FAW589851:FBB589851 FKS589851:FKX589851 FUO589851:FUT589851 GEK589851:GEP589851 GOG589851:GOL589851 GYC589851:GYH589851 HHY589851:HID589851 HRU589851:HRZ589851 IBQ589851:IBV589851 ILM589851:ILR589851 IVI589851:IVN589851 JFE589851:JFJ589851 JPA589851:JPF589851 JYW589851:JZB589851 KIS589851:KIX589851 KSO589851:KST589851 LCK589851:LCP589851 LMG589851:LML589851 LWC589851:LWH589851 MFY589851:MGD589851 MPU589851:MPZ589851 MZQ589851:MZV589851 NJM589851:NJR589851 NTI589851:NTN589851 ODE589851:ODJ589851 ONA589851:ONF589851 OWW589851:OXB589851 PGS589851:PGX589851 PQO589851:PQT589851 QAK589851:QAP589851 QKG589851:QKL589851 QUC589851:QUH589851 RDY589851:RED589851 RNU589851:RNZ589851 RXQ589851:RXV589851 SHM589851:SHR589851 SRI589851:SRN589851 TBE589851:TBJ589851 TLA589851:TLF589851 TUW589851:TVB589851 UES589851:UEX589851 UOO589851:UOT589851 UYK589851:UYP589851 VIG589851:VIL589851 VSC589851:VSH589851 WBY589851:WCD589851 WLU589851:WLZ589851 WVQ589851:WVV589851 I655387:N655387 JE655387:JJ655387 TA655387:TF655387 ACW655387:ADB655387 AMS655387:AMX655387 AWO655387:AWT655387 BGK655387:BGP655387 BQG655387:BQL655387 CAC655387:CAH655387 CJY655387:CKD655387 CTU655387:CTZ655387 DDQ655387:DDV655387 DNM655387:DNR655387 DXI655387:DXN655387 EHE655387:EHJ655387 ERA655387:ERF655387 FAW655387:FBB655387 FKS655387:FKX655387 FUO655387:FUT655387 GEK655387:GEP655387 GOG655387:GOL655387 GYC655387:GYH655387 HHY655387:HID655387 HRU655387:HRZ655387 IBQ655387:IBV655387 ILM655387:ILR655387 IVI655387:IVN655387 JFE655387:JFJ655387 JPA655387:JPF655387 JYW655387:JZB655387 KIS655387:KIX655387 KSO655387:KST655387 LCK655387:LCP655387 LMG655387:LML655387 LWC655387:LWH655387 MFY655387:MGD655387 MPU655387:MPZ655387 MZQ655387:MZV655387 NJM655387:NJR655387 NTI655387:NTN655387 ODE655387:ODJ655387 ONA655387:ONF655387 OWW655387:OXB655387 PGS655387:PGX655387 PQO655387:PQT655387 QAK655387:QAP655387 QKG655387:QKL655387 QUC655387:QUH655387 RDY655387:RED655387 RNU655387:RNZ655387 RXQ655387:RXV655387 SHM655387:SHR655387 SRI655387:SRN655387 TBE655387:TBJ655387 TLA655387:TLF655387 TUW655387:TVB655387 UES655387:UEX655387 UOO655387:UOT655387 UYK655387:UYP655387 VIG655387:VIL655387 VSC655387:VSH655387 WBY655387:WCD655387 WLU655387:WLZ655387 WVQ655387:WVV655387 I720923:N720923 JE720923:JJ720923 TA720923:TF720923 ACW720923:ADB720923 AMS720923:AMX720923 AWO720923:AWT720923 BGK720923:BGP720923 BQG720923:BQL720923 CAC720923:CAH720923 CJY720923:CKD720923 CTU720923:CTZ720923 DDQ720923:DDV720923 DNM720923:DNR720923 DXI720923:DXN720923 EHE720923:EHJ720923 ERA720923:ERF720923 FAW720923:FBB720923 FKS720923:FKX720923 FUO720923:FUT720923 GEK720923:GEP720923 GOG720923:GOL720923 GYC720923:GYH720923 HHY720923:HID720923 HRU720923:HRZ720923 IBQ720923:IBV720923 ILM720923:ILR720923 IVI720923:IVN720923 JFE720923:JFJ720923 JPA720923:JPF720923 JYW720923:JZB720923 KIS720923:KIX720923 KSO720923:KST720923 LCK720923:LCP720923 LMG720923:LML720923 LWC720923:LWH720923 MFY720923:MGD720923 MPU720923:MPZ720923 MZQ720923:MZV720923 NJM720923:NJR720923 NTI720923:NTN720923 ODE720923:ODJ720923 ONA720923:ONF720923 OWW720923:OXB720923 PGS720923:PGX720923 PQO720923:PQT720923 QAK720923:QAP720923 QKG720923:QKL720923 QUC720923:QUH720923 RDY720923:RED720923 RNU720923:RNZ720923 RXQ720923:RXV720923 SHM720923:SHR720923 SRI720923:SRN720923 TBE720923:TBJ720923 TLA720923:TLF720923 TUW720923:TVB720923 UES720923:UEX720923 UOO720923:UOT720923 UYK720923:UYP720923 VIG720923:VIL720923 VSC720923:VSH720923 WBY720923:WCD720923 WLU720923:WLZ720923 WVQ720923:WVV720923 I786459:N786459 JE786459:JJ786459 TA786459:TF786459 ACW786459:ADB786459 AMS786459:AMX786459 AWO786459:AWT786459 BGK786459:BGP786459 BQG786459:BQL786459 CAC786459:CAH786459 CJY786459:CKD786459 CTU786459:CTZ786459 DDQ786459:DDV786459 DNM786459:DNR786459 DXI786459:DXN786459 EHE786459:EHJ786459 ERA786459:ERF786459 FAW786459:FBB786459 FKS786459:FKX786459 FUO786459:FUT786459 GEK786459:GEP786459 GOG786459:GOL786459 GYC786459:GYH786459 HHY786459:HID786459 HRU786459:HRZ786459 IBQ786459:IBV786459 ILM786459:ILR786459 IVI786459:IVN786459 JFE786459:JFJ786459 JPA786459:JPF786459 JYW786459:JZB786459 KIS786459:KIX786459 KSO786459:KST786459 LCK786459:LCP786459 LMG786459:LML786459 LWC786459:LWH786459 MFY786459:MGD786459 MPU786459:MPZ786459 MZQ786459:MZV786459 NJM786459:NJR786459 NTI786459:NTN786459 ODE786459:ODJ786459 ONA786459:ONF786459 OWW786459:OXB786459 PGS786459:PGX786459 PQO786459:PQT786459 QAK786459:QAP786459 QKG786459:QKL786459 QUC786459:QUH786459 RDY786459:RED786459 RNU786459:RNZ786459 RXQ786459:RXV786459 SHM786459:SHR786459 SRI786459:SRN786459 TBE786459:TBJ786459 TLA786459:TLF786459 TUW786459:TVB786459 UES786459:UEX786459 UOO786459:UOT786459 UYK786459:UYP786459 VIG786459:VIL786459 VSC786459:VSH786459 WBY786459:WCD786459 WLU786459:WLZ786459 WVQ786459:WVV786459 I851995:N851995 JE851995:JJ851995 TA851995:TF851995 ACW851995:ADB851995 AMS851995:AMX851995 AWO851995:AWT851995 BGK851995:BGP851995 BQG851995:BQL851995 CAC851995:CAH851995 CJY851995:CKD851995 CTU851995:CTZ851995 DDQ851995:DDV851995 DNM851995:DNR851995 DXI851995:DXN851995 EHE851995:EHJ851995 ERA851995:ERF851995 FAW851995:FBB851995 FKS851995:FKX851995 FUO851995:FUT851995 GEK851995:GEP851995 GOG851995:GOL851995 GYC851995:GYH851995 HHY851995:HID851995 HRU851995:HRZ851995 IBQ851995:IBV851995 ILM851995:ILR851995 IVI851995:IVN851995 JFE851995:JFJ851995 JPA851995:JPF851995 JYW851995:JZB851995 KIS851995:KIX851995 KSO851995:KST851995 LCK851995:LCP851995 LMG851995:LML851995 LWC851995:LWH851995 MFY851995:MGD851995 MPU851995:MPZ851995 MZQ851995:MZV851995 NJM851995:NJR851995 NTI851995:NTN851995 ODE851995:ODJ851995 ONA851995:ONF851995 OWW851995:OXB851995 PGS851995:PGX851995 PQO851995:PQT851995 QAK851995:QAP851995 QKG851995:QKL851995 QUC851995:QUH851995 RDY851995:RED851995 RNU851995:RNZ851995 RXQ851995:RXV851995 SHM851995:SHR851995 SRI851995:SRN851995 TBE851995:TBJ851995 TLA851995:TLF851995 TUW851995:TVB851995 UES851995:UEX851995 UOO851995:UOT851995 UYK851995:UYP851995 VIG851995:VIL851995 VSC851995:VSH851995 WBY851995:WCD851995 WLU851995:WLZ851995 WVQ851995:WVV851995 I917531:N917531 JE917531:JJ917531 TA917531:TF917531 ACW917531:ADB917531 AMS917531:AMX917531 AWO917531:AWT917531 BGK917531:BGP917531 BQG917531:BQL917531 CAC917531:CAH917531 CJY917531:CKD917531 CTU917531:CTZ917531 DDQ917531:DDV917531 DNM917531:DNR917531 DXI917531:DXN917531 EHE917531:EHJ917531 ERA917531:ERF917531 FAW917531:FBB917531 FKS917531:FKX917531 FUO917531:FUT917531 GEK917531:GEP917531 GOG917531:GOL917531 GYC917531:GYH917531 HHY917531:HID917531 HRU917531:HRZ917531 IBQ917531:IBV917531 ILM917531:ILR917531 IVI917531:IVN917531 JFE917531:JFJ917531 JPA917531:JPF917531 JYW917531:JZB917531 KIS917531:KIX917531 KSO917531:KST917531 LCK917531:LCP917531 LMG917531:LML917531 LWC917531:LWH917531 MFY917531:MGD917531 MPU917531:MPZ917531 MZQ917531:MZV917531 NJM917531:NJR917531 NTI917531:NTN917531 ODE917531:ODJ917531 ONA917531:ONF917531 OWW917531:OXB917531 PGS917531:PGX917531 PQO917531:PQT917531 QAK917531:QAP917531 QKG917531:QKL917531 QUC917531:QUH917531 RDY917531:RED917531 RNU917531:RNZ917531 RXQ917531:RXV917531 SHM917531:SHR917531 SRI917531:SRN917531 TBE917531:TBJ917531 TLA917531:TLF917531 TUW917531:TVB917531 UES917531:UEX917531 UOO917531:UOT917531 UYK917531:UYP917531 VIG917531:VIL917531 VSC917531:VSH917531 WBY917531:WCD917531 WLU917531:WLZ917531 WVQ917531:WVV917531 I983067:N983067 JE983067:JJ983067 TA983067:TF983067 ACW983067:ADB983067 AMS983067:AMX983067 AWO983067:AWT983067 BGK983067:BGP983067 BQG983067:BQL983067 CAC983067:CAH983067 CJY983067:CKD983067 CTU983067:CTZ983067 DDQ983067:DDV983067 DNM983067:DNR983067 DXI983067:DXN983067 EHE983067:EHJ983067 ERA983067:ERF983067 FAW983067:FBB983067 FKS983067:FKX983067 FUO983067:FUT983067 GEK983067:GEP983067 GOG983067:GOL983067 GYC983067:GYH983067 HHY983067:HID983067 HRU983067:HRZ983067 IBQ983067:IBV983067 ILM983067:ILR983067 IVI983067:IVN983067 JFE983067:JFJ983067 JPA983067:JPF983067 JYW983067:JZB983067 KIS983067:KIX983067 KSO983067:KST983067 LCK983067:LCP983067 LMG983067:LML983067 LWC983067:LWH983067 MFY983067:MGD983067 MPU983067:MPZ983067 MZQ983067:MZV983067 NJM983067:NJR983067 NTI983067:NTN983067 ODE983067:ODJ983067 ONA983067:ONF983067 OWW983067:OXB983067 PGS983067:PGX983067 PQO983067:PQT983067 QAK983067:QAP983067 QKG983067:QKL983067 QUC983067:QUH983067 RDY983067:RED983067 RNU983067:RNZ983067 RXQ983067:RXV983067 SHM983067:SHR983067 SRI983067:SRN983067 TBE983067:TBJ983067 TLA983067:TLF983067 TUW983067:TVB983067 UES983067:UEX983067 UOO983067:UOT983067 UYK983067:UYP983067 VIG983067:VIL983067 VSC983067:VSH983067 WBY983067:WCD983067 WLU983067:WLZ983067 WVQ983067:WVV983067 WLU983072:WLZ983072 JE32:JJ32 TA32:TF32 ACW32:ADB32 AMS32:AMX32 AWO32:AWT32 BGK32:BGP32 BQG32:BQL32 CAC32:CAH32 CJY32:CKD32 CTU32:CTZ32 DDQ32:DDV32 DNM32:DNR32 DXI32:DXN32 EHE32:EHJ32 ERA32:ERF32 FAW32:FBB32 FKS32:FKX32 FUO32:FUT32 GEK32:GEP32 GOG32:GOL32 GYC32:GYH32 HHY32:HID32 HRU32:HRZ32 IBQ32:IBV32 ILM32:ILR32 IVI32:IVN32 JFE32:JFJ32 JPA32:JPF32 JYW32:JZB32 KIS32:KIX32 KSO32:KST32 LCK32:LCP32 LMG32:LML32 LWC32:LWH32 MFY32:MGD32 MPU32:MPZ32 MZQ32:MZV32 NJM32:NJR32 NTI32:NTN32 ODE32:ODJ32 ONA32:ONF32 OWW32:OXB32 PGS32:PGX32 PQO32:PQT32 QAK32:QAP32 QKG32:QKL32 QUC32:QUH32 RDY32:RED32 RNU32:RNZ32 RXQ32:RXV32 SHM32:SHR32 SRI32:SRN32 TBE32:TBJ32 TLA32:TLF32 TUW32:TVB32 UES32:UEX32 UOO32:UOT32 UYK32:UYP32 VIG32:VIL32 VSC32:VSH32 WBY32:WCD32 WLU32:WLZ32 WVQ32:WVV32 I65568:N65568 JE65568:JJ65568 TA65568:TF65568 ACW65568:ADB65568 AMS65568:AMX65568 AWO65568:AWT65568 BGK65568:BGP65568 BQG65568:BQL65568 CAC65568:CAH65568 CJY65568:CKD65568 CTU65568:CTZ65568 DDQ65568:DDV65568 DNM65568:DNR65568 DXI65568:DXN65568 EHE65568:EHJ65568 ERA65568:ERF65568 FAW65568:FBB65568 FKS65568:FKX65568 FUO65568:FUT65568 GEK65568:GEP65568 GOG65568:GOL65568 GYC65568:GYH65568 HHY65568:HID65568 HRU65568:HRZ65568 IBQ65568:IBV65568 ILM65568:ILR65568 IVI65568:IVN65568 JFE65568:JFJ65568 JPA65568:JPF65568 JYW65568:JZB65568 KIS65568:KIX65568 KSO65568:KST65568 LCK65568:LCP65568 LMG65568:LML65568 LWC65568:LWH65568 MFY65568:MGD65568 MPU65568:MPZ65568 MZQ65568:MZV65568 NJM65568:NJR65568 NTI65568:NTN65568 ODE65568:ODJ65568 ONA65568:ONF65568 OWW65568:OXB65568 PGS65568:PGX65568 PQO65568:PQT65568 QAK65568:QAP65568 QKG65568:QKL65568 QUC65568:QUH65568 RDY65568:RED65568 RNU65568:RNZ65568 RXQ65568:RXV65568 SHM65568:SHR65568 SRI65568:SRN65568 TBE65568:TBJ65568 TLA65568:TLF65568 TUW65568:TVB65568 UES65568:UEX65568 UOO65568:UOT65568 UYK65568:UYP65568 VIG65568:VIL65568 VSC65568:VSH65568 WBY65568:WCD65568 WLU65568:WLZ65568 WVQ65568:WVV65568 I131104:N131104 JE131104:JJ131104 TA131104:TF131104 ACW131104:ADB131104 AMS131104:AMX131104 AWO131104:AWT131104 BGK131104:BGP131104 BQG131104:BQL131104 CAC131104:CAH131104 CJY131104:CKD131104 CTU131104:CTZ131104 DDQ131104:DDV131104 DNM131104:DNR131104 DXI131104:DXN131104 EHE131104:EHJ131104 ERA131104:ERF131104 FAW131104:FBB131104 FKS131104:FKX131104 FUO131104:FUT131104 GEK131104:GEP131104 GOG131104:GOL131104 GYC131104:GYH131104 HHY131104:HID131104 HRU131104:HRZ131104 IBQ131104:IBV131104 ILM131104:ILR131104 IVI131104:IVN131104 JFE131104:JFJ131104 JPA131104:JPF131104 JYW131104:JZB131104 KIS131104:KIX131104 KSO131104:KST131104 LCK131104:LCP131104 LMG131104:LML131104 LWC131104:LWH131104 MFY131104:MGD131104 MPU131104:MPZ131104 MZQ131104:MZV131104 NJM131104:NJR131104 NTI131104:NTN131104 ODE131104:ODJ131104 ONA131104:ONF131104 OWW131104:OXB131104 PGS131104:PGX131104 PQO131104:PQT131104 QAK131104:QAP131104 QKG131104:QKL131104 QUC131104:QUH131104 RDY131104:RED131104 RNU131104:RNZ131104 RXQ131104:RXV131104 SHM131104:SHR131104 SRI131104:SRN131104 TBE131104:TBJ131104 TLA131104:TLF131104 TUW131104:TVB131104 UES131104:UEX131104 UOO131104:UOT131104 UYK131104:UYP131104 VIG131104:VIL131104 VSC131104:VSH131104 WBY131104:WCD131104 WLU131104:WLZ131104 WVQ131104:WVV131104 I196640:N196640 JE196640:JJ196640 TA196640:TF196640 ACW196640:ADB196640 AMS196640:AMX196640 AWO196640:AWT196640 BGK196640:BGP196640 BQG196640:BQL196640 CAC196640:CAH196640 CJY196640:CKD196640 CTU196640:CTZ196640 DDQ196640:DDV196640 DNM196640:DNR196640 DXI196640:DXN196640 EHE196640:EHJ196640 ERA196640:ERF196640 FAW196640:FBB196640 FKS196640:FKX196640 FUO196640:FUT196640 GEK196640:GEP196640 GOG196640:GOL196640 GYC196640:GYH196640 HHY196640:HID196640 HRU196640:HRZ196640 IBQ196640:IBV196640 ILM196640:ILR196640 IVI196640:IVN196640 JFE196640:JFJ196640 JPA196640:JPF196640 JYW196640:JZB196640 KIS196640:KIX196640 KSO196640:KST196640 LCK196640:LCP196640 LMG196640:LML196640 LWC196640:LWH196640 MFY196640:MGD196640 MPU196640:MPZ196640 MZQ196640:MZV196640 NJM196640:NJR196640 NTI196640:NTN196640 ODE196640:ODJ196640 ONA196640:ONF196640 OWW196640:OXB196640 PGS196640:PGX196640 PQO196640:PQT196640 QAK196640:QAP196640 QKG196640:QKL196640 QUC196640:QUH196640 RDY196640:RED196640 RNU196640:RNZ196640 RXQ196640:RXV196640 SHM196640:SHR196640 SRI196640:SRN196640 TBE196640:TBJ196640 TLA196640:TLF196640 TUW196640:TVB196640 UES196640:UEX196640 UOO196640:UOT196640 UYK196640:UYP196640 VIG196640:VIL196640 VSC196640:VSH196640 WBY196640:WCD196640 WLU196640:WLZ196640 WVQ196640:WVV196640 I262176:N262176 JE262176:JJ262176 TA262176:TF262176 ACW262176:ADB262176 AMS262176:AMX262176 AWO262176:AWT262176 BGK262176:BGP262176 BQG262176:BQL262176 CAC262176:CAH262176 CJY262176:CKD262176 CTU262176:CTZ262176 DDQ262176:DDV262176 DNM262176:DNR262176 DXI262176:DXN262176 EHE262176:EHJ262176 ERA262176:ERF262176 FAW262176:FBB262176 FKS262176:FKX262176 FUO262176:FUT262176 GEK262176:GEP262176 GOG262176:GOL262176 GYC262176:GYH262176 HHY262176:HID262176 HRU262176:HRZ262176 IBQ262176:IBV262176 ILM262176:ILR262176 IVI262176:IVN262176 JFE262176:JFJ262176 JPA262176:JPF262176 JYW262176:JZB262176 KIS262176:KIX262176 KSO262176:KST262176 LCK262176:LCP262176 LMG262176:LML262176 LWC262176:LWH262176 MFY262176:MGD262176 MPU262176:MPZ262176 MZQ262176:MZV262176 NJM262176:NJR262176 NTI262176:NTN262176 ODE262176:ODJ262176 ONA262176:ONF262176 OWW262176:OXB262176 PGS262176:PGX262176 PQO262176:PQT262176 QAK262176:QAP262176 QKG262176:QKL262176 QUC262176:QUH262176 RDY262176:RED262176 RNU262176:RNZ262176 RXQ262176:RXV262176 SHM262176:SHR262176 SRI262176:SRN262176 TBE262176:TBJ262176 TLA262176:TLF262176 TUW262176:TVB262176 UES262176:UEX262176 UOO262176:UOT262176 UYK262176:UYP262176 VIG262176:VIL262176 VSC262176:VSH262176 WBY262176:WCD262176 WLU262176:WLZ262176 WVQ262176:WVV262176 I327712:N327712 JE327712:JJ327712 TA327712:TF327712 ACW327712:ADB327712 AMS327712:AMX327712 AWO327712:AWT327712 BGK327712:BGP327712 BQG327712:BQL327712 CAC327712:CAH327712 CJY327712:CKD327712 CTU327712:CTZ327712 DDQ327712:DDV327712 DNM327712:DNR327712 DXI327712:DXN327712 EHE327712:EHJ327712 ERA327712:ERF327712 FAW327712:FBB327712 FKS327712:FKX327712 FUO327712:FUT327712 GEK327712:GEP327712 GOG327712:GOL327712 GYC327712:GYH327712 HHY327712:HID327712 HRU327712:HRZ327712 IBQ327712:IBV327712 ILM327712:ILR327712 IVI327712:IVN327712 JFE327712:JFJ327712 JPA327712:JPF327712 JYW327712:JZB327712 KIS327712:KIX327712 KSO327712:KST327712 LCK327712:LCP327712 LMG327712:LML327712 LWC327712:LWH327712 MFY327712:MGD327712 MPU327712:MPZ327712 MZQ327712:MZV327712 NJM327712:NJR327712 NTI327712:NTN327712 ODE327712:ODJ327712 ONA327712:ONF327712 OWW327712:OXB327712 PGS327712:PGX327712 PQO327712:PQT327712 QAK327712:QAP327712 QKG327712:QKL327712 QUC327712:QUH327712 RDY327712:RED327712 RNU327712:RNZ327712 RXQ327712:RXV327712 SHM327712:SHR327712 SRI327712:SRN327712 TBE327712:TBJ327712 TLA327712:TLF327712 TUW327712:TVB327712 UES327712:UEX327712 UOO327712:UOT327712 UYK327712:UYP327712 VIG327712:VIL327712 VSC327712:VSH327712 WBY327712:WCD327712 WLU327712:WLZ327712 WVQ327712:WVV327712 I393248:N393248 JE393248:JJ393248 TA393248:TF393248 ACW393248:ADB393248 AMS393248:AMX393248 AWO393248:AWT393248 BGK393248:BGP393248 BQG393248:BQL393248 CAC393248:CAH393248 CJY393248:CKD393248 CTU393248:CTZ393248 DDQ393248:DDV393248 DNM393248:DNR393248 DXI393248:DXN393248 EHE393248:EHJ393248 ERA393248:ERF393248 FAW393248:FBB393248 FKS393248:FKX393248 FUO393248:FUT393248 GEK393248:GEP393248 GOG393248:GOL393248 GYC393248:GYH393248 HHY393248:HID393248 HRU393248:HRZ393248 IBQ393248:IBV393248 ILM393248:ILR393248 IVI393248:IVN393248 JFE393248:JFJ393248 JPA393248:JPF393248 JYW393248:JZB393248 KIS393248:KIX393248 KSO393248:KST393248 LCK393248:LCP393248 LMG393248:LML393248 LWC393248:LWH393248 MFY393248:MGD393248 MPU393248:MPZ393248 MZQ393248:MZV393248 NJM393248:NJR393248 NTI393248:NTN393248 ODE393248:ODJ393248 ONA393248:ONF393248 OWW393248:OXB393248 PGS393248:PGX393248 PQO393248:PQT393248 QAK393248:QAP393248 QKG393248:QKL393248 QUC393248:QUH393248 RDY393248:RED393248 RNU393248:RNZ393248 RXQ393248:RXV393248 SHM393248:SHR393248 SRI393248:SRN393248 TBE393248:TBJ393248 TLA393248:TLF393248 TUW393248:TVB393248 UES393248:UEX393248 UOO393248:UOT393248 UYK393248:UYP393248 VIG393248:VIL393248 VSC393248:VSH393248 WBY393248:WCD393248 WLU393248:WLZ393248 WVQ393248:WVV393248 I458784:N458784 JE458784:JJ458784 TA458784:TF458784 ACW458784:ADB458784 AMS458784:AMX458784 AWO458784:AWT458784 BGK458784:BGP458784 BQG458784:BQL458784 CAC458784:CAH458784 CJY458784:CKD458784 CTU458784:CTZ458784 DDQ458784:DDV458784 DNM458784:DNR458784 DXI458784:DXN458784 EHE458784:EHJ458784 ERA458784:ERF458784 FAW458784:FBB458784 FKS458784:FKX458784 FUO458784:FUT458784 GEK458784:GEP458784 GOG458784:GOL458784 GYC458784:GYH458784 HHY458784:HID458784 HRU458784:HRZ458784 IBQ458784:IBV458784 ILM458784:ILR458784 IVI458784:IVN458784 JFE458784:JFJ458784 JPA458784:JPF458784 JYW458784:JZB458784 KIS458784:KIX458784 KSO458784:KST458784 LCK458784:LCP458784 LMG458784:LML458784 LWC458784:LWH458784 MFY458784:MGD458784 MPU458784:MPZ458784 MZQ458784:MZV458784 NJM458784:NJR458784 NTI458784:NTN458784 ODE458784:ODJ458784 ONA458784:ONF458784 OWW458784:OXB458784 PGS458784:PGX458784 PQO458784:PQT458784 QAK458784:QAP458784 QKG458784:QKL458784 QUC458784:QUH458784 RDY458784:RED458784 RNU458784:RNZ458784 RXQ458784:RXV458784 SHM458784:SHR458784 SRI458784:SRN458784 TBE458784:TBJ458784 TLA458784:TLF458784 TUW458784:TVB458784 UES458784:UEX458784 UOO458784:UOT458784 UYK458784:UYP458784 VIG458784:VIL458784 VSC458784:VSH458784 WBY458784:WCD458784 WLU458784:WLZ458784 WVQ458784:WVV458784 I524320:N524320 JE524320:JJ524320 TA524320:TF524320 ACW524320:ADB524320 AMS524320:AMX524320 AWO524320:AWT524320 BGK524320:BGP524320 BQG524320:BQL524320 CAC524320:CAH524320 CJY524320:CKD524320 CTU524320:CTZ524320 DDQ524320:DDV524320 DNM524320:DNR524320 DXI524320:DXN524320 EHE524320:EHJ524320 ERA524320:ERF524320 FAW524320:FBB524320 FKS524320:FKX524320 FUO524320:FUT524320 GEK524320:GEP524320 GOG524320:GOL524320 GYC524320:GYH524320 HHY524320:HID524320 HRU524320:HRZ524320 IBQ524320:IBV524320 ILM524320:ILR524320 IVI524320:IVN524320 JFE524320:JFJ524320 JPA524320:JPF524320 JYW524320:JZB524320 KIS524320:KIX524320 KSO524320:KST524320 LCK524320:LCP524320 LMG524320:LML524320 LWC524320:LWH524320 MFY524320:MGD524320 MPU524320:MPZ524320 MZQ524320:MZV524320 NJM524320:NJR524320 NTI524320:NTN524320 ODE524320:ODJ524320 ONA524320:ONF524320 OWW524320:OXB524320 PGS524320:PGX524320 PQO524320:PQT524320 QAK524320:QAP524320 QKG524320:QKL524320 QUC524320:QUH524320 RDY524320:RED524320 RNU524320:RNZ524320 RXQ524320:RXV524320 SHM524320:SHR524320 SRI524320:SRN524320 TBE524320:TBJ524320 TLA524320:TLF524320 TUW524320:TVB524320 UES524320:UEX524320 UOO524320:UOT524320 UYK524320:UYP524320 VIG524320:VIL524320 VSC524320:VSH524320 WBY524320:WCD524320 WLU524320:WLZ524320 WVQ524320:WVV524320 I589856:N589856 JE589856:JJ589856 TA589856:TF589856 ACW589856:ADB589856 AMS589856:AMX589856 AWO589856:AWT589856 BGK589856:BGP589856 BQG589856:BQL589856 CAC589856:CAH589856 CJY589856:CKD589856 CTU589856:CTZ589856 DDQ589856:DDV589856 DNM589856:DNR589856 DXI589856:DXN589856 EHE589856:EHJ589856 ERA589856:ERF589856 FAW589856:FBB589856 FKS589856:FKX589856 FUO589856:FUT589856 GEK589856:GEP589856 GOG589856:GOL589856 GYC589856:GYH589856 HHY589856:HID589856 HRU589856:HRZ589856 IBQ589856:IBV589856 ILM589856:ILR589856 IVI589856:IVN589856 JFE589856:JFJ589856 JPA589856:JPF589856 JYW589856:JZB589856 KIS589856:KIX589856 KSO589856:KST589856 LCK589856:LCP589856 LMG589856:LML589856 LWC589856:LWH589856 MFY589856:MGD589856 MPU589856:MPZ589856 MZQ589856:MZV589856 NJM589856:NJR589856 NTI589856:NTN589856 ODE589856:ODJ589856 ONA589856:ONF589856 OWW589856:OXB589856 PGS589856:PGX589856 PQO589856:PQT589856 QAK589856:QAP589856 QKG589856:QKL589856 QUC589856:QUH589856 RDY589856:RED589856 RNU589856:RNZ589856 RXQ589856:RXV589856 SHM589856:SHR589856 SRI589856:SRN589856 TBE589856:TBJ589856 TLA589856:TLF589856 TUW589856:TVB589856 UES589856:UEX589856 UOO589856:UOT589856 UYK589856:UYP589856 VIG589856:VIL589856 VSC589856:VSH589856 WBY589856:WCD589856 WLU589856:WLZ589856 WVQ589856:WVV589856 I655392:N655392 JE655392:JJ655392 TA655392:TF655392 ACW655392:ADB655392 AMS655392:AMX655392 AWO655392:AWT655392 BGK655392:BGP655392 BQG655392:BQL655392 CAC655392:CAH655392 CJY655392:CKD655392 CTU655392:CTZ655392 DDQ655392:DDV655392 DNM655392:DNR655392 DXI655392:DXN655392 EHE655392:EHJ655392 ERA655392:ERF655392 FAW655392:FBB655392 FKS655392:FKX655392 FUO655392:FUT655392 GEK655392:GEP655392 GOG655392:GOL655392 GYC655392:GYH655392 HHY655392:HID655392 HRU655392:HRZ655392 IBQ655392:IBV655392 ILM655392:ILR655392 IVI655392:IVN655392 JFE655392:JFJ655392 JPA655392:JPF655392 JYW655392:JZB655392 KIS655392:KIX655392 KSO655392:KST655392 LCK655392:LCP655392 LMG655392:LML655392 LWC655392:LWH655392 MFY655392:MGD655392 MPU655392:MPZ655392 MZQ655392:MZV655392 NJM655392:NJR655392 NTI655392:NTN655392 ODE655392:ODJ655392 ONA655392:ONF655392 OWW655392:OXB655392 PGS655392:PGX655392 PQO655392:PQT655392 QAK655392:QAP655392 QKG655392:QKL655392 QUC655392:QUH655392 RDY655392:RED655392 RNU655392:RNZ655392 RXQ655392:RXV655392 SHM655392:SHR655392 SRI655392:SRN655392 TBE655392:TBJ655392 TLA655392:TLF655392 TUW655392:TVB655392 UES655392:UEX655392 UOO655392:UOT655392 UYK655392:UYP655392 VIG655392:VIL655392 VSC655392:VSH655392 WBY655392:WCD655392 WLU655392:WLZ655392 WVQ655392:WVV655392 I720928:N720928 JE720928:JJ720928 TA720928:TF720928 ACW720928:ADB720928 AMS720928:AMX720928 AWO720928:AWT720928 BGK720928:BGP720928 BQG720928:BQL720928 CAC720928:CAH720928 CJY720928:CKD720928 CTU720928:CTZ720928 DDQ720928:DDV720928 DNM720928:DNR720928 DXI720928:DXN720928 EHE720928:EHJ720928 ERA720928:ERF720928 FAW720928:FBB720928 FKS720928:FKX720928 FUO720928:FUT720928 GEK720928:GEP720928 GOG720928:GOL720928 GYC720928:GYH720928 HHY720928:HID720928 HRU720928:HRZ720928 IBQ720928:IBV720928 ILM720928:ILR720928 IVI720928:IVN720928 JFE720928:JFJ720928 JPA720928:JPF720928 JYW720928:JZB720928 KIS720928:KIX720928 KSO720928:KST720928 LCK720928:LCP720928 LMG720928:LML720928 LWC720928:LWH720928 MFY720928:MGD720928 MPU720928:MPZ720928 MZQ720928:MZV720928 NJM720928:NJR720928 NTI720928:NTN720928 ODE720928:ODJ720928 ONA720928:ONF720928 OWW720928:OXB720928 PGS720928:PGX720928 PQO720928:PQT720928 QAK720928:QAP720928 QKG720928:QKL720928 QUC720928:QUH720928 RDY720928:RED720928 RNU720928:RNZ720928 RXQ720928:RXV720928 SHM720928:SHR720928 SRI720928:SRN720928 TBE720928:TBJ720928 TLA720928:TLF720928 TUW720928:TVB720928 UES720928:UEX720928 UOO720928:UOT720928 UYK720928:UYP720928 VIG720928:VIL720928 VSC720928:VSH720928 WBY720928:WCD720928 WLU720928:WLZ720928 WVQ720928:WVV720928 I786464:N786464 JE786464:JJ786464 TA786464:TF786464 ACW786464:ADB786464 AMS786464:AMX786464 AWO786464:AWT786464 BGK786464:BGP786464 BQG786464:BQL786464 CAC786464:CAH786464 CJY786464:CKD786464 CTU786464:CTZ786464 DDQ786464:DDV786464 DNM786464:DNR786464 DXI786464:DXN786464 EHE786464:EHJ786464 ERA786464:ERF786464 FAW786464:FBB786464 FKS786464:FKX786464 FUO786464:FUT786464 GEK786464:GEP786464 GOG786464:GOL786464 GYC786464:GYH786464 HHY786464:HID786464 HRU786464:HRZ786464 IBQ786464:IBV786464 ILM786464:ILR786464 IVI786464:IVN786464 JFE786464:JFJ786464 JPA786464:JPF786464 JYW786464:JZB786464 KIS786464:KIX786464 KSO786464:KST786464 LCK786464:LCP786464 LMG786464:LML786464 LWC786464:LWH786464 MFY786464:MGD786464 MPU786464:MPZ786464 MZQ786464:MZV786464 NJM786464:NJR786464 NTI786464:NTN786464 ODE786464:ODJ786464 ONA786464:ONF786464 OWW786464:OXB786464 PGS786464:PGX786464 PQO786464:PQT786464 QAK786464:QAP786464 QKG786464:QKL786464 QUC786464:QUH786464 RDY786464:RED786464 RNU786464:RNZ786464 RXQ786464:RXV786464 SHM786464:SHR786464 SRI786464:SRN786464 TBE786464:TBJ786464 TLA786464:TLF786464 TUW786464:TVB786464 UES786464:UEX786464 UOO786464:UOT786464 UYK786464:UYP786464 VIG786464:VIL786464 VSC786464:VSH786464 WBY786464:WCD786464 WLU786464:WLZ786464 WVQ786464:WVV786464 I852000:N852000 JE852000:JJ852000 TA852000:TF852000 ACW852000:ADB852000 AMS852000:AMX852000 AWO852000:AWT852000 BGK852000:BGP852000 BQG852000:BQL852000 CAC852000:CAH852000 CJY852000:CKD852000 CTU852000:CTZ852000 DDQ852000:DDV852000 DNM852000:DNR852000 DXI852000:DXN852000 EHE852000:EHJ852000 ERA852000:ERF852000 FAW852000:FBB852000 FKS852000:FKX852000 FUO852000:FUT852000 GEK852000:GEP852000 GOG852000:GOL852000 GYC852000:GYH852000 HHY852000:HID852000 HRU852000:HRZ852000 IBQ852000:IBV852000 ILM852000:ILR852000 IVI852000:IVN852000 JFE852000:JFJ852000 JPA852000:JPF852000 JYW852000:JZB852000 KIS852000:KIX852000 KSO852000:KST852000 LCK852000:LCP852000 LMG852000:LML852000 LWC852000:LWH852000 MFY852000:MGD852000 MPU852000:MPZ852000 MZQ852000:MZV852000 NJM852000:NJR852000 NTI852000:NTN852000 ODE852000:ODJ852000 ONA852000:ONF852000 OWW852000:OXB852000 PGS852000:PGX852000 PQO852000:PQT852000 QAK852000:QAP852000 QKG852000:QKL852000 QUC852000:QUH852000 RDY852000:RED852000 RNU852000:RNZ852000 RXQ852000:RXV852000 SHM852000:SHR852000 SRI852000:SRN852000 TBE852000:TBJ852000 TLA852000:TLF852000 TUW852000:TVB852000 UES852000:UEX852000 UOO852000:UOT852000 UYK852000:UYP852000 VIG852000:VIL852000 VSC852000:VSH852000 WBY852000:WCD852000 WLU852000:WLZ852000 WVQ852000:WVV852000 I917536:N917536 JE917536:JJ917536 TA917536:TF917536 ACW917536:ADB917536 AMS917536:AMX917536 AWO917536:AWT917536 BGK917536:BGP917536 BQG917536:BQL917536 CAC917536:CAH917536 CJY917536:CKD917536 CTU917536:CTZ917536 DDQ917536:DDV917536 DNM917536:DNR917536 DXI917536:DXN917536 EHE917536:EHJ917536 ERA917536:ERF917536 FAW917536:FBB917536 FKS917536:FKX917536 FUO917536:FUT917536 GEK917536:GEP917536 GOG917536:GOL917536 GYC917536:GYH917536 HHY917536:HID917536 HRU917536:HRZ917536 IBQ917536:IBV917536 ILM917536:ILR917536 IVI917536:IVN917536 JFE917536:JFJ917536 JPA917536:JPF917536 JYW917536:JZB917536 KIS917536:KIX917536 KSO917536:KST917536 LCK917536:LCP917536 LMG917536:LML917536 LWC917536:LWH917536 MFY917536:MGD917536 MPU917536:MPZ917536 MZQ917536:MZV917536 NJM917536:NJR917536 NTI917536:NTN917536 ODE917536:ODJ917536 ONA917536:ONF917536 OWW917536:OXB917536 PGS917536:PGX917536 PQO917536:PQT917536 QAK917536:QAP917536 QKG917536:QKL917536 QUC917536:QUH917536 RDY917536:RED917536 RNU917536:RNZ917536 RXQ917536:RXV917536 SHM917536:SHR917536 SRI917536:SRN917536 TBE917536:TBJ917536 TLA917536:TLF917536 TUW917536:TVB917536 UES917536:UEX917536 UOO917536:UOT917536 UYK917536:UYP917536 VIG917536:VIL917536 VSC917536:VSH917536 WBY917536:WCD917536 WLU917536:WLZ917536 WVQ917536:WVV917536 I983072:N983072 JE983072:JJ983072 TA983072:TF983072 ACW983072:ADB983072 AMS983072:AMX983072 AWO983072:AWT983072 BGK983072:BGP983072 BQG983072:BQL983072 CAC983072:CAH983072 CJY983072:CKD983072 CTU983072:CTZ983072 DDQ983072:DDV983072 DNM983072:DNR983072 DXI983072:DXN983072 EHE983072:EHJ983072 ERA983072:ERF983072 FAW983072:FBB983072 FKS983072:FKX983072 FUO983072:FUT983072 GEK983072:GEP983072 GOG983072:GOL983072 GYC983072:GYH983072 HHY983072:HID983072 HRU983072:HRZ983072 IBQ983072:IBV983072 ILM983072:ILR983072 IVI983072:IVN983072 JFE983072:JFJ983072 JPA983072:JPF983072 JYW983072:JZB983072 KIS983072:KIX983072 KSO983072:KST983072 LCK983072:LCP983072 LMG983072:LML983072 LWC983072:LWH983072 MFY983072:MGD983072 MPU983072:MPZ983072 MZQ983072:MZV983072 NJM983072:NJR983072 NTI983072:NTN983072 ODE983072:ODJ983072 ONA983072:ONF983072 OWW983072:OXB983072 PGS983072:PGX983072 PQO983072:PQT983072 QAK983072:QAP983072 QKG983072:QKL983072 QUC983072:QUH983072 RDY983072:RED983072 RNU983072:RNZ983072 RXQ983072:RXV983072 SHM983072:SHR983072 SRI983072:SRN983072 TBE983072:TBJ983072 TLA983072:TLF983072 TUW983072:TVB983072 UES983072:UEX983072 UOO983072:UOT983072 UYK983072:UYP983072 VIG983072:VIL983072 VSC983072:VSH983072 WBY983072:WCD983072" xr:uid="{875580BD-7C8B-4EFC-AD86-F654419D3532}">
      <formula1>$A$71:$A$101</formula1>
    </dataValidation>
    <dataValidation type="list" allowBlank="1" showInputMessage="1" showErrorMessage="1" sqref="I25:N25 I32:N32" xr:uid="{684A5C86-965C-4D22-B140-F71CC4046FD6}">
      <formula1>$A$70:$A$101</formula1>
    </dataValidation>
  </dataValidations>
  <hyperlinks>
    <hyperlink ref="S48" r:id="rId1" display="EEM Website" xr:uid="{8F799A3A-9CDB-49F3-9F47-E0E5DE73A41C}"/>
    <hyperlink ref="S48:W50" r:id="rId2" display="visit MBCM Web page for the latest update factors" xr:uid="{39F22102-E64A-41BC-B0C6-EC096DBA00AE}"/>
  </hyperlinks>
  <printOptions horizontalCentered="1"/>
  <pageMargins left="0.74803149606299213" right="0.70866141732283472" top="0.74803149606299213" bottom="0.9055118110236221" header="0.39370078740157483" footer="0.39370078740157483"/>
  <pageSetup paperSize="9" scale="90" orientation="portrait" r:id="rId3"/>
  <headerFooter scaleWithDoc="0" alignWithMargins="0">
    <oddHeader xml:space="preserve">&amp;L&amp;"-,Regular"&amp;8&amp;F&amp;R&amp;"-,Regular"&amp;8&amp;A
___________________________________________________________________________________________________
</oddHeader>
    <oddFooter>&amp;L&amp;"-,Regular"&amp;8___________________________________________________________________________________________________
NZ Transport Agency’s Economic evaluation manual
Effective Jul 2013</oddFooter>
  </headerFooter>
  <legacyDrawing r:id="rId4"/>
</worksheet>
</file>

<file path=xl/worksheets/sheet6.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341E8C7F-535B-4C56-9BB1-D0923FD5B99A}">
  <sheetPr>
    <pageSetUpPr fitToPage="1"/>
  </sheetPr>
  <dimension ref="A1:Z93"/>
  <sheetViews>
    <sheetView zoomScaleNormal="100" workbookViewId="0">
      <selection activeCell="I8" sqref="I8:N8"/>
    </sheetView>
  </sheetViews>
  <sheetFormatPr defaultColWidth="7.69921875" defaultRowHeight="12.6"/>
  <cols>
    <col min="1" max="1" width="2.09765625" style="55" customWidth="1"/>
    <col min="2" max="2" width="0.8984375" style="55" customWidth="1"/>
    <col min="3" max="3" width="7.09765625" style="55" customWidth="1"/>
    <col min="4" max="7" width="3.19921875" style="55" customWidth="1"/>
    <col min="8" max="8" width="3.3984375" style="55" customWidth="1"/>
    <col min="9" max="11" width="3.19921875" style="55" customWidth="1"/>
    <col min="12" max="12" width="4.59765625" style="55" customWidth="1"/>
    <col min="13" max="13" width="4.3984375" style="55" customWidth="1"/>
    <col min="14" max="20" width="4.59765625" style="55" customWidth="1"/>
    <col min="21" max="21" width="3.09765625" style="248" customWidth="1"/>
    <col min="22" max="256" width="7.69921875" style="55"/>
    <col min="257" max="257" width="2.09765625" style="55" customWidth="1"/>
    <col min="258" max="258" width="0.8984375" style="55" customWidth="1"/>
    <col min="259" max="259" width="7.09765625" style="55" customWidth="1"/>
    <col min="260" max="263" width="3.19921875" style="55" customWidth="1"/>
    <col min="264" max="264" width="3.3984375" style="55" customWidth="1"/>
    <col min="265" max="267" width="3.19921875" style="55" customWidth="1"/>
    <col min="268" max="268" width="4.59765625" style="55" customWidth="1"/>
    <col min="269" max="269" width="4.3984375" style="55" customWidth="1"/>
    <col min="270" max="276" width="4.59765625" style="55" customWidth="1"/>
    <col min="277" max="277" width="3.09765625" style="55" customWidth="1"/>
    <col min="278" max="512" width="7.69921875" style="55"/>
    <col min="513" max="513" width="2.09765625" style="55" customWidth="1"/>
    <col min="514" max="514" width="0.8984375" style="55" customWidth="1"/>
    <col min="515" max="515" width="7.09765625" style="55" customWidth="1"/>
    <col min="516" max="519" width="3.19921875" style="55" customWidth="1"/>
    <col min="520" max="520" width="3.3984375" style="55" customWidth="1"/>
    <col min="521" max="523" width="3.19921875" style="55" customWidth="1"/>
    <col min="524" max="524" width="4.59765625" style="55" customWidth="1"/>
    <col min="525" max="525" width="4.3984375" style="55" customWidth="1"/>
    <col min="526" max="532" width="4.59765625" style="55" customWidth="1"/>
    <col min="533" max="533" width="3.09765625" style="55" customWidth="1"/>
    <col min="534" max="768" width="7.69921875" style="55"/>
    <col min="769" max="769" width="2.09765625" style="55" customWidth="1"/>
    <col min="770" max="770" width="0.8984375" style="55" customWidth="1"/>
    <col min="771" max="771" width="7.09765625" style="55" customWidth="1"/>
    <col min="772" max="775" width="3.19921875" style="55" customWidth="1"/>
    <col min="776" max="776" width="3.3984375" style="55" customWidth="1"/>
    <col min="777" max="779" width="3.19921875" style="55" customWidth="1"/>
    <col min="780" max="780" width="4.59765625" style="55" customWidth="1"/>
    <col min="781" max="781" width="4.3984375" style="55" customWidth="1"/>
    <col min="782" max="788" width="4.59765625" style="55" customWidth="1"/>
    <col min="789" max="789" width="3.09765625" style="55" customWidth="1"/>
    <col min="790" max="1024" width="7.69921875" style="55"/>
    <col min="1025" max="1025" width="2.09765625" style="55" customWidth="1"/>
    <col min="1026" max="1026" width="0.8984375" style="55" customWidth="1"/>
    <col min="1027" max="1027" width="7.09765625" style="55" customWidth="1"/>
    <col min="1028" max="1031" width="3.19921875" style="55" customWidth="1"/>
    <col min="1032" max="1032" width="3.3984375" style="55" customWidth="1"/>
    <col min="1033" max="1035" width="3.19921875" style="55" customWidth="1"/>
    <col min="1036" max="1036" width="4.59765625" style="55" customWidth="1"/>
    <col min="1037" max="1037" width="4.3984375" style="55" customWidth="1"/>
    <col min="1038" max="1044" width="4.59765625" style="55" customWidth="1"/>
    <col min="1045" max="1045" width="3.09765625" style="55" customWidth="1"/>
    <col min="1046" max="1280" width="7.69921875" style="55"/>
    <col min="1281" max="1281" width="2.09765625" style="55" customWidth="1"/>
    <col min="1282" max="1282" width="0.8984375" style="55" customWidth="1"/>
    <col min="1283" max="1283" width="7.09765625" style="55" customWidth="1"/>
    <col min="1284" max="1287" width="3.19921875" style="55" customWidth="1"/>
    <col min="1288" max="1288" width="3.3984375" style="55" customWidth="1"/>
    <col min="1289" max="1291" width="3.19921875" style="55" customWidth="1"/>
    <col min="1292" max="1292" width="4.59765625" style="55" customWidth="1"/>
    <col min="1293" max="1293" width="4.3984375" style="55" customWidth="1"/>
    <col min="1294" max="1300" width="4.59765625" style="55" customWidth="1"/>
    <col min="1301" max="1301" width="3.09765625" style="55" customWidth="1"/>
    <col min="1302" max="1536" width="7.69921875" style="55"/>
    <col min="1537" max="1537" width="2.09765625" style="55" customWidth="1"/>
    <col min="1538" max="1538" width="0.8984375" style="55" customWidth="1"/>
    <col min="1539" max="1539" width="7.09765625" style="55" customWidth="1"/>
    <col min="1540" max="1543" width="3.19921875" style="55" customWidth="1"/>
    <col min="1544" max="1544" width="3.3984375" style="55" customWidth="1"/>
    <col min="1545" max="1547" width="3.19921875" style="55" customWidth="1"/>
    <col min="1548" max="1548" width="4.59765625" style="55" customWidth="1"/>
    <col min="1549" max="1549" width="4.3984375" style="55" customWidth="1"/>
    <col min="1550" max="1556" width="4.59765625" style="55" customWidth="1"/>
    <col min="1557" max="1557" width="3.09765625" style="55" customWidth="1"/>
    <col min="1558" max="1792" width="7.69921875" style="55"/>
    <col min="1793" max="1793" width="2.09765625" style="55" customWidth="1"/>
    <col min="1794" max="1794" width="0.8984375" style="55" customWidth="1"/>
    <col min="1795" max="1795" width="7.09765625" style="55" customWidth="1"/>
    <col min="1796" max="1799" width="3.19921875" style="55" customWidth="1"/>
    <col min="1800" max="1800" width="3.3984375" style="55" customWidth="1"/>
    <col min="1801" max="1803" width="3.19921875" style="55" customWidth="1"/>
    <col min="1804" max="1804" width="4.59765625" style="55" customWidth="1"/>
    <col min="1805" max="1805" width="4.3984375" style="55" customWidth="1"/>
    <col min="1806" max="1812" width="4.59765625" style="55" customWidth="1"/>
    <col min="1813" max="1813" width="3.09765625" style="55" customWidth="1"/>
    <col min="1814" max="2048" width="7.69921875" style="55"/>
    <col min="2049" max="2049" width="2.09765625" style="55" customWidth="1"/>
    <col min="2050" max="2050" width="0.8984375" style="55" customWidth="1"/>
    <col min="2051" max="2051" width="7.09765625" style="55" customWidth="1"/>
    <col min="2052" max="2055" width="3.19921875" style="55" customWidth="1"/>
    <col min="2056" max="2056" width="3.3984375" style="55" customWidth="1"/>
    <col min="2057" max="2059" width="3.19921875" style="55" customWidth="1"/>
    <col min="2060" max="2060" width="4.59765625" style="55" customWidth="1"/>
    <col min="2061" max="2061" width="4.3984375" style="55" customWidth="1"/>
    <col min="2062" max="2068" width="4.59765625" style="55" customWidth="1"/>
    <col min="2069" max="2069" width="3.09765625" style="55" customWidth="1"/>
    <col min="2070" max="2304" width="7.69921875" style="55"/>
    <col min="2305" max="2305" width="2.09765625" style="55" customWidth="1"/>
    <col min="2306" max="2306" width="0.8984375" style="55" customWidth="1"/>
    <col min="2307" max="2307" width="7.09765625" style="55" customWidth="1"/>
    <col min="2308" max="2311" width="3.19921875" style="55" customWidth="1"/>
    <col min="2312" max="2312" width="3.3984375" style="55" customWidth="1"/>
    <col min="2313" max="2315" width="3.19921875" style="55" customWidth="1"/>
    <col min="2316" max="2316" width="4.59765625" style="55" customWidth="1"/>
    <col min="2317" max="2317" width="4.3984375" style="55" customWidth="1"/>
    <col min="2318" max="2324" width="4.59765625" style="55" customWidth="1"/>
    <col min="2325" max="2325" width="3.09765625" style="55" customWidth="1"/>
    <col min="2326" max="2560" width="7.69921875" style="55"/>
    <col min="2561" max="2561" width="2.09765625" style="55" customWidth="1"/>
    <col min="2562" max="2562" width="0.8984375" style="55" customWidth="1"/>
    <col min="2563" max="2563" width="7.09765625" style="55" customWidth="1"/>
    <col min="2564" max="2567" width="3.19921875" style="55" customWidth="1"/>
    <col min="2568" max="2568" width="3.3984375" style="55" customWidth="1"/>
    <col min="2569" max="2571" width="3.19921875" style="55" customWidth="1"/>
    <col min="2572" max="2572" width="4.59765625" style="55" customWidth="1"/>
    <col min="2573" max="2573" width="4.3984375" style="55" customWidth="1"/>
    <col min="2574" max="2580" width="4.59765625" style="55" customWidth="1"/>
    <col min="2581" max="2581" width="3.09765625" style="55" customWidth="1"/>
    <col min="2582" max="2816" width="7.69921875" style="55"/>
    <col min="2817" max="2817" width="2.09765625" style="55" customWidth="1"/>
    <col min="2818" max="2818" width="0.8984375" style="55" customWidth="1"/>
    <col min="2819" max="2819" width="7.09765625" style="55" customWidth="1"/>
    <col min="2820" max="2823" width="3.19921875" style="55" customWidth="1"/>
    <col min="2824" max="2824" width="3.3984375" style="55" customWidth="1"/>
    <col min="2825" max="2827" width="3.19921875" style="55" customWidth="1"/>
    <col min="2828" max="2828" width="4.59765625" style="55" customWidth="1"/>
    <col min="2829" max="2829" width="4.3984375" style="55" customWidth="1"/>
    <col min="2830" max="2836" width="4.59765625" style="55" customWidth="1"/>
    <col min="2837" max="2837" width="3.09765625" style="55" customWidth="1"/>
    <col min="2838" max="3072" width="7.69921875" style="55"/>
    <col min="3073" max="3073" width="2.09765625" style="55" customWidth="1"/>
    <col min="3074" max="3074" width="0.8984375" style="55" customWidth="1"/>
    <col min="3075" max="3075" width="7.09765625" style="55" customWidth="1"/>
    <col min="3076" max="3079" width="3.19921875" style="55" customWidth="1"/>
    <col min="3080" max="3080" width="3.3984375" style="55" customWidth="1"/>
    <col min="3081" max="3083" width="3.19921875" style="55" customWidth="1"/>
    <col min="3084" max="3084" width="4.59765625" style="55" customWidth="1"/>
    <col min="3085" max="3085" width="4.3984375" style="55" customWidth="1"/>
    <col min="3086" max="3092" width="4.59765625" style="55" customWidth="1"/>
    <col min="3093" max="3093" width="3.09765625" style="55" customWidth="1"/>
    <col min="3094" max="3328" width="7.69921875" style="55"/>
    <col min="3329" max="3329" width="2.09765625" style="55" customWidth="1"/>
    <col min="3330" max="3330" width="0.8984375" style="55" customWidth="1"/>
    <col min="3331" max="3331" width="7.09765625" style="55" customWidth="1"/>
    <col min="3332" max="3335" width="3.19921875" style="55" customWidth="1"/>
    <col min="3336" max="3336" width="3.3984375" style="55" customWidth="1"/>
    <col min="3337" max="3339" width="3.19921875" style="55" customWidth="1"/>
    <col min="3340" max="3340" width="4.59765625" style="55" customWidth="1"/>
    <col min="3341" max="3341" width="4.3984375" style="55" customWidth="1"/>
    <col min="3342" max="3348" width="4.59765625" style="55" customWidth="1"/>
    <col min="3349" max="3349" width="3.09765625" style="55" customWidth="1"/>
    <col min="3350" max="3584" width="7.69921875" style="55"/>
    <col min="3585" max="3585" width="2.09765625" style="55" customWidth="1"/>
    <col min="3586" max="3586" width="0.8984375" style="55" customWidth="1"/>
    <col min="3587" max="3587" width="7.09765625" style="55" customWidth="1"/>
    <col min="3588" max="3591" width="3.19921875" style="55" customWidth="1"/>
    <col min="3592" max="3592" width="3.3984375" style="55" customWidth="1"/>
    <col min="3593" max="3595" width="3.19921875" style="55" customWidth="1"/>
    <col min="3596" max="3596" width="4.59765625" style="55" customWidth="1"/>
    <col min="3597" max="3597" width="4.3984375" style="55" customWidth="1"/>
    <col min="3598" max="3604" width="4.59765625" style="55" customWidth="1"/>
    <col min="3605" max="3605" width="3.09765625" style="55" customWidth="1"/>
    <col min="3606" max="3840" width="7.69921875" style="55"/>
    <col min="3841" max="3841" width="2.09765625" style="55" customWidth="1"/>
    <col min="3842" max="3842" width="0.8984375" style="55" customWidth="1"/>
    <col min="3843" max="3843" width="7.09765625" style="55" customWidth="1"/>
    <col min="3844" max="3847" width="3.19921875" style="55" customWidth="1"/>
    <col min="3848" max="3848" width="3.3984375" style="55" customWidth="1"/>
    <col min="3849" max="3851" width="3.19921875" style="55" customWidth="1"/>
    <col min="3852" max="3852" width="4.59765625" style="55" customWidth="1"/>
    <col min="3853" max="3853" width="4.3984375" style="55" customWidth="1"/>
    <col min="3854" max="3860" width="4.59765625" style="55" customWidth="1"/>
    <col min="3861" max="3861" width="3.09765625" style="55" customWidth="1"/>
    <col min="3862" max="4096" width="7.69921875" style="55"/>
    <col min="4097" max="4097" width="2.09765625" style="55" customWidth="1"/>
    <col min="4098" max="4098" width="0.8984375" style="55" customWidth="1"/>
    <col min="4099" max="4099" width="7.09765625" style="55" customWidth="1"/>
    <col min="4100" max="4103" width="3.19921875" style="55" customWidth="1"/>
    <col min="4104" max="4104" width="3.3984375" style="55" customWidth="1"/>
    <col min="4105" max="4107" width="3.19921875" style="55" customWidth="1"/>
    <col min="4108" max="4108" width="4.59765625" style="55" customWidth="1"/>
    <col min="4109" max="4109" width="4.3984375" style="55" customWidth="1"/>
    <col min="4110" max="4116" width="4.59765625" style="55" customWidth="1"/>
    <col min="4117" max="4117" width="3.09765625" style="55" customWidth="1"/>
    <col min="4118" max="4352" width="7.69921875" style="55"/>
    <col min="4353" max="4353" width="2.09765625" style="55" customWidth="1"/>
    <col min="4354" max="4354" width="0.8984375" style="55" customWidth="1"/>
    <col min="4355" max="4355" width="7.09765625" style="55" customWidth="1"/>
    <col min="4356" max="4359" width="3.19921875" style="55" customWidth="1"/>
    <col min="4360" max="4360" width="3.3984375" style="55" customWidth="1"/>
    <col min="4361" max="4363" width="3.19921875" style="55" customWidth="1"/>
    <col min="4364" max="4364" width="4.59765625" style="55" customWidth="1"/>
    <col min="4365" max="4365" width="4.3984375" style="55" customWidth="1"/>
    <col min="4366" max="4372" width="4.59765625" style="55" customWidth="1"/>
    <col min="4373" max="4373" width="3.09765625" style="55" customWidth="1"/>
    <col min="4374" max="4608" width="7.69921875" style="55"/>
    <col min="4609" max="4609" width="2.09765625" style="55" customWidth="1"/>
    <col min="4610" max="4610" width="0.8984375" style="55" customWidth="1"/>
    <col min="4611" max="4611" width="7.09765625" style="55" customWidth="1"/>
    <col min="4612" max="4615" width="3.19921875" style="55" customWidth="1"/>
    <col min="4616" max="4616" width="3.3984375" style="55" customWidth="1"/>
    <col min="4617" max="4619" width="3.19921875" style="55" customWidth="1"/>
    <col min="4620" max="4620" width="4.59765625" style="55" customWidth="1"/>
    <col min="4621" max="4621" width="4.3984375" style="55" customWidth="1"/>
    <col min="4622" max="4628" width="4.59765625" style="55" customWidth="1"/>
    <col min="4629" max="4629" width="3.09765625" style="55" customWidth="1"/>
    <col min="4630" max="4864" width="7.69921875" style="55"/>
    <col min="4865" max="4865" width="2.09765625" style="55" customWidth="1"/>
    <col min="4866" max="4866" width="0.8984375" style="55" customWidth="1"/>
    <col min="4867" max="4867" width="7.09765625" style="55" customWidth="1"/>
    <col min="4868" max="4871" width="3.19921875" style="55" customWidth="1"/>
    <col min="4872" max="4872" width="3.3984375" style="55" customWidth="1"/>
    <col min="4873" max="4875" width="3.19921875" style="55" customWidth="1"/>
    <col min="4876" max="4876" width="4.59765625" style="55" customWidth="1"/>
    <col min="4877" max="4877" width="4.3984375" style="55" customWidth="1"/>
    <col min="4878" max="4884" width="4.59765625" style="55" customWidth="1"/>
    <col min="4885" max="4885" width="3.09765625" style="55" customWidth="1"/>
    <col min="4886" max="5120" width="7.69921875" style="55"/>
    <col min="5121" max="5121" width="2.09765625" style="55" customWidth="1"/>
    <col min="5122" max="5122" width="0.8984375" style="55" customWidth="1"/>
    <col min="5123" max="5123" width="7.09765625" style="55" customWidth="1"/>
    <col min="5124" max="5127" width="3.19921875" style="55" customWidth="1"/>
    <col min="5128" max="5128" width="3.3984375" style="55" customWidth="1"/>
    <col min="5129" max="5131" width="3.19921875" style="55" customWidth="1"/>
    <col min="5132" max="5132" width="4.59765625" style="55" customWidth="1"/>
    <col min="5133" max="5133" width="4.3984375" style="55" customWidth="1"/>
    <col min="5134" max="5140" width="4.59765625" style="55" customWidth="1"/>
    <col min="5141" max="5141" width="3.09765625" style="55" customWidth="1"/>
    <col min="5142" max="5376" width="7.69921875" style="55"/>
    <col min="5377" max="5377" width="2.09765625" style="55" customWidth="1"/>
    <col min="5378" max="5378" width="0.8984375" style="55" customWidth="1"/>
    <col min="5379" max="5379" width="7.09765625" style="55" customWidth="1"/>
    <col min="5380" max="5383" width="3.19921875" style="55" customWidth="1"/>
    <col min="5384" max="5384" width="3.3984375" style="55" customWidth="1"/>
    <col min="5385" max="5387" width="3.19921875" style="55" customWidth="1"/>
    <col min="5388" max="5388" width="4.59765625" style="55" customWidth="1"/>
    <col min="5389" max="5389" width="4.3984375" style="55" customWidth="1"/>
    <col min="5390" max="5396" width="4.59765625" style="55" customWidth="1"/>
    <col min="5397" max="5397" width="3.09765625" style="55" customWidth="1"/>
    <col min="5398" max="5632" width="7.69921875" style="55"/>
    <col min="5633" max="5633" width="2.09765625" style="55" customWidth="1"/>
    <col min="5634" max="5634" width="0.8984375" style="55" customWidth="1"/>
    <col min="5635" max="5635" width="7.09765625" style="55" customWidth="1"/>
    <col min="5636" max="5639" width="3.19921875" style="55" customWidth="1"/>
    <col min="5640" max="5640" width="3.3984375" style="55" customWidth="1"/>
    <col min="5641" max="5643" width="3.19921875" style="55" customWidth="1"/>
    <col min="5644" max="5644" width="4.59765625" style="55" customWidth="1"/>
    <col min="5645" max="5645" width="4.3984375" style="55" customWidth="1"/>
    <col min="5646" max="5652" width="4.59765625" style="55" customWidth="1"/>
    <col min="5653" max="5653" width="3.09765625" style="55" customWidth="1"/>
    <col min="5654" max="5888" width="7.69921875" style="55"/>
    <col min="5889" max="5889" width="2.09765625" style="55" customWidth="1"/>
    <col min="5890" max="5890" width="0.8984375" style="55" customWidth="1"/>
    <col min="5891" max="5891" width="7.09765625" style="55" customWidth="1"/>
    <col min="5892" max="5895" width="3.19921875" style="55" customWidth="1"/>
    <col min="5896" max="5896" width="3.3984375" style="55" customWidth="1"/>
    <col min="5897" max="5899" width="3.19921875" style="55" customWidth="1"/>
    <col min="5900" max="5900" width="4.59765625" style="55" customWidth="1"/>
    <col min="5901" max="5901" width="4.3984375" style="55" customWidth="1"/>
    <col min="5902" max="5908" width="4.59765625" style="55" customWidth="1"/>
    <col min="5909" max="5909" width="3.09765625" style="55" customWidth="1"/>
    <col min="5910" max="6144" width="7.69921875" style="55"/>
    <col min="6145" max="6145" width="2.09765625" style="55" customWidth="1"/>
    <col min="6146" max="6146" width="0.8984375" style="55" customWidth="1"/>
    <col min="6147" max="6147" width="7.09765625" style="55" customWidth="1"/>
    <col min="6148" max="6151" width="3.19921875" style="55" customWidth="1"/>
    <col min="6152" max="6152" width="3.3984375" style="55" customWidth="1"/>
    <col min="6153" max="6155" width="3.19921875" style="55" customWidth="1"/>
    <col min="6156" max="6156" width="4.59765625" style="55" customWidth="1"/>
    <col min="6157" max="6157" width="4.3984375" style="55" customWidth="1"/>
    <col min="6158" max="6164" width="4.59765625" style="55" customWidth="1"/>
    <col min="6165" max="6165" width="3.09765625" style="55" customWidth="1"/>
    <col min="6166" max="6400" width="7.69921875" style="55"/>
    <col min="6401" max="6401" width="2.09765625" style="55" customWidth="1"/>
    <col min="6402" max="6402" width="0.8984375" style="55" customWidth="1"/>
    <col min="6403" max="6403" width="7.09765625" style="55" customWidth="1"/>
    <col min="6404" max="6407" width="3.19921875" style="55" customWidth="1"/>
    <col min="6408" max="6408" width="3.3984375" style="55" customWidth="1"/>
    <col min="6409" max="6411" width="3.19921875" style="55" customWidth="1"/>
    <col min="6412" max="6412" width="4.59765625" style="55" customWidth="1"/>
    <col min="6413" max="6413" width="4.3984375" style="55" customWidth="1"/>
    <col min="6414" max="6420" width="4.59765625" style="55" customWidth="1"/>
    <col min="6421" max="6421" width="3.09765625" style="55" customWidth="1"/>
    <col min="6422" max="6656" width="7.69921875" style="55"/>
    <col min="6657" max="6657" width="2.09765625" style="55" customWidth="1"/>
    <col min="6658" max="6658" width="0.8984375" style="55" customWidth="1"/>
    <col min="6659" max="6659" width="7.09765625" style="55" customWidth="1"/>
    <col min="6660" max="6663" width="3.19921875" style="55" customWidth="1"/>
    <col min="6664" max="6664" width="3.3984375" style="55" customWidth="1"/>
    <col min="6665" max="6667" width="3.19921875" style="55" customWidth="1"/>
    <col min="6668" max="6668" width="4.59765625" style="55" customWidth="1"/>
    <col min="6669" max="6669" width="4.3984375" style="55" customWidth="1"/>
    <col min="6670" max="6676" width="4.59765625" style="55" customWidth="1"/>
    <col min="6677" max="6677" width="3.09765625" style="55" customWidth="1"/>
    <col min="6678" max="6912" width="7.69921875" style="55"/>
    <col min="6913" max="6913" width="2.09765625" style="55" customWidth="1"/>
    <col min="6914" max="6914" width="0.8984375" style="55" customWidth="1"/>
    <col min="6915" max="6915" width="7.09765625" style="55" customWidth="1"/>
    <col min="6916" max="6919" width="3.19921875" style="55" customWidth="1"/>
    <col min="6920" max="6920" width="3.3984375" style="55" customWidth="1"/>
    <col min="6921" max="6923" width="3.19921875" style="55" customWidth="1"/>
    <col min="6924" max="6924" width="4.59765625" style="55" customWidth="1"/>
    <col min="6925" max="6925" width="4.3984375" style="55" customWidth="1"/>
    <col min="6926" max="6932" width="4.59765625" style="55" customWidth="1"/>
    <col min="6933" max="6933" width="3.09765625" style="55" customWidth="1"/>
    <col min="6934" max="7168" width="7.69921875" style="55"/>
    <col min="7169" max="7169" width="2.09765625" style="55" customWidth="1"/>
    <col min="7170" max="7170" width="0.8984375" style="55" customWidth="1"/>
    <col min="7171" max="7171" width="7.09765625" style="55" customWidth="1"/>
    <col min="7172" max="7175" width="3.19921875" style="55" customWidth="1"/>
    <col min="7176" max="7176" width="3.3984375" style="55" customWidth="1"/>
    <col min="7177" max="7179" width="3.19921875" style="55" customWidth="1"/>
    <col min="7180" max="7180" width="4.59765625" style="55" customWidth="1"/>
    <col min="7181" max="7181" width="4.3984375" style="55" customWidth="1"/>
    <col min="7182" max="7188" width="4.59765625" style="55" customWidth="1"/>
    <col min="7189" max="7189" width="3.09765625" style="55" customWidth="1"/>
    <col min="7190" max="7424" width="7.69921875" style="55"/>
    <col min="7425" max="7425" width="2.09765625" style="55" customWidth="1"/>
    <col min="7426" max="7426" width="0.8984375" style="55" customWidth="1"/>
    <col min="7427" max="7427" width="7.09765625" style="55" customWidth="1"/>
    <col min="7428" max="7431" width="3.19921875" style="55" customWidth="1"/>
    <col min="7432" max="7432" width="3.3984375" style="55" customWidth="1"/>
    <col min="7433" max="7435" width="3.19921875" style="55" customWidth="1"/>
    <col min="7436" max="7436" width="4.59765625" style="55" customWidth="1"/>
    <col min="7437" max="7437" width="4.3984375" style="55" customWidth="1"/>
    <col min="7438" max="7444" width="4.59765625" style="55" customWidth="1"/>
    <col min="7445" max="7445" width="3.09765625" style="55" customWidth="1"/>
    <col min="7446" max="7680" width="7.69921875" style="55"/>
    <col min="7681" max="7681" width="2.09765625" style="55" customWidth="1"/>
    <col min="7682" max="7682" width="0.8984375" style="55" customWidth="1"/>
    <col min="7683" max="7683" width="7.09765625" style="55" customWidth="1"/>
    <col min="7684" max="7687" width="3.19921875" style="55" customWidth="1"/>
    <col min="7688" max="7688" width="3.3984375" style="55" customWidth="1"/>
    <col min="7689" max="7691" width="3.19921875" style="55" customWidth="1"/>
    <col min="7692" max="7692" width="4.59765625" style="55" customWidth="1"/>
    <col min="7693" max="7693" width="4.3984375" style="55" customWidth="1"/>
    <col min="7694" max="7700" width="4.59765625" style="55" customWidth="1"/>
    <col min="7701" max="7701" width="3.09765625" style="55" customWidth="1"/>
    <col min="7702" max="7936" width="7.69921875" style="55"/>
    <col min="7937" max="7937" width="2.09765625" style="55" customWidth="1"/>
    <col min="7938" max="7938" width="0.8984375" style="55" customWidth="1"/>
    <col min="7939" max="7939" width="7.09765625" style="55" customWidth="1"/>
    <col min="7940" max="7943" width="3.19921875" style="55" customWidth="1"/>
    <col min="7944" max="7944" width="3.3984375" style="55" customWidth="1"/>
    <col min="7945" max="7947" width="3.19921875" style="55" customWidth="1"/>
    <col min="7948" max="7948" width="4.59765625" style="55" customWidth="1"/>
    <col min="7949" max="7949" width="4.3984375" style="55" customWidth="1"/>
    <col min="7950" max="7956" width="4.59765625" style="55" customWidth="1"/>
    <col min="7957" max="7957" width="3.09765625" style="55" customWidth="1"/>
    <col min="7958" max="8192" width="7.69921875" style="55"/>
    <col min="8193" max="8193" width="2.09765625" style="55" customWidth="1"/>
    <col min="8194" max="8194" width="0.8984375" style="55" customWidth="1"/>
    <col min="8195" max="8195" width="7.09765625" style="55" customWidth="1"/>
    <col min="8196" max="8199" width="3.19921875" style="55" customWidth="1"/>
    <col min="8200" max="8200" width="3.3984375" style="55" customWidth="1"/>
    <col min="8201" max="8203" width="3.19921875" style="55" customWidth="1"/>
    <col min="8204" max="8204" width="4.59765625" style="55" customWidth="1"/>
    <col min="8205" max="8205" width="4.3984375" style="55" customWidth="1"/>
    <col min="8206" max="8212" width="4.59765625" style="55" customWidth="1"/>
    <col min="8213" max="8213" width="3.09765625" style="55" customWidth="1"/>
    <col min="8214" max="8448" width="7.69921875" style="55"/>
    <col min="8449" max="8449" width="2.09765625" style="55" customWidth="1"/>
    <col min="8450" max="8450" width="0.8984375" style="55" customWidth="1"/>
    <col min="8451" max="8451" width="7.09765625" style="55" customWidth="1"/>
    <col min="8452" max="8455" width="3.19921875" style="55" customWidth="1"/>
    <col min="8456" max="8456" width="3.3984375" style="55" customWidth="1"/>
    <col min="8457" max="8459" width="3.19921875" style="55" customWidth="1"/>
    <col min="8460" max="8460" width="4.59765625" style="55" customWidth="1"/>
    <col min="8461" max="8461" width="4.3984375" style="55" customWidth="1"/>
    <col min="8462" max="8468" width="4.59765625" style="55" customWidth="1"/>
    <col min="8469" max="8469" width="3.09765625" style="55" customWidth="1"/>
    <col min="8470" max="8704" width="7.69921875" style="55"/>
    <col min="8705" max="8705" width="2.09765625" style="55" customWidth="1"/>
    <col min="8706" max="8706" width="0.8984375" style="55" customWidth="1"/>
    <col min="8707" max="8707" width="7.09765625" style="55" customWidth="1"/>
    <col min="8708" max="8711" width="3.19921875" style="55" customWidth="1"/>
    <col min="8712" max="8712" width="3.3984375" style="55" customWidth="1"/>
    <col min="8713" max="8715" width="3.19921875" style="55" customWidth="1"/>
    <col min="8716" max="8716" width="4.59765625" style="55" customWidth="1"/>
    <col min="8717" max="8717" width="4.3984375" style="55" customWidth="1"/>
    <col min="8718" max="8724" width="4.59765625" style="55" customWidth="1"/>
    <col min="8725" max="8725" width="3.09765625" style="55" customWidth="1"/>
    <col min="8726" max="8960" width="7.69921875" style="55"/>
    <col min="8961" max="8961" width="2.09765625" style="55" customWidth="1"/>
    <col min="8962" max="8962" width="0.8984375" style="55" customWidth="1"/>
    <col min="8963" max="8963" width="7.09765625" style="55" customWidth="1"/>
    <col min="8964" max="8967" width="3.19921875" style="55" customWidth="1"/>
    <col min="8968" max="8968" width="3.3984375" style="55" customWidth="1"/>
    <col min="8969" max="8971" width="3.19921875" style="55" customWidth="1"/>
    <col min="8972" max="8972" width="4.59765625" style="55" customWidth="1"/>
    <col min="8973" max="8973" width="4.3984375" style="55" customWidth="1"/>
    <col min="8974" max="8980" width="4.59765625" style="55" customWidth="1"/>
    <col min="8981" max="8981" width="3.09765625" style="55" customWidth="1"/>
    <col min="8982" max="9216" width="7.69921875" style="55"/>
    <col min="9217" max="9217" width="2.09765625" style="55" customWidth="1"/>
    <col min="9218" max="9218" width="0.8984375" style="55" customWidth="1"/>
    <col min="9219" max="9219" width="7.09765625" style="55" customWidth="1"/>
    <col min="9220" max="9223" width="3.19921875" style="55" customWidth="1"/>
    <col min="9224" max="9224" width="3.3984375" style="55" customWidth="1"/>
    <col min="9225" max="9227" width="3.19921875" style="55" customWidth="1"/>
    <col min="9228" max="9228" width="4.59765625" style="55" customWidth="1"/>
    <col min="9229" max="9229" width="4.3984375" style="55" customWidth="1"/>
    <col min="9230" max="9236" width="4.59765625" style="55" customWidth="1"/>
    <col min="9237" max="9237" width="3.09765625" style="55" customWidth="1"/>
    <col min="9238" max="9472" width="7.69921875" style="55"/>
    <col min="9473" max="9473" width="2.09765625" style="55" customWidth="1"/>
    <col min="9474" max="9474" width="0.8984375" style="55" customWidth="1"/>
    <col min="9475" max="9475" width="7.09765625" style="55" customWidth="1"/>
    <col min="9476" max="9479" width="3.19921875" style="55" customWidth="1"/>
    <col min="9480" max="9480" width="3.3984375" style="55" customWidth="1"/>
    <col min="9481" max="9483" width="3.19921875" style="55" customWidth="1"/>
    <col min="9484" max="9484" width="4.59765625" style="55" customWidth="1"/>
    <col min="9485" max="9485" width="4.3984375" style="55" customWidth="1"/>
    <col min="9486" max="9492" width="4.59765625" style="55" customWidth="1"/>
    <col min="9493" max="9493" width="3.09765625" style="55" customWidth="1"/>
    <col min="9494" max="9728" width="7.69921875" style="55"/>
    <col min="9729" max="9729" width="2.09765625" style="55" customWidth="1"/>
    <col min="9730" max="9730" width="0.8984375" style="55" customWidth="1"/>
    <col min="9731" max="9731" width="7.09765625" style="55" customWidth="1"/>
    <col min="9732" max="9735" width="3.19921875" style="55" customWidth="1"/>
    <col min="9736" max="9736" width="3.3984375" style="55" customWidth="1"/>
    <col min="9737" max="9739" width="3.19921875" style="55" customWidth="1"/>
    <col min="9740" max="9740" width="4.59765625" style="55" customWidth="1"/>
    <col min="9741" max="9741" width="4.3984375" style="55" customWidth="1"/>
    <col min="9742" max="9748" width="4.59765625" style="55" customWidth="1"/>
    <col min="9749" max="9749" width="3.09765625" style="55" customWidth="1"/>
    <col min="9750" max="9984" width="7.69921875" style="55"/>
    <col min="9985" max="9985" width="2.09765625" style="55" customWidth="1"/>
    <col min="9986" max="9986" width="0.8984375" style="55" customWidth="1"/>
    <col min="9987" max="9987" width="7.09765625" style="55" customWidth="1"/>
    <col min="9988" max="9991" width="3.19921875" style="55" customWidth="1"/>
    <col min="9992" max="9992" width="3.3984375" style="55" customWidth="1"/>
    <col min="9993" max="9995" width="3.19921875" style="55" customWidth="1"/>
    <col min="9996" max="9996" width="4.59765625" style="55" customWidth="1"/>
    <col min="9997" max="9997" width="4.3984375" style="55" customWidth="1"/>
    <col min="9998" max="10004" width="4.59765625" style="55" customWidth="1"/>
    <col min="10005" max="10005" width="3.09765625" style="55" customWidth="1"/>
    <col min="10006" max="10240" width="7.69921875" style="55"/>
    <col min="10241" max="10241" width="2.09765625" style="55" customWidth="1"/>
    <col min="10242" max="10242" width="0.8984375" style="55" customWidth="1"/>
    <col min="10243" max="10243" width="7.09765625" style="55" customWidth="1"/>
    <col min="10244" max="10247" width="3.19921875" style="55" customWidth="1"/>
    <col min="10248" max="10248" width="3.3984375" style="55" customWidth="1"/>
    <col min="10249" max="10251" width="3.19921875" style="55" customWidth="1"/>
    <col min="10252" max="10252" width="4.59765625" style="55" customWidth="1"/>
    <col min="10253" max="10253" width="4.3984375" style="55" customWidth="1"/>
    <col min="10254" max="10260" width="4.59765625" style="55" customWidth="1"/>
    <col min="10261" max="10261" width="3.09765625" style="55" customWidth="1"/>
    <col min="10262" max="10496" width="7.69921875" style="55"/>
    <col min="10497" max="10497" width="2.09765625" style="55" customWidth="1"/>
    <col min="10498" max="10498" width="0.8984375" style="55" customWidth="1"/>
    <col min="10499" max="10499" width="7.09765625" style="55" customWidth="1"/>
    <col min="10500" max="10503" width="3.19921875" style="55" customWidth="1"/>
    <col min="10504" max="10504" width="3.3984375" style="55" customWidth="1"/>
    <col min="10505" max="10507" width="3.19921875" style="55" customWidth="1"/>
    <col min="10508" max="10508" width="4.59765625" style="55" customWidth="1"/>
    <col min="10509" max="10509" width="4.3984375" style="55" customWidth="1"/>
    <col min="10510" max="10516" width="4.59765625" style="55" customWidth="1"/>
    <col min="10517" max="10517" width="3.09765625" style="55" customWidth="1"/>
    <col min="10518" max="10752" width="7.69921875" style="55"/>
    <col min="10753" max="10753" width="2.09765625" style="55" customWidth="1"/>
    <col min="10754" max="10754" width="0.8984375" style="55" customWidth="1"/>
    <col min="10755" max="10755" width="7.09765625" style="55" customWidth="1"/>
    <col min="10756" max="10759" width="3.19921875" style="55" customWidth="1"/>
    <col min="10760" max="10760" width="3.3984375" style="55" customWidth="1"/>
    <col min="10761" max="10763" width="3.19921875" style="55" customWidth="1"/>
    <col min="10764" max="10764" width="4.59765625" style="55" customWidth="1"/>
    <col min="10765" max="10765" width="4.3984375" style="55" customWidth="1"/>
    <col min="10766" max="10772" width="4.59765625" style="55" customWidth="1"/>
    <col min="10773" max="10773" width="3.09765625" style="55" customWidth="1"/>
    <col min="10774" max="11008" width="7.69921875" style="55"/>
    <col min="11009" max="11009" width="2.09765625" style="55" customWidth="1"/>
    <col min="11010" max="11010" width="0.8984375" style="55" customWidth="1"/>
    <col min="11011" max="11011" width="7.09765625" style="55" customWidth="1"/>
    <col min="11012" max="11015" width="3.19921875" style="55" customWidth="1"/>
    <col min="11016" max="11016" width="3.3984375" style="55" customWidth="1"/>
    <col min="11017" max="11019" width="3.19921875" style="55" customWidth="1"/>
    <col min="11020" max="11020" width="4.59765625" style="55" customWidth="1"/>
    <col min="11021" max="11021" width="4.3984375" style="55" customWidth="1"/>
    <col min="11022" max="11028" width="4.59765625" style="55" customWidth="1"/>
    <col min="11029" max="11029" width="3.09765625" style="55" customWidth="1"/>
    <col min="11030" max="11264" width="7.69921875" style="55"/>
    <col min="11265" max="11265" width="2.09765625" style="55" customWidth="1"/>
    <col min="11266" max="11266" width="0.8984375" style="55" customWidth="1"/>
    <col min="11267" max="11267" width="7.09765625" style="55" customWidth="1"/>
    <col min="11268" max="11271" width="3.19921875" style="55" customWidth="1"/>
    <col min="11272" max="11272" width="3.3984375" style="55" customWidth="1"/>
    <col min="11273" max="11275" width="3.19921875" style="55" customWidth="1"/>
    <col min="11276" max="11276" width="4.59765625" style="55" customWidth="1"/>
    <col min="11277" max="11277" width="4.3984375" style="55" customWidth="1"/>
    <col min="11278" max="11284" width="4.59765625" style="55" customWidth="1"/>
    <col min="11285" max="11285" width="3.09765625" style="55" customWidth="1"/>
    <col min="11286" max="11520" width="7.69921875" style="55"/>
    <col min="11521" max="11521" width="2.09765625" style="55" customWidth="1"/>
    <col min="11522" max="11522" width="0.8984375" style="55" customWidth="1"/>
    <col min="11523" max="11523" width="7.09765625" style="55" customWidth="1"/>
    <col min="11524" max="11527" width="3.19921875" style="55" customWidth="1"/>
    <col min="11528" max="11528" width="3.3984375" style="55" customWidth="1"/>
    <col min="11529" max="11531" width="3.19921875" style="55" customWidth="1"/>
    <col min="11532" max="11532" width="4.59765625" style="55" customWidth="1"/>
    <col min="11533" max="11533" width="4.3984375" style="55" customWidth="1"/>
    <col min="11534" max="11540" width="4.59765625" style="55" customWidth="1"/>
    <col min="11541" max="11541" width="3.09765625" style="55" customWidth="1"/>
    <col min="11542" max="11776" width="7.69921875" style="55"/>
    <col min="11777" max="11777" width="2.09765625" style="55" customWidth="1"/>
    <col min="11778" max="11778" width="0.8984375" style="55" customWidth="1"/>
    <col min="11779" max="11779" width="7.09765625" style="55" customWidth="1"/>
    <col min="11780" max="11783" width="3.19921875" style="55" customWidth="1"/>
    <col min="11784" max="11784" width="3.3984375" style="55" customWidth="1"/>
    <col min="11785" max="11787" width="3.19921875" style="55" customWidth="1"/>
    <col min="11788" max="11788" width="4.59765625" style="55" customWidth="1"/>
    <col min="11789" max="11789" width="4.3984375" style="55" customWidth="1"/>
    <col min="11790" max="11796" width="4.59765625" style="55" customWidth="1"/>
    <col min="11797" max="11797" width="3.09765625" style="55" customWidth="1"/>
    <col min="11798" max="12032" width="7.69921875" style="55"/>
    <col min="12033" max="12033" width="2.09765625" style="55" customWidth="1"/>
    <col min="12034" max="12034" width="0.8984375" style="55" customWidth="1"/>
    <col min="12035" max="12035" width="7.09765625" style="55" customWidth="1"/>
    <col min="12036" max="12039" width="3.19921875" style="55" customWidth="1"/>
    <col min="12040" max="12040" width="3.3984375" style="55" customWidth="1"/>
    <col min="12041" max="12043" width="3.19921875" style="55" customWidth="1"/>
    <col min="12044" max="12044" width="4.59765625" style="55" customWidth="1"/>
    <col min="12045" max="12045" width="4.3984375" style="55" customWidth="1"/>
    <col min="12046" max="12052" width="4.59765625" style="55" customWidth="1"/>
    <col min="12053" max="12053" width="3.09765625" style="55" customWidth="1"/>
    <col min="12054" max="12288" width="7.69921875" style="55"/>
    <col min="12289" max="12289" width="2.09765625" style="55" customWidth="1"/>
    <col min="12290" max="12290" width="0.8984375" style="55" customWidth="1"/>
    <col min="12291" max="12291" width="7.09765625" style="55" customWidth="1"/>
    <col min="12292" max="12295" width="3.19921875" style="55" customWidth="1"/>
    <col min="12296" max="12296" width="3.3984375" style="55" customWidth="1"/>
    <col min="12297" max="12299" width="3.19921875" style="55" customWidth="1"/>
    <col min="12300" max="12300" width="4.59765625" style="55" customWidth="1"/>
    <col min="12301" max="12301" width="4.3984375" style="55" customWidth="1"/>
    <col min="12302" max="12308" width="4.59765625" style="55" customWidth="1"/>
    <col min="12309" max="12309" width="3.09765625" style="55" customWidth="1"/>
    <col min="12310" max="12544" width="7.69921875" style="55"/>
    <col min="12545" max="12545" width="2.09765625" style="55" customWidth="1"/>
    <col min="12546" max="12546" width="0.8984375" style="55" customWidth="1"/>
    <col min="12547" max="12547" width="7.09765625" style="55" customWidth="1"/>
    <col min="12548" max="12551" width="3.19921875" style="55" customWidth="1"/>
    <col min="12552" max="12552" width="3.3984375" style="55" customWidth="1"/>
    <col min="12553" max="12555" width="3.19921875" style="55" customWidth="1"/>
    <col min="12556" max="12556" width="4.59765625" style="55" customWidth="1"/>
    <col min="12557" max="12557" width="4.3984375" style="55" customWidth="1"/>
    <col min="12558" max="12564" width="4.59765625" style="55" customWidth="1"/>
    <col min="12565" max="12565" width="3.09765625" style="55" customWidth="1"/>
    <col min="12566" max="12800" width="7.69921875" style="55"/>
    <col min="12801" max="12801" width="2.09765625" style="55" customWidth="1"/>
    <col min="12802" max="12802" width="0.8984375" style="55" customWidth="1"/>
    <col min="12803" max="12803" width="7.09765625" style="55" customWidth="1"/>
    <col min="12804" max="12807" width="3.19921875" style="55" customWidth="1"/>
    <col min="12808" max="12808" width="3.3984375" style="55" customWidth="1"/>
    <col min="12809" max="12811" width="3.19921875" style="55" customWidth="1"/>
    <col min="12812" max="12812" width="4.59765625" style="55" customWidth="1"/>
    <col min="12813" max="12813" width="4.3984375" style="55" customWidth="1"/>
    <col min="12814" max="12820" width="4.59765625" style="55" customWidth="1"/>
    <col min="12821" max="12821" width="3.09765625" style="55" customWidth="1"/>
    <col min="12822" max="13056" width="7.69921875" style="55"/>
    <col min="13057" max="13057" width="2.09765625" style="55" customWidth="1"/>
    <col min="13058" max="13058" width="0.8984375" style="55" customWidth="1"/>
    <col min="13059" max="13059" width="7.09765625" style="55" customWidth="1"/>
    <col min="13060" max="13063" width="3.19921875" style="55" customWidth="1"/>
    <col min="13064" max="13064" width="3.3984375" style="55" customWidth="1"/>
    <col min="13065" max="13067" width="3.19921875" style="55" customWidth="1"/>
    <col min="13068" max="13068" width="4.59765625" style="55" customWidth="1"/>
    <col min="13069" max="13069" width="4.3984375" style="55" customWidth="1"/>
    <col min="13070" max="13076" width="4.59765625" style="55" customWidth="1"/>
    <col min="13077" max="13077" width="3.09765625" style="55" customWidth="1"/>
    <col min="13078" max="13312" width="7.69921875" style="55"/>
    <col min="13313" max="13313" width="2.09765625" style="55" customWidth="1"/>
    <col min="13314" max="13314" width="0.8984375" style="55" customWidth="1"/>
    <col min="13315" max="13315" width="7.09765625" style="55" customWidth="1"/>
    <col min="13316" max="13319" width="3.19921875" style="55" customWidth="1"/>
    <col min="13320" max="13320" width="3.3984375" style="55" customWidth="1"/>
    <col min="13321" max="13323" width="3.19921875" style="55" customWidth="1"/>
    <col min="13324" max="13324" width="4.59765625" style="55" customWidth="1"/>
    <col min="13325" max="13325" width="4.3984375" style="55" customWidth="1"/>
    <col min="13326" max="13332" width="4.59765625" style="55" customWidth="1"/>
    <col min="13333" max="13333" width="3.09765625" style="55" customWidth="1"/>
    <col min="13334" max="13568" width="7.69921875" style="55"/>
    <col min="13569" max="13569" width="2.09765625" style="55" customWidth="1"/>
    <col min="13570" max="13570" width="0.8984375" style="55" customWidth="1"/>
    <col min="13571" max="13571" width="7.09765625" style="55" customWidth="1"/>
    <col min="13572" max="13575" width="3.19921875" style="55" customWidth="1"/>
    <col min="13576" max="13576" width="3.3984375" style="55" customWidth="1"/>
    <col min="13577" max="13579" width="3.19921875" style="55" customWidth="1"/>
    <col min="13580" max="13580" width="4.59765625" style="55" customWidth="1"/>
    <col min="13581" max="13581" width="4.3984375" style="55" customWidth="1"/>
    <col min="13582" max="13588" width="4.59765625" style="55" customWidth="1"/>
    <col min="13589" max="13589" width="3.09765625" style="55" customWidth="1"/>
    <col min="13590" max="13824" width="7.69921875" style="55"/>
    <col min="13825" max="13825" width="2.09765625" style="55" customWidth="1"/>
    <col min="13826" max="13826" width="0.8984375" style="55" customWidth="1"/>
    <col min="13827" max="13827" width="7.09765625" style="55" customWidth="1"/>
    <col min="13828" max="13831" width="3.19921875" style="55" customWidth="1"/>
    <col min="13832" max="13832" width="3.3984375" style="55" customWidth="1"/>
    <col min="13833" max="13835" width="3.19921875" style="55" customWidth="1"/>
    <col min="13836" max="13836" width="4.59765625" style="55" customWidth="1"/>
    <col min="13837" max="13837" width="4.3984375" style="55" customWidth="1"/>
    <col min="13838" max="13844" width="4.59765625" style="55" customWidth="1"/>
    <col min="13845" max="13845" width="3.09765625" style="55" customWidth="1"/>
    <col min="13846" max="14080" width="7.69921875" style="55"/>
    <col min="14081" max="14081" width="2.09765625" style="55" customWidth="1"/>
    <col min="14082" max="14082" width="0.8984375" style="55" customWidth="1"/>
    <col min="14083" max="14083" width="7.09765625" style="55" customWidth="1"/>
    <col min="14084" max="14087" width="3.19921875" style="55" customWidth="1"/>
    <col min="14088" max="14088" width="3.3984375" style="55" customWidth="1"/>
    <col min="14089" max="14091" width="3.19921875" style="55" customWidth="1"/>
    <col min="14092" max="14092" width="4.59765625" style="55" customWidth="1"/>
    <col min="14093" max="14093" width="4.3984375" style="55" customWidth="1"/>
    <col min="14094" max="14100" width="4.59765625" style="55" customWidth="1"/>
    <col min="14101" max="14101" width="3.09765625" style="55" customWidth="1"/>
    <col min="14102" max="14336" width="7.69921875" style="55"/>
    <col min="14337" max="14337" width="2.09765625" style="55" customWidth="1"/>
    <col min="14338" max="14338" width="0.8984375" style="55" customWidth="1"/>
    <col min="14339" max="14339" width="7.09765625" style="55" customWidth="1"/>
    <col min="14340" max="14343" width="3.19921875" style="55" customWidth="1"/>
    <col min="14344" max="14344" width="3.3984375" style="55" customWidth="1"/>
    <col min="14345" max="14347" width="3.19921875" style="55" customWidth="1"/>
    <col min="14348" max="14348" width="4.59765625" style="55" customWidth="1"/>
    <col min="14349" max="14349" width="4.3984375" style="55" customWidth="1"/>
    <col min="14350" max="14356" width="4.59765625" style="55" customWidth="1"/>
    <col min="14357" max="14357" width="3.09765625" style="55" customWidth="1"/>
    <col min="14358" max="14592" width="7.69921875" style="55"/>
    <col min="14593" max="14593" width="2.09765625" style="55" customWidth="1"/>
    <col min="14594" max="14594" width="0.8984375" style="55" customWidth="1"/>
    <col min="14595" max="14595" width="7.09765625" style="55" customWidth="1"/>
    <col min="14596" max="14599" width="3.19921875" style="55" customWidth="1"/>
    <col min="14600" max="14600" width="3.3984375" style="55" customWidth="1"/>
    <col min="14601" max="14603" width="3.19921875" style="55" customWidth="1"/>
    <col min="14604" max="14604" width="4.59765625" style="55" customWidth="1"/>
    <col min="14605" max="14605" width="4.3984375" style="55" customWidth="1"/>
    <col min="14606" max="14612" width="4.59765625" style="55" customWidth="1"/>
    <col min="14613" max="14613" width="3.09765625" style="55" customWidth="1"/>
    <col min="14614" max="14848" width="7.69921875" style="55"/>
    <col min="14849" max="14849" width="2.09765625" style="55" customWidth="1"/>
    <col min="14850" max="14850" width="0.8984375" style="55" customWidth="1"/>
    <col min="14851" max="14851" width="7.09765625" style="55" customWidth="1"/>
    <col min="14852" max="14855" width="3.19921875" style="55" customWidth="1"/>
    <col min="14856" max="14856" width="3.3984375" style="55" customWidth="1"/>
    <col min="14857" max="14859" width="3.19921875" style="55" customWidth="1"/>
    <col min="14860" max="14860" width="4.59765625" style="55" customWidth="1"/>
    <col min="14861" max="14861" width="4.3984375" style="55" customWidth="1"/>
    <col min="14862" max="14868" width="4.59765625" style="55" customWidth="1"/>
    <col min="14869" max="14869" width="3.09765625" style="55" customWidth="1"/>
    <col min="14870" max="15104" width="7.69921875" style="55"/>
    <col min="15105" max="15105" width="2.09765625" style="55" customWidth="1"/>
    <col min="15106" max="15106" width="0.8984375" style="55" customWidth="1"/>
    <col min="15107" max="15107" width="7.09765625" style="55" customWidth="1"/>
    <col min="15108" max="15111" width="3.19921875" style="55" customWidth="1"/>
    <col min="15112" max="15112" width="3.3984375" style="55" customWidth="1"/>
    <col min="15113" max="15115" width="3.19921875" style="55" customWidth="1"/>
    <col min="15116" max="15116" width="4.59765625" style="55" customWidth="1"/>
    <col min="15117" max="15117" width="4.3984375" style="55" customWidth="1"/>
    <col min="15118" max="15124" width="4.59765625" style="55" customWidth="1"/>
    <col min="15125" max="15125" width="3.09765625" style="55" customWidth="1"/>
    <col min="15126" max="15360" width="7.69921875" style="55"/>
    <col min="15361" max="15361" width="2.09765625" style="55" customWidth="1"/>
    <col min="15362" max="15362" width="0.8984375" style="55" customWidth="1"/>
    <col min="15363" max="15363" width="7.09765625" style="55" customWidth="1"/>
    <col min="15364" max="15367" width="3.19921875" style="55" customWidth="1"/>
    <col min="15368" max="15368" width="3.3984375" style="55" customWidth="1"/>
    <col min="15369" max="15371" width="3.19921875" style="55" customWidth="1"/>
    <col min="15372" max="15372" width="4.59765625" style="55" customWidth="1"/>
    <col min="15373" max="15373" width="4.3984375" style="55" customWidth="1"/>
    <col min="15374" max="15380" width="4.59765625" style="55" customWidth="1"/>
    <col min="15381" max="15381" width="3.09765625" style="55" customWidth="1"/>
    <col min="15382" max="15616" width="7.69921875" style="55"/>
    <col min="15617" max="15617" width="2.09765625" style="55" customWidth="1"/>
    <col min="15618" max="15618" width="0.8984375" style="55" customWidth="1"/>
    <col min="15619" max="15619" width="7.09765625" style="55" customWidth="1"/>
    <col min="15620" max="15623" width="3.19921875" style="55" customWidth="1"/>
    <col min="15624" max="15624" width="3.3984375" style="55" customWidth="1"/>
    <col min="15625" max="15627" width="3.19921875" style="55" customWidth="1"/>
    <col min="15628" max="15628" width="4.59765625" style="55" customWidth="1"/>
    <col min="15629" max="15629" width="4.3984375" style="55" customWidth="1"/>
    <col min="15630" max="15636" width="4.59765625" style="55" customWidth="1"/>
    <col min="15637" max="15637" width="3.09765625" style="55" customWidth="1"/>
    <col min="15638" max="15872" width="7.69921875" style="55"/>
    <col min="15873" max="15873" width="2.09765625" style="55" customWidth="1"/>
    <col min="15874" max="15874" width="0.8984375" style="55" customWidth="1"/>
    <col min="15875" max="15875" width="7.09765625" style="55" customWidth="1"/>
    <col min="15876" max="15879" width="3.19921875" style="55" customWidth="1"/>
    <col min="15880" max="15880" width="3.3984375" style="55" customWidth="1"/>
    <col min="15881" max="15883" width="3.19921875" style="55" customWidth="1"/>
    <col min="15884" max="15884" width="4.59765625" style="55" customWidth="1"/>
    <col min="15885" max="15885" width="4.3984375" style="55" customWidth="1"/>
    <col min="15886" max="15892" width="4.59765625" style="55" customWidth="1"/>
    <col min="15893" max="15893" width="3.09765625" style="55" customWidth="1"/>
    <col min="15894" max="16128" width="7.69921875" style="55"/>
    <col min="16129" max="16129" width="2.09765625" style="55" customWidth="1"/>
    <col min="16130" max="16130" width="0.8984375" style="55" customWidth="1"/>
    <col min="16131" max="16131" width="7.09765625" style="55" customWidth="1"/>
    <col min="16132" max="16135" width="3.19921875" style="55" customWidth="1"/>
    <col min="16136" max="16136" width="3.3984375" style="55" customWidth="1"/>
    <col min="16137" max="16139" width="3.19921875" style="55" customWidth="1"/>
    <col min="16140" max="16140" width="4.59765625" style="55" customWidth="1"/>
    <col min="16141" max="16141" width="4.3984375" style="55" customWidth="1"/>
    <col min="16142" max="16148" width="4.59765625" style="55" customWidth="1"/>
    <col min="16149" max="16149" width="3.09765625" style="55" customWidth="1"/>
    <col min="16150" max="16384" width="7.69921875" style="55"/>
  </cols>
  <sheetData>
    <row r="1" spans="1:26" s="60" customFormat="1" ht="16.5" customHeight="1">
      <c r="B1" s="174"/>
      <c r="V1" s="59" t="s">
        <v>340</v>
      </c>
    </row>
    <row r="2" spans="1:26" s="66" customFormat="1" ht="19.5" customHeight="1">
      <c r="A2" s="67" t="s">
        <v>730</v>
      </c>
      <c r="B2" s="65"/>
      <c r="C2" s="59"/>
      <c r="D2" s="59"/>
      <c r="E2" s="59"/>
      <c r="F2" s="59"/>
      <c r="G2" s="59"/>
      <c r="H2" s="59"/>
      <c r="I2" s="59"/>
      <c r="J2" s="59"/>
      <c r="K2" s="59"/>
      <c r="L2" s="59"/>
      <c r="M2" s="59"/>
      <c r="N2" s="59"/>
      <c r="O2" s="59"/>
      <c r="P2" s="59"/>
      <c r="Q2" s="59"/>
      <c r="R2" s="171" t="str">
        <f>'SP4-1'!L2</f>
        <v>Spreadsheet May 2025</v>
      </c>
      <c r="S2" s="59"/>
      <c r="T2" s="59"/>
      <c r="U2" s="59"/>
      <c r="V2" s="236" t="s">
        <v>341</v>
      </c>
      <c r="W2" s="59"/>
      <c r="X2" s="59"/>
      <c r="Y2" s="59"/>
      <c r="Z2" s="59"/>
    </row>
    <row r="3" spans="1:26" s="60" customFormat="1" ht="11.25" customHeight="1">
      <c r="A3" s="65" t="s">
        <v>746</v>
      </c>
      <c r="B3" s="65"/>
      <c r="C3" s="59"/>
      <c r="D3" s="59"/>
      <c r="E3" s="59"/>
      <c r="F3" s="59"/>
      <c r="G3" s="59"/>
      <c r="H3" s="59"/>
      <c r="I3" s="59"/>
      <c r="J3" s="59"/>
      <c r="K3" s="59"/>
      <c r="L3" s="59"/>
      <c r="M3" s="59"/>
      <c r="N3" s="59"/>
      <c r="O3" s="59"/>
      <c r="P3" s="59"/>
      <c r="Q3" s="59"/>
      <c r="R3" s="59"/>
      <c r="S3" s="59"/>
      <c r="T3" s="59"/>
      <c r="U3" s="59"/>
      <c r="V3" s="59"/>
      <c r="W3" s="59"/>
      <c r="X3" s="59"/>
      <c r="Y3" s="59"/>
      <c r="Z3" s="59"/>
    </row>
    <row r="4" spans="1:26" s="60" customFormat="1" ht="34.5" customHeight="1">
      <c r="A4" s="65"/>
      <c r="B4" s="65"/>
      <c r="C4" s="546" t="s">
        <v>747</v>
      </c>
      <c r="D4" s="546"/>
      <c r="E4" s="546"/>
      <c r="F4" s="546"/>
      <c r="G4" s="546"/>
      <c r="H4" s="546"/>
      <c r="I4" s="546"/>
      <c r="J4" s="546"/>
      <c r="K4" s="546"/>
      <c r="L4" s="546"/>
      <c r="M4" s="546"/>
      <c r="N4" s="546"/>
      <c r="O4" s="546"/>
      <c r="P4" s="546"/>
      <c r="Q4" s="546"/>
      <c r="R4" s="546"/>
      <c r="S4" s="546"/>
      <c r="T4" s="546"/>
      <c r="U4" s="59"/>
      <c r="V4" s="59"/>
      <c r="W4" s="59"/>
      <c r="X4" s="59"/>
      <c r="Y4" s="59"/>
      <c r="Z4" s="59"/>
    </row>
    <row r="5" spans="1:26" s="60" customFormat="1" ht="18" customHeight="1">
      <c r="A5" s="123"/>
      <c r="B5" s="123"/>
      <c r="C5" s="59"/>
      <c r="D5" s="59"/>
      <c r="E5" s="59"/>
      <c r="F5" s="59"/>
      <c r="G5" s="59"/>
      <c r="H5" s="59"/>
      <c r="I5" s="59"/>
      <c r="J5" s="59"/>
      <c r="K5" s="59"/>
      <c r="L5" s="59"/>
      <c r="M5" s="59"/>
      <c r="N5" s="59"/>
      <c r="O5" s="59"/>
      <c r="P5" s="59"/>
      <c r="Q5" s="59"/>
      <c r="R5" s="59"/>
      <c r="S5" s="59"/>
      <c r="T5" s="59"/>
      <c r="U5" s="59"/>
      <c r="V5" s="59"/>
      <c r="W5" s="534"/>
      <c r="X5" s="534"/>
      <c r="Y5" s="534"/>
      <c r="Z5" s="59"/>
    </row>
    <row r="6" spans="1:26" s="59" customFormat="1" ht="3.75" customHeight="1">
      <c r="A6" s="298"/>
      <c r="B6" s="298"/>
      <c r="C6" s="299"/>
      <c r="D6" s="299"/>
      <c r="E6" s="299"/>
      <c r="F6" s="299"/>
      <c r="G6" s="299"/>
      <c r="H6" s="299"/>
      <c r="I6" s="299"/>
      <c r="J6" s="299"/>
      <c r="K6" s="299"/>
      <c r="L6" s="299"/>
      <c r="M6" s="299"/>
      <c r="N6" s="299"/>
      <c r="O6" s="299"/>
      <c r="P6" s="299"/>
      <c r="Q6" s="299"/>
      <c r="R6" s="299"/>
      <c r="S6" s="299"/>
      <c r="T6" s="299"/>
      <c r="U6" s="299"/>
    </row>
    <row r="7" spans="1:26" s="125" customFormat="1" ht="19.5" customHeight="1">
      <c r="A7" s="314">
        <v>1</v>
      </c>
      <c r="B7" s="314"/>
      <c r="C7" s="487" t="s">
        <v>748</v>
      </c>
      <c r="D7" s="487"/>
      <c r="E7" s="487"/>
      <c r="F7" s="487"/>
      <c r="G7" s="487"/>
      <c r="H7" s="487"/>
      <c r="I7" s="299"/>
      <c r="J7" s="299"/>
      <c r="K7" s="299"/>
      <c r="L7" s="299"/>
      <c r="M7" s="299"/>
      <c r="N7" s="299"/>
      <c r="O7" s="299"/>
      <c r="P7" s="299"/>
      <c r="Q7" s="299"/>
      <c r="R7" s="299"/>
      <c r="S7" s="299"/>
      <c r="T7" s="299"/>
      <c r="U7" s="313"/>
      <c r="V7" s="57"/>
      <c r="W7" s="57"/>
      <c r="X7" s="57"/>
      <c r="Y7" s="57"/>
      <c r="Z7" s="57"/>
    </row>
    <row r="8" spans="1:26" s="125" customFormat="1" ht="19.5" customHeight="1">
      <c r="A8" s="314"/>
      <c r="B8" s="314"/>
      <c r="C8" s="309" t="s">
        <v>749</v>
      </c>
      <c r="D8" s="309"/>
      <c r="E8" s="309"/>
      <c r="F8" s="309"/>
      <c r="G8" s="309"/>
      <c r="H8" s="316"/>
      <c r="I8" s="547"/>
      <c r="J8" s="547"/>
      <c r="K8" s="547"/>
      <c r="L8" s="547"/>
      <c r="M8" s="547"/>
      <c r="N8" s="547"/>
      <c r="O8" s="309" t="s">
        <v>211</v>
      </c>
      <c r="P8" s="299"/>
      <c r="Q8" s="309"/>
      <c r="R8" s="309"/>
      <c r="S8" s="299"/>
      <c r="T8" s="309"/>
      <c r="U8" s="313"/>
      <c r="V8" s="57"/>
      <c r="W8" s="57"/>
      <c r="X8" s="57"/>
      <c r="Y8" s="57"/>
      <c r="Z8" s="57"/>
    </row>
    <row r="9" spans="1:26" s="125" customFormat="1" ht="19.5" customHeight="1">
      <c r="A9" s="314"/>
      <c r="B9" s="314"/>
      <c r="C9" s="309" t="s">
        <v>750</v>
      </c>
      <c r="D9" s="309"/>
      <c r="E9" s="309"/>
      <c r="F9" s="309"/>
      <c r="G9" s="309"/>
      <c r="H9" s="316"/>
      <c r="I9" s="548"/>
      <c r="J9" s="548"/>
      <c r="K9" s="548"/>
      <c r="L9" s="548"/>
      <c r="M9" s="548"/>
      <c r="N9" s="548"/>
      <c r="O9" s="309"/>
      <c r="P9" s="309"/>
      <c r="Q9" s="309"/>
      <c r="R9" s="309"/>
      <c r="S9" s="309"/>
      <c r="T9" s="309"/>
      <c r="U9" s="313"/>
      <c r="V9" s="57"/>
      <c r="W9" s="57"/>
      <c r="X9" s="57"/>
      <c r="Y9" s="57"/>
      <c r="Z9" s="57"/>
    </row>
    <row r="10" spans="1:26" s="246" customFormat="1" ht="3.75" customHeight="1">
      <c r="A10" s="300"/>
      <c r="B10" s="300"/>
      <c r="C10" s="303"/>
      <c r="D10" s="303"/>
      <c r="E10" s="303"/>
      <c r="F10" s="303"/>
      <c r="G10" s="303"/>
      <c r="H10" s="320"/>
      <c r="I10" s="302"/>
      <c r="J10" s="302"/>
      <c r="K10" s="302"/>
      <c r="L10" s="301"/>
      <c r="M10" s="303"/>
      <c r="N10" s="303"/>
      <c r="O10" s="303"/>
      <c r="P10" s="303"/>
      <c r="Q10" s="303"/>
      <c r="R10" s="303"/>
      <c r="S10" s="303"/>
      <c r="T10" s="303"/>
      <c r="U10" s="315"/>
      <c r="V10" s="245"/>
      <c r="W10" s="245"/>
      <c r="X10" s="245"/>
      <c r="Y10" s="245"/>
      <c r="Z10" s="245"/>
    </row>
    <row r="11" spans="1:26" s="125" customFormat="1" ht="19.5" customHeight="1">
      <c r="A11" s="314">
        <v>2</v>
      </c>
      <c r="B11" s="314"/>
      <c r="C11" s="529" t="s">
        <v>751</v>
      </c>
      <c r="D11" s="529"/>
      <c r="E11" s="529"/>
      <c r="F11" s="529"/>
      <c r="G11" s="529"/>
      <c r="H11" s="529"/>
      <c r="I11" s="529"/>
      <c r="J11" s="529"/>
      <c r="K11" s="298"/>
      <c r="L11" s="298"/>
      <c r="M11" s="309"/>
      <c r="N11" s="309"/>
      <c r="O11" s="309"/>
      <c r="P11" s="309"/>
      <c r="Q11" s="309"/>
      <c r="R11" s="309"/>
      <c r="S11" s="309"/>
      <c r="T11" s="309"/>
      <c r="U11" s="313"/>
      <c r="V11" s="57"/>
      <c r="W11" s="57"/>
      <c r="X11" s="57"/>
      <c r="Y11" s="57"/>
      <c r="Z11" s="57"/>
    </row>
    <row r="12" spans="1:26" s="125" customFormat="1" ht="19.5" customHeight="1">
      <c r="A12" s="314"/>
      <c r="B12" s="314"/>
      <c r="C12" s="309" t="s">
        <v>752</v>
      </c>
      <c r="D12" s="543">
        <f>I8</f>
        <v>0</v>
      </c>
      <c r="E12" s="543"/>
      <c r="F12" s="543"/>
      <c r="G12" s="309" t="s">
        <v>753</v>
      </c>
      <c r="H12" s="316"/>
      <c r="I12" s="298"/>
      <c r="J12" s="543">
        <f>I9</f>
        <v>0</v>
      </c>
      <c r="K12" s="543"/>
      <c r="L12" s="543"/>
      <c r="M12" s="309"/>
      <c r="N12" s="313" t="s">
        <v>754</v>
      </c>
      <c r="O12" s="545"/>
      <c r="P12" s="545"/>
      <c r="Q12" s="313" t="s">
        <v>755</v>
      </c>
      <c r="R12" s="535">
        <f>D12*J12*O12</f>
        <v>0</v>
      </c>
      <c r="S12" s="535"/>
      <c r="T12" s="309" t="s">
        <v>756</v>
      </c>
      <c r="U12" s="314" t="s">
        <v>376</v>
      </c>
      <c r="V12" s="57"/>
      <c r="W12" s="57"/>
      <c r="X12" s="57"/>
      <c r="Y12" s="57"/>
      <c r="Z12" s="57"/>
    </row>
    <row r="13" spans="1:26" s="246" customFormat="1" ht="3.75" customHeight="1">
      <c r="A13" s="300"/>
      <c r="B13" s="300"/>
      <c r="C13" s="303"/>
      <c r="D13" s="302"/>
      <c r="E13" s="302"/>
      <c r="F13" s="302"/>
      <c r="G13" s="303"/>
      <c r="H13" s="320"/>
      <c r="I13" s="302"/>
      <c r="J13" s="302"/>
      <c r="K13" s="302"/>
      <c r="L13" s="302"/>
      <c r="M13" s="303"/>
      <c r="N13" s="303"/>
      <c r="O13" s="302"/>
      <c r="P13" s="302"/>
      <c r="Q13" s="315"/>
      <c r="R13" s="318"/>
      <c r="S13" s="318"/>
      <c r="T13" s="303"/>
      <c r="U13" s="300"/>
      <c r="V13" s="245"/>
      <c r="W13" s="245"/>
      <c r="X13" s="245"/>
      <c r="Y13" s="245"/>
      <c r="Z13" s="245"/>
    </row>
    <row r="14" spans="1:26" s="125" customFormat="1" ht="19.5" customHeight="1">
      <c r="A14" s="314">
        <v>3</v>
      </c>
      <c r="B14" s="314"/>
      <c r="C14" s="529" t="s">
        <v>757</v>
      </c>
      <c r="D14" s="529"/>
      <c r="E14" s="529"/>
      <c r="F14" s="529"/>
      <c r="G14" s="529"/>
      <c r="H14" s="529"/>
      <c r="I14" s="529"/>
      <c r="J14" s="298"/>
      <c r="K14" s="298"/>
      <c r="L14" s="298"/>
      <c r="M14" s="309"/>
      <c r="N14" s="309"/>
      <c r="O14" s="309"/>
      <c r="P14" s="309"/>
      <c r="Q14" s="309"/>
      <c r="R14" s="309"/>
      <c r="S14" s="309"/>
      <c r="T14" s="309"/>
      <c r="U14" s="298"/>
      <c r="V14" s="57"/>
      <c r="W14" s="57"/>
      <c r="X14" s="57"/>
      <c r="Y14" s="57"/>
      <c r="Z14" s="57"/>
    </row>
    <row r="15" spans="1:26" s="125" customFormat="1" ht="19.5" customHeight="1">
      <c r="A15" s="314"/>
      <c r="B15" s="314"/>
      <c r="C15" s="309"/>
      <c r="D15" s="488"/>
      <c r="E15" s="488"/>
      <c r="F15" s="488"/>
      <c r="G15" s="299"/>
      <c r="H15" s="309" t="s">
        <v>758</v>
      </c>
      <c r="I15" s="298"/>
      <c r="J15" s="545"/>
      <c r="K15" s="545"/>
      <c r="L15" s="545"/>
      <c r="M15" s="309" t="s">
        <v>759</v>
      </c>
      <c r="N15" s="309"/>
      <c r="O15" s="545"/>
      <c r="P15" s="545"/>
      <c r="Q15" s="313" t="s">
        <v>755</v>
      </c>
      <c r="R15" s="535">
        <f>J15*O15</f>
        <v>0</v>
      </c>
      <c r="S15" s="535"/>
      <c r="T15" s="309" t="s">
        <v>756</v>
      </c>
      <c r="U15" s="314" t="s">
        <v>386</v>
      </c>
      <c r="V15" s="57"/>
      <c r="W15" s="57"/>
      <c r="X15" s="57"/>
      <c r="Y15" s="57"/>
      <c r="Z15" s="57"/>
    </row>
    <row r="16" spans="1:26" s="246" customFormat="1" ht="3.75" customHeight="1">
      <c r="A16" s="300"/>
      <c r="B16" s="300"/>
      <c r="C16" s="303"/>
      <c r="D16" s="302"/>
      <c r="E16" s="302"/>
      <c r="F16" s="302"/>
      <c r="G16" s="301"/>
      <c r="H16" s="303"/>
      <c r="I16" s="302"/>
      <c r="J16" s="302"/>
      <c r="K16" s="302"/>
      <c r="L16" s="302"/>
      <c r="M16" s="303"/>
      <c r="N16" s="303"/>
      <c r="O16" s="302"/>
      <c r="P16" s="302"/>
      <c r="Q16" s="315"/>
      <c r="R16" s="318"/>
      <c r="S16" s="318"/>
      <c r="T16" s="303"/>
      <c r="U16" s="300"/>
      <c r="V16" s="245"/>
      <c r="W16" s="245"/>
      <c r="X16" s="245"/>
      <c r="Y16" s="245"/>
      <c r="Z16" s="245"/>
    </row>
    <row r="17" spans="1:26" s="125" customFormat="1" ht="19.5" customHeight="1">
      <c r="A17" s="314">
        <v>4</v>
      </c>
      <c r="B17" s="314"/>
      <c r="C17" s="529" t="s">
        <v>760</v>
      </c>
      <c r="D17" s="529"/>
      <c r="E17" s="529"/>
      <c r="F17" s="529"/>
      <c r="G17" s="529"/>
      <c r="H17" s="529"/>
      <c r="I17" s="529"/>
      <c r="J17" s="529"/>
      <c r="K17" s="529"/>
      <c r="L17" s="529"/>
      <c r="M17" s="309"/>
      <c r="N17" s="309"/>
      <c r="O17" s="309"/>
      <c r="P17" s="313"/>
      <c r="Q17" s="309"/>
      <c r="R17" s="309"/>
      <c r="S17" s="309"/>
      <c r="T17" s="309"/>
      <c r="U17" s="314"/>
      <c r="V17" s="57"/>
      <c r="W17" s="57"/>
      <c r="X17" s="57"/>
      <c r="Y17" s="57"/>
      <c r="Z17" s="57"/>
    </row>
    <row r="18" spans="1:26" s="125" customFormat="1" ht="19.5" customHeight="1">
      <c r="A18" s="298"/>
      <c r="B18" s="298"/>
      <c r="C18" s="299"/>
      <c r="D18" s="299"/>
      <c r="E18" s="299"/>
      <c r="F18" s="299"/>
      <c r="G18" s="299"/>
      <c r="H18" s="313"/>
      <c r="I18" s="319"/>
      <c r="J18" s="319"/>
      <c r="K18" s="319"/>
      <c r="L18" s="319"/>
      <c r="M18" s="299"/>
      <c r="N18" s="299" t="s">
        <v>761</v>
      </c>
      <c r="O18" s="299"/>
      <c r="P18" s="319">
        <f>Tables!O12</f>
        <v>27.749070548666339</v>
      </c>
      <c r="Q18" s="313" t="s">
        <v>388</v>
      </c>
      <c r="R18" s="535">
        <f>(R12+R15)*P18</f>
        <v>0</v>
      </c>
      <c r="S18" s="535"/>
      <c r="T18" s="535"/>
      <c r="U18" s="314" t="s">
        <v>387</v>
      </c>
      <c r="V18" s="57"/>
      <c r="W18" s="57"/>
      <c r="X18" s="57"/>
      <c r="Y18" s="57"/>
      <c r="Z18" s="57"/>
    </row>
    <row r="19" spans="1:26" s="246" customFormat="1" ht="3.75" customHeight="1">
      <c r="A19" s="302"/>
      <c r="B19" s="302"/>
      <c r="C19" s="301"/>
      <c r="D19" s="301"/>
      <c r="E19" s="301"/>
      <c r="F19" s="301"/>
      <c r="G19" s="301"/>
      <c r="H19" s="315"/>
      <c r="I19" s="317"/>
      <c r="J19" s="317"/>
      <c r="K19" s="317"/>
      <c r="L19" s="317"/>
      <c r="M19" s="301"/>
      <c r="N19" s="301"/>
      <c r="O19" s="301"/>
      <c r="P19" s="315"/>
      <c r="Q19" s="301"/>
      <c r="R19" s="318"/>
      <c r="S19" s="318"/>
      <c r="T19" s="318"/>
      <c r="U19" s="300"/>
      <c r="V19" s="245"/>
      <c r="W19" s="245"/>
      <c r="X19" s="245"/>
      <c r="Y19" s="245"/>
      <c r="Z19" s="245"/>
    </row>
    <row r="20" spans="1:26" s="125" customFormat="1" ht="19.5" customHeight="1">
      <c r="A20" s="314">
        <v>5</v>
      </c>
      <c r="B20" s="314"/>
      <c r="C20" s="529" t="s">
        <v>391</v>
      </c>
      <c r="D20" s="529"/>
      <c r="E20" s="529"/>
      <c r="F20" s="529"/>
      <c r="G20" s="529"/>
      <c r="H20" s="529"/>
      <c r="I20" s="529"/>
      <c r="J20" s="299"/>
      <c r="K20" s="299"/>
      <c r="L20" s="299"/>
      <c r="M20" s="299"/>
      <c r="N20" s="299"/>
      <c r="O20" s="299"/>
      <c r="P20" s="299"/>
      <c r="Q20" s="299"/>
      <c r="R20" s="299"/>
      <c r="S20" s="299"/>
      <c r="T20" s="299"/>
      <c r="U20" s="298"/>
      <c r="V20" s="57"/>
      <c r="W20" s="57"/>
      <c r="X20" s="57"/>
      <c r="Y20" s="57"/>
      <c r="Z20" s="57"/>
    </row>
    <row r="21" spans="1:26" s="125" customFormat="1" ht="19.5" customHeight="1">
      <c r="A21" s="314"/>
      <c r="B21" s="314"/>
      <c r="C21" s="299" t="s">
        <v>377</v>
      </c>
      <c r="D21" s="299"/>
      <c r="E21" s="299"/>
      <c r="F21" s="299"/>
      <c r="G21" s="299"/>
      <c r="H21" s="299"/>
      <c r="I21" s="299"/>
      <c r="J21" s="299"/>
      <c r="K21" s="299"/>
      <c r="L21" s="299"/>
      <c r="M21" s="299"/>
      <c r="N21" s="299"/>
      <c r="O21" s="299"/>
      <c r="P21" s="299"/>
      <c r="Q21" s="313" t="s">
        <v>378</v>
      </c>
      <c r="R21" s="543">
        <f>'SP4-1'!I25</f>
        <v>0</v>
      </c>
      <c r="S21" s="543"/>
      <c r="T21" s="543"/>
      <c r="U21" s="298"/>
      <c r="V21" s="57"/>
      <c r="W21" s="57"/>
      <c r="X21" s="57"/>
      <c r="Y21" s="57"/>
      <c r="Z21" s="57"/>
    </row>
    <row r="22" spans="1:26" s="125" customFormat="1" ht="19.5" customHeight="1">
      <c r="A22" s="298"/>
      <c r="B22" s="298"/>
      <c r="C22" s="299" t="s">
        <v>379</v>
      </c>
      <c r="D22" s="299"/>
      <c r="E22" s="299"/>
      <c r="F22" s="299"/>
      <c r="G22" s="299"/>
      <c r="H22" s="299"/>
      <c r="I22" s="299"/>
      <c r="J22" s="299"/>
      <c r="K22" s="299"/>
      <c r="L22" s="299"/>
      <c r="M22" s="299"/>
      <c r="N22" s="299"/>
      <c r="O22" s="299"/>
      <c r="P22" s="299"/>
      <c r="Q22" s="299"/>
      <c r="R22" s="299"/>
      <c r="S22" s="299"/>
      <c r="T22" s="299"/>
      <c r="U22" s="298"/>
      <c r="V22" s="57"/>
      <c r="W22" s="57"/>
      <c r="X22" s="57"/>
      <c r="Y22" s="57"/>
      <c r="Z22" s="57"/>
    </row>
    <row r="23" spans="1:26" s="125" customFormat="1" ht="19.5" customHeight="1">
      <c r="A23" s="298"/>
      <c r="B23" s="298"/>
      <c r="C23" s="321" t="s">
        <v>380</v>
      </c>
      <c r="D23" s="544" t="s">
        <v>381</v>
      </c>
      <c r="E23" s="544"/>
      <c r="F23" s="544"/>
      <c r="G23" s="544"/>
      <c r="H23" s="544"/>
      <c r="I23" s="544"/>
      <c r="J23" s="544"/>
      <c r="K23" s="544"/>
      <c r="L23" s="544" t="s">
        <v>382</v>
      </c>
      <c r="M23" s="544"/>
      <c r="N23" s="544"/>
      <c r="O23" s="544" t="s">
        <v>383</v>
      </c>
      <c r="P23" s="544"/>
      <c r="Q23" s="544"/>
      <c r="R23" s="544" t="s">
        <v>384</v>
      </c>
      <c r="S23" s="544"/>
      <c r="T23" s="544"/>
      <c r="U23" s="298"/>
      <c r="V23" s="57"/>
      <c r="W23" s="57"/>
      <c r="X23" s="57"/>
      <c r="Y23" s="57"/>
      <c r="Z23" s="57"/>
    </row>
    <row r="24" spans="1:26" s="125" customFormat="1" ht="19.5" customHeight="1">
      <c r="A24" s="298"/>
      <c r="B24" s="298"/>
      <c r="C24" s="322"/>
      <c r="D24" s="536"/>
      <c r="E24" s="536"/>
      <c r="F24" s="536"/>
      <c r="G24" s="536"/>
      <c r="H24" s="536"/>
      <c r="I24" s="536"/>
      <c r="J24" s="536"/>
      <c r="K24" s="536"/>
      <c r="L24" s="537"/>
      <c r="M24" s="537"/>
      <c r="N24" s="537"/>
      <c r="O24" s="538" t="str">
        <f>Tables!O24</f>
        <v/>
      </c>
      <c r="P24" s="538"/>
      <c r="Q24" s="538"/>
      <c r="R24" s="539" t="str">
        <f>IF(O24="","",L24*O24)</f>
        <v/>
      </c>
      <c r="S24" s="539"/>
      <c r="T24" s="539"/>
      <c r="U24" s="298"/>
      <c r="V24" s="57"/>
      <c r="W24" s="57"/>
      <c r="X24" s="57"/>
      <c r="Y24" s="57"/>
      <c r="Z24" s="57"/>
    </row>
    <row r="25" spans="1:26" s="125" customFormat="1" ht="19.5" customHeight="1">
      <c r="A25" s="298"/>
      <c r="B25" s="298"/>
      <c r="C25" s="322"/>
      <c r="D25" s="536"/>
      <c r="E25" s="536"/>
      <c r="F25" s="536"/>
      <c r="G25" s="536"/>
      <c r="H25" s="536"/>
      <c r="I25" s="536"/>
      <c r="J25" s="536"/>
      <c r="K25" s="536"/>
      <c r="L25" s="537"/>
      <c r="M25" s="537"/>
      <c r="N25" s="537"/>
      <c r="O25" s="538" t="str">
        <f>Tables!O25</f>
        <v/>
      </c>
      <c r="P25" s="538"/>
      <c r="Q25" s="538"/>
      <c r="R25" s="539" t="str">
        <f t="shared" ref="R25:R32" si="0">IF(O25="","",L25*O25)</f>
        <v/>
      </c>
      <c r="S25" s="539"/>
      <c r="T25" s="539"/>
      <c r="U25" s="298"/>
      <c r="V25" s="57"/>
      <c r="W25" s="57"/>
      <c r="X25" s="57"/>
      <c r="Y25" s="57"/>
      <c r="Z25" s="57"/>
    </row>
    <row r="26" spans="1:26" s="125" customFormat="1" ht="19.5" customHeight="1">
      <c r="A26" s="298"/>
      <c r="B26" s="298"/>
      <c r="C26" s="322"/>
      <c r="D26" s="536"/>
      <c r="E26" s="536"/>
      <c r="F26" s="536"/>
      <c r="G26" s="536"/>
      <c r="H26" s="536"/>
      <c r="I26" s="536"/>
      <c r="J26" s="536"/>
      <c r="K26" s="536"/>
      <c r="L26" s="537"/>
      <c r="M26" s="537"/>
      <c r="N26" s="537"/>
      <c r="O26" s="538" t="str">
        <f>Tables!O26</f>
        <v/>
      </c>
      <c r="P26" s="538"/>
      <c r="Q26" s="538"/>
      <c r="R26" s="539" t="str">
        <f t="shared" si="0"/>
        <v/>
      </c>
      <c r="S26" s="539"/>
      <c r="T26" s="539"/>
      <c r="U26" s="298"/>
      <c r="V26" s="57"/>
      <c r="W26" s="57"/>
      <c r="X26" s="57"/>
      <c r="Y26" s="57"/>
      <c r="Z26" s="57"/>
    </row>
    <row r="27" spans="1:26" s="125" customFormat="1" ht="19.5" customHeight="1">
      <c r="A27" s="298"/>
      <c r="B27" s="298"/>
      <c r="C27" s="322"/>
      <c r="D27" s="536"/>
      <c r="E27" s="536"/>
      <c r="F27" s="536"/>
      <c r="G27" s="536"/>
      <c r="H27" s="536"/>
      <c r="I27" s="536"/>
      <c r="J27" s="536"/>
      <c r="K27" s="536"/>
      <c r="L27" s="537"/>
      <c r="M27" s="537"/>
      <c r="N27" s="537"/>
      <c r="O27" s="538" t="str">
        <f>Tables!O27</f>
        <v/>
      </c>
      <c r="P27" s="538"/>
      <c r="Q27" s="538"/>
      <c r="R27" s="539" t="str">
        <f t="shared" si="0"/>
        <v/>
      </c>
      <c r="S27" s="539"/>
      <c r="T27" s="539"/>
      <c r="U27" s="298"/>
      <c r="V27" s="57"/>
      <c r="W27" s="57"/>
      <c r="X27" s="57"/>
      <c r="Y27" s="57"/>
      <c r="Z27" s="57"/>
    </row>
    <row r="28" spans="1:26" s="125" customFormat="1" ht="19.5" customHeight="1">
      <c r="A28" s="298"/>
      <c r="B28" s="298"/>
      <c r="C28" s="322"/>
      <c r="D28" s="536"/>
      <c r="E28" s="536"/>
      <c r="F28" s="536"/>
      <c r="G28" s="536"/>
      <c r="H28" s="536"/>
      <c r="I28" s="536"/>
      <c r="J28" s="536"/>
      <c r="K28" s="536"/>
      <c r="L28" s="537"/>
      <c r="M28" s="537"/>
      <c r="N28" s="537"/>
      <c r="O28" s="538" t="str">
        <f>Tables!O28</f>
        <v/>
      </c>
      <c r="P28" s="538"/>
      <c r="Q28" s="538"/>
      <c r="R28" s="539" t="str">
        <f t="shared" si="0"/>
        <v/>
      </c>
      <c r="S28" s="539"/>
      <c r="T28" s="539"/>
      <c r="U28" s="298"/>
      <c r="V28" s="57"/>
      <c r="W28" s="57"/>
      <c r="X28" s="57"/>
      <c r="Y28" s="57"/>
      <c r="Z28" s="57"/>
    </row>
    <row r="29" spans="1:26" s="125" customFormat="1" ht="19.5" customHeight="1">
      <c r="A29" s="298"/>
      <c r="B29" s="298"/>
      <c r="C29" s="322"/>
      <c r="D29" s="536"/>
      <c r="E29" s="536"/>
      <c r="F29" s="536"/>
      <c r="G29" s="536"/>
      <c r="H29" s="536"/>
      <c r="I29" s="536"/>
      <c r="J29" s="536"/>
      <c r="K29" s="536"/>
      <c r="L29" s="537"/>
      <c r="M29" s="537"/>
      <c r="N29" s="537"/>
      <c r="O29" s="538" t="str">
        <f>Tables!O29</f>
        <v/>
      </c>
      <c r="P29" s="538"/>
      <c r="Q29" s="538"/>
      <c r="R29" s="539" t="str">
        <f t="shared" si="0"/>
        <v/>
      </c>
      <c r="S29" s="539"/>
      <c r="T29" s="539"/>
      <c r="U29" s="298"/>
      <c r="V29" s="57"/>
      <c r="W29" s="57"/>
      <c r="X29" s="57"/>
      <c r="Y29" s="57"/>
      <c r="Z29" s="57"/>
    </row>
    <row r="30" spans="1:26" s="125" customFormat="1" ht="19.5" customHeight="1">
      <c r="A30" s="298"/>
      <c r="B30" s="298"/>
      <c r="C30" s="322"/>
      <c r="D30" s="536"/>
      <c r="E30" s="536"/>
      <c r="F30" s="536"/>
      <c r="G30" s="536"/>
      <c r="H30" s="536"/>
      <c r="I30" s="536"/>
      <c r="J30" s="536"/>
      <c r="K30" s="536"/>
      <c r="L30" s="537"/>
      <c r="M30" s="537"/>
      <c r="N30" s="537"/>
      <c r="O30" s="538" t="str">
        <f>Tables!O30</f>
        <v/>
      </c>
      <c r="P30" s="538"/>
      <c r="Q30" s="538"/>
      <c r="R30" s="539" t="str">
        <f t="shared" si="0"/>
        <v/>
      </c>
      <c r="S30" s="539"/>
      <c r="T30" s="539"/>
      <c r="U30" s="298"/>
      <c r="V30" s="57"/>
      <c r="W30" s="57"/>
      <c r="X30" s="57"/>
      <c r="Y30" s="57"/>
      <c r="Z30" s="57"/>
    </row>
    <row r="31" spans="1:26" s="125" customFormat="1" ht="19.5" customHeight="1">
      <c r="A31" s="298"/>
      <c r="B31" s="298"/>
      <c r="C31" s="322"/>
      <c r="D31" s="536"/>
      <c r="E31" s="536"/>
      <c r="F31" s="536"/>
      <c r="G31" s="536"/>
      <c r="H31" s="536"/>
      <c r="I31" s="536"/>
      <c r="J31" s="536"/>
      <c r="K31" s="536"/>
      <c r="L31" s="537"/>
      <c r="M31" s="537"/>
      <c r="N31" s="537"/>
      <c r="O31" s="538" t="str">
        <f>Tables!O31</f>
        <v/>
      </c>
      <c r="P31" s="538"/>
      <c r="Q31" s="538"/>
      <c r="R31" s="539" t="str">
        <f t="shared" si="0"/>
        <v/>
      </c>
      <c r="S31" s="539"/>
      <c r="T31" s="539"/>
      <c r="U31" s="298"/>
      <c r="V31" s="57"/>
      <c r="W31" s="57"/>
      <c r="X31" s="57"/>
      <c r="Y31" s="57"/>
      <c r="Z31" s="57"/>
    </row>
    <row r="32" spans="1:26" s="125" customFormat="1" ht="19.5" customHeight="1">
      <c r="A32" s="298"/>
      <c r="B32" s="298"/>
      <c r="C32" s="322"/>
      <c r="D32" s="536"/>
      <c r="E32" s="536"/>
      <c r="F32" s="536"/>
      <c r="G32" s="536"/>
      <c r="H32" s="536"/>
      <c r="I32" s="536"/>
      <c r="J32" s="536"/>
      <c r="K32" s="536"/>
      <c r="L32" s="537"/>
      <c r="M32" s="537"/>
      <c r="N32" s="537"/>
      <c r="O32" s="538" t="str">
        <f>Tables!O32</f>
        <v/>
      </c>
      <c r="P32" s="538"/>
      <c r="Q32" s="538"/>
      <c r="R32" s="539" t="str">
        <f t="shared" si="0"/>
        <v/>
      </c>
      <c r="S32" s="539"/>
      <c r="T32" s="539"/>
      <c r="U32" s="298"/>
      <c r="V32" s="57"/>
      <c r="W32" s="57"/>
      <c r="X32" s="57"/>
      <c r="Y32" s="57"/>
      <c r="Z32" s="57"/>
    </row>
    <row r="33" spans="1:26" s="125" customFormat="1" ht="19.5" customHeight="1">
      <c r="A33" s="298"/>
      <c r="B33" s="298"/>
      <c r="C33" s="299"/>
      <c r="D33" s="299"/>
      <c r="E33" s="299"/>
      <c r="F33" s="299"/>
      <c r="G33" s="299"/>
      <c r="H33" s="299"/>
      <c r="I33" s="299"/>
      <c r="J33" s="299"/>
      <c r="K33" s="299"/>
      <c r="L33" s="299"/>
      <c r="M33" s="299"/>
      <c r="N33" s="299"/>
      <c r="O33" s="299"/>
      <c r="P33" s="299"/>
      <c r="Q33" s="313" t="s">
        <v>392</v>
      </c>
      <c r="R33" s="540">
        <f>SUM(R24:T32)</f>
        <v>0</v>
      </c>
      <c r="S33" s="541"/>
      <c r="T33" s="542"/>
      <c r="U33" s="314" t="s">
        <v>393</v>
      </c>
      <c r="V33" s="57"/>
      <c r="W33" s="57"/>
      <c r="X33" s="57"/>
      <c r="Y33" s="57"/>
      <c r="Z33" s="57"/>
    </row>
    <row r="34" spans="1:26" s="125" customFormat="1" ht="19.5" customHeight="1">
      <c r="A34" s="298"/>
      <c r="B34" s="298"/>
      <c r="C34" s="299"/>
      <c r="D34" s="299"/>
      <c r="E34" s="299"/>
      <c r="F34" s="299"/>
      <c r="G34" s="299"/>
      <c r="H34" s="299"/>
      <c r="I34" s="299"/>
      <c r="J34" s="299"/>
      <c r="K34" s="299"/>
      <c r="L34" s="299"/>
      <c r="M34" s="299"/>
      <c r="N34" s="299"/>
      <c r="O34" s="299"/>
      <c r="P34" s="299"/>
      <c r="Q34" s="299"/>
      <c r="R34" s="299"/>
      <c r="S34" s="299"/>
      <c r="T34" s="299"/>
      <c r="U34" s="298"/>
      <c r="V34" s="57"/>
      <c r="W34" s="57"/>
      <c r="X34" s="57"/>
      <c r="Y34" s="57"/>
      <c r="Z34" s="57"/>
    </row>
    <row r="35" spans="1:26" s="125" customFormat="1" ht="19.5" customHeight="1">
      <c r="A35" s="314">
        <v>6</v>
      </c>
      <c r="B35" s="314"/>
      <c r="C35" s="487" t="s">
        <v>360</v>
      </c>
      <c r="D35" s="487"/>
      <c r="E35" s="487"/>
      <c r="F35" s="487"/>
      <c r="G35" s="487"/>
      <c r="H35" s="299"/>
      <c r="I35" s="299"/>
      <c r="J35" s="299"/>
      <c r="K35" s="299"/>
      <c r="L35" s="299"/>
      <c r="M35" s="299"/>
      <c r="N35" s="299"/>
      <c r="O35" s="299"/>
      <c r="P35" s="299"/>
      <c r="Q35" s="299"/>
      <c r="R35" s="299"/>
      <c r="S35" s="299"/>
      <c r="T35" s="299"/>
      <c r="U35" s="298"/>
      <c r="V35" s="57"/>
      <c r="W35" s="57"/>
      <c r="X35" s="57"/>
      <c r="Y35" s="57"/>
      <c r="Z35" s="57"/>
    </row>
    <row r="36" spans="1:26" s="125" customFormat="1" ht="19.5" customHeight="1">
      <c r="A36" s="298"/>
      <c r="B36" s="298"/>
      <c r="C36" s="299"/>
      <c r="D36" s="299"/>
      <c r="E36" s="299"/>
      <c r="F36" s="299"/>
      <c r="G36" s="299"/>
      <c r="H36" s="299"/>
      <c r="I36" s="299"/>
      <c r="J36" s="299"/>
      <c r="K36" s="299"/>
      <c r="L36" s="299"/>
      <c r="M36" s="299"/>
      <c r="N36" s="299"/>
      <c r="O36" s="299"/>
      <c r="P36" s="299"/>
      <c r="Q36" s="316" t="s">
        <v>762</v>
      </c>
      <c r="R36" s="535">
        <f>R18+R33</f>
        <v>0</v>
      </c>
      <c r="S36" s="535"/>
      <c r="T36" s="535"/>
      <c r="U36" s="314" t="s">
        <v>361</v>
      </c>
      <c r="V36" s="57"/>
      <c r="W36" s="57"/>
      <c r="X36" s="57"/>
      <c r="Y36" s="57"/>
      <c r="Z36" s="57"/>
    </row>
    <row r="37" spans="1:26" s="125" customFormat="1" ht="19.5" customHeight="1">
      <c r="A37" s="298"/>
      <c r="B37" s="298"/>
      <c r="C37" s="299"/>
      <c r="D37" s="299"/>
      <c r="E37" s="299"/>
      <c r="F37" s="299"/>
      <c r="G37" s="299"/>
      <c r="H37" s="299"/>
      <c r="I37" s="299"/>
      <c r="J37" s="299"/>
      <c r="K37" s="299"/>
      <c r="L37" s="299"/>
      <c r="M37" s="299"/>
      <c r="N37" s="299"/>
      <c r="O37" s="299"/>
      <c r="P37" s="299"/>
      <c r="Q37" s="299"/>
      <c r="R37" s="299"/>
      <c r="S37" s="299"/>
      <c r="T37" s="313" t="s">
        <v>763</v>
      </c>
      <c r="U37" s="313"/>
      <c r="V37" s="57"/>
      <c r="W37" s="57"/>
      <c r="X37" s="57"/>
      <c r="Y37" s="57"/>
      <c r="Z37" s="57"/>
    </row>
    <row r="38" spans="1:26">
      <c r="A38" s="57"/>
      <c r="B38" s="57"/>
      <c r="C38" s="57"/>
      <c r="D38" s="57"/>
      <c r="E38" s="57"/>
      <c r="F38" s="57"/>
      <c r="G38" s="57"/>
      <c r="H38" s="57"/>
      <c r="I38" s="57"/>
      <c r="J38" s="57"/>
      <c r="K38" s="57"/>
      <c r="L38" s="57"/>
      <c r="M38" s="57"/>
      <c r="N38" s="57"/>
      <c r="O38" s="57"/>
      <c r="P38" s="57"/>
      <c r="Q38" s="57"/>
      <c r="R38" s="57"/>
      <c r="S38" s="57"/>
      <c r="T38" s="57"/>
      <c r="U38" s="247"/>
      <c r="V38" s="57"/>
      <c r="W38" s="57"/>
      <c r="X38" s="57"/>
      <c r="Y38" s="57"/>
      <c r="Z38" s="57"/>
    </row>
    <row r="39" spans="1:26">
      <c r="A39" s="57"/>
      <c r="B39" s="57"/>
      <c r="C39" s="57"/>
      <c r="D39" s="57"/>
      <c r="E39" s="57"/>
      <c r="F39" s="57"/>
      <c r="G39" s="57"/>
      <c r="H39" s="57"/>
      <c r="I39" s="57"/>
      <c r="J39" s="57"/>
      <c r="K39" s="57"/>
      <c r="L39" s="57"/>
      <c r="M39" s="57"/>
      <c r="N39" s="57"/>
      <c r="O39" s="57"/>
      <c r="P39" s="57"/>
      <c r="Q39" s="57"/>
      <c r="R39" s="57"/>
      <c r="S39" s="57"/>
      <c r="T39" s="57"/>
      <c r="U39" s="247"/>
      <c r="V39" s="57"/>
      <c r="W39" s="57"/>
      <c r="X39" s="57"/>
      <c r="Y39" s="57"/>
      <c r="Z39" s="57"/>
    </row>
    <row r="40" spans="1:26">
      <c r="A40" s="57"/>
      <c r="B40" s="57"/>
      <c r="C40" s="57"/>
      <c r="D40" s="57"/>
      <c r="E40" s="57"/>
      <c r="F40" s="57"/>
      <c r="G40" s="57"/>
      <c r="H40" s="57"/>
      <c r="I40" s="57"/>
      <c r="J40" s="57"/>
      <c r="K40" s="57"/>
      <c r="L40" s="57"/>
      <c r="M40" s="57"/>
      <c r="N40" s="57"/>
      <c r="O40" s="57"/>
      <c r="P40" s="57"/>
      <c r="Q40" s="57"/>
      <c r="R40" s="57"/>
      <c r="S40" s="57"/>
      <c r="T40" s="57"/>
      <c r="U40" s="247"/>
      <c r="V40" s="57"/>
      <c r="W40" s="57"/>
      <c r="X40" s="57"/>
      <c r="Y40" s="57"/>
      <c r="Z40" s="57"/>
    </row>
    <row r="41" spans="1:26">
      <c r="A41" s="57"/>
      <c r="B41" s="57"/>
      <c r="C41" s="57"/>
      <c r="D41" s="57"/>
      <c r="E41" s="57"/>
      <c r="F41" s="57"/>
      <c r="G41" s="57"/>
      <c r="H41" s="57"/>
      <c r="I41" s="57"/>
      <c r="J41" s="57"/>
      <c r="K41" s="57"/>
      <c r="L41" s="57"/>
      <c r="M41" s="57"/>
      <c r="N41" s="57"/>
      <c r="O41" s="57"/>
      <c r="P41" s="57"/>
      <c r="Q41" s="57"/>
      <c r="R41" s="57"/>
      <c r="S41" s="57"/>
      <c r="T41" s="57"/>
      <c r="U41" s="247"/>
      <c r="V41" s="57"/>
      <c r="W41" s="57"/>
      <c r="X41" s="57"/>
      <c r="Y41" s="57"/>
      <c r="Z41" s="57"/>
    </row>
    <row r="42" spans="1:26">
      <c r="A42" s="57"/>
      <c r="B42" s="57"/>
      <c r="C42" s="57"/>
      <c r="D42" s="57"/>
      <c r="E42" s="57"/>
      <c r="F42" s="57"/>
      <c r="G42" s="57"/>
      <c r="H42" s="57"/>
      <c r="I42" s="57"/>
      <c r="J42" s="57"/>
      <c r="K42" s="57"/>
      <c r="L42" s="57"/>
      <c r="M42" s="57"/>
      <c r="N42" s="57"/>
      <c r="O42" s="57"/>
      <c r="P42" s="57"/>
      <c r="Q42" s="57"/>
      <c r="R42" s="57"/>
      <c r="S42" s="57"/>
      <c r="T42" s="57"/>
      <c r="U42" s="247"/>
      <c r="V42" s="57"/>
      <c r="W42" s="57"/>
      <c r="X42" s="57"/>
      <c r="Y42" s="57"/>
      <c r="Z42" s="57"/>
    </row>
    <row r="43" spans="1:26" ht="12.6" hidden="1" customHeight="1">
      <c r="A43" s="57"/>
      <c r="B43" s="57"/>
      <c r="C43" s="57"/>
      <c r="D43" s="57"/>
      <c r="E43" s="57"/>
      <c r="F43" s="57"/>
      <c r="G43" s="57"/>
      <c r="H43" s="57"/>
      <c r="I43" s="57"/>
      <c r="J43" s="57"/>
      <c r="K43" s="57"/>
      <c r="L43" s="57"/>
      <c r="M43" s="57"/>
      <c r="N43" s="57"/>
      <c r="O43" s="57"/>
      <c r="P43" s="57"/>
      <c r="Q43" s="57"/>
      <c r="R43" s="57"/>
      <c r="S43" s="57"/>
      <c r="T43" s="57"/>
      <c r="U43" s="247"/>
      <c r="V43" s="57"/>
      <c r="W43" s="57"/>
      <c r="X43" s="57"/>
      <c r="Y43" s="57"/>
      <c r="Z43" s="57"/>
    </row>
    <row r="44" spans="1:26" hidden="1">
      <c r="A44" s="59">
        <v>0</v>
      </c>
      <c r="B44" s="57"/>
      <c r="C44" s="57"/>
      <c r="D44" s="57"/>
      <c r="E44" s="57"/>
      <c r="F44" s="57"/>
      <c r="G44" s="57"/>
      <c r="H44" s="57"/>
      <c r="I44" s="57"/>
      <c r="J44" s="57"/>
      <c r="K44" s="57"/>
      <c r="L44" s="57"/>
      <c r="M44" s="57"/>
      <c r="N44" s="57"/>
      <c r="O44" s="57"/>
      <c r="P44" s="57"/>
      <c r="Q44" s="57"/>
      <c r="R44" s="57"/>
      <c r="S44" s="57"/>
      <c r="T44" s="57"/>
      <c r="U44" s="247"/>
      <c r="V44" s="57"/>
      <c r="W44" s="57"/>
      <c r="X44" s="57"/>
      <c r="Y44" s="57"/>
      <c r="Z44" s="57"/>
    </row>
    <row r="45" spans="1:26" hidden="1">
      <c r="A45" s="59">
        <v>1</v>
      </c>
      <c r="B45" s="57"/>
      <c r="C45" s="57"/>
      <c r="D45" s="57"/>
      <c r="E45" s="57"/>
      <c r="F45" s="57"/>
      <c r="G45" s="57"/>
      <c r="H45" s="57"/>
      <c r="I45" s="57"/>
      <c r="J45" s="57"/>
      <c r="K45" s="57"/>
      <c r="L45" s="57"/>
      <c r="M45" s="57"/>
      <c r="N45" s="57"/>
      <c r="O45" s="57"/>
      <c r="P45" s="57"/>
      <c r="Q45" s="57"/>
      <c r="R45" s="57"/>
      <c r="S45" s="57"/>
      <c r="T45" s="57"/>
      <c r="U45" s="247"/>
      <c r="V45" s="57"/>
      <c r="W45" s="57"/>
      <c r="X45" s="57"/>
      <c r="Y45" s="57"/>
      <c r="Z45" s="57"/>
    </row>
    <row r="46" spans="1:26" hidden="1">
      <c r="A46" s="59">
        <v>2</v>
      </c>
      <c r="B46" s="57"/>
      <c r="C46" s="57"/>
      <c r="D46" s="57"/>
      <c r="E46" s="57"/>
      <c r="F46" s="57"/>
      <c r="G46" s="57"/>
      <c r="H46" s="57"/>
      <c r="I46" s="57"/>
      <c r="J46" s="57"/>
      <c r="K46" s="57"/>
      <c r="L46" s="57"/>
      <c r="M46" s="57"/>
      <c r="N46" s="57"/>
      <c r="O46" s="57"/>
      <c r="P46" s="57"/>
      <c r="Q46" s="57"/>
      <c r="R46" s="57"/>
      <c r="S46" s="57"/>
      <c r="T46" s="57"/>
      <c r="U46" s="247"/>
      <c r="V46" s="57"/>
      <c r="W46" s="57"/>
      <c r="X46" s="57"/>
      <c r="Y46" s="57"/>
      <c r="Z46" s="57"/>
    </row>
    <row r="47" spans="1:26" hidden="1">
      <c r="A47" s="59">
        <v>3</v>
      </c>
      <c r="B47" s="57"/>
      <c r="C47" s="57"/>
      <c r="D47" s="57"/>
      <c r="E47" s="57"/>
      <c r="F47" s="57"/>
      <c r="G47" s="57"/>
      <c r="H47" s="57"/>
      <c r="I47" s="57"/>
      <c r="J47" s="57"/>
      <c r="K47" s="57"/>
      <c r="L47" s="57"/>
      <c r="M47" s="57"/>
      <c r="N47" s="57"/>
      <c r="O47" s="57"/>
      <c r="P47" s="57"/>
      <c r="Q47" s="57"/>
      <c r="R47" s="57"/>
      <c r="S47" s="57"/>
      <c r="T47" s="57"/>
      <c r="U47" s="247"/>
      <c r="V47" s="57"/>
      <c r="W47" s="57"/>
      <c r="X47" s="57"/>
      <c r="Y47" s="57"/>
      <c r="Z47" s="57"/>
    </row>
    <row r="48" spans="1:26" hidden="1">
      <c r="A48" s="59">
        <v>4</v>
      </c>
      <c r="B48" s="57"/>
      <c r="C48" s="57"/>
      <c r="D48" s="57"/>
      <c r="E48" s="57"/>
      <c r="F48" s="57"/>
      <c r="G48" s="57"/>
      <c r="H48" s="57"/>
      <c r="I48" s="57"/>
      <c r="J48" s="57"/>
      <c r="K48" s="57"/>
      <c r="L48" s="57"/>
      <c r="M48" s="57"/>
      <c r="N48" s="57"/>
      <c r="O48" s="57"/>
      <c r="P48" s="57"/>
      <c r="Q48" s="57"/>
      <c r="R48" s="57"/>
      <c r="S48" s="57"/>
      <c r="T48" s="57"/>
      <c r="U48" s="247"/>
      <c r="V48" s="57"/>
      <c r="W48" s="57"/>
      <c r="X48" s="57"/>
      <c r="Y48" s="57"/>
      <c r="Z48" s="57"/>
    </row>
    <row r="49" spans="1:26" hidden="1">
      <c r="A49" s="59">
        <v>5</v>
      </c>
      <c r="B49" s="57"/>
      <c r="C49" s="57"/>
      <c r="D49" s="57"/>
      <c r="E49" s="57"/>
      <c r="F49" s="57"/>
      <c r="G49" s="57"/>
      <c r="H49" s="57"/>
      <c r="I49" s="57"/>
      <c r="J49" s="57"/>
      <c r="K49" s="57"/>
      <c r="L49" s="57"/>
      <c r="M49" s="57"/>
      <c r="N49" s="57"/>
      <c r="O49" s="57"/>
      <c r="P49" s="57"/>
      <c r="Q49" s="57"/>
      <c r="R49" s="57"/>
      <c r="S49" s="57"/>
      <c r="T49" s="57"/>
      <c r="U49" s="247"/>
      <c r="V49" s="57"/>
      <c r="W49" s="57"/>
      <c r="X49" s="57"/>
      <c r="Y49" s="57"/>
      <c r="Z49" s="57"/>
    </row>
    <row r="50" spans="1:26" hidden="1">
      <c r="A50" s="59">
        <v>6</v>
      </c>
      <c r="B50" s="57"/>
      <c r="C50" s="57"/>
      <c r="D50" s="57"/>
      <c r="E50" s="57"/>
      <c r="F50" s="57"/>
      <c r="G50" s="57"/>
      <c r="H50" s="57"/>
      <c r="I50" s="57"/>
      <c r="J50" s="57"/>
      <c r="K50" s="57"/>
      <c r="L50" s="57"/>
      <c r="M50" s="57"/>
      <c r="N50" s="57"/>
      <c r="O50" s="57"/>
      <c r="P50" s="57"/>
      <c r="Q50" s="57"/>
      <c r="R50" s="57"/>
      <c r="S50" s="57"/>
      <c r="T50" s="57"/>
      <c r="U50" s="247"/>
      <c r="V50" s="57"/>
      <c r="W50" s="57"/>
      <c r="X50" s="57"/>
      <c r="Y50" s="57"/>
      <c r="Z50" s="57"/>
    </row>
    <row r="51" spans="1:26" hidden="1">
      <c r="A51" s="59">
        <v>7</v>
      </c>
      <c r="B51" s="57"/>
      <c r="C51" s="57"/>
      <c r="D51" s="57"/>
      <c r="E51" s="57"/>
      <c r="F51" s="57"/>
      <c r="G51" s="57"/>
      <c r="H51" s="57"/>
      <c r="I51" s="57"/>
      <c r="J51" s="57"/>
      <c r="K51" s="57"/>
      <c r="L51" s="57"/>
      <c r="M51" s="57"/>
      <c r="N51" s="57"/>
      <c r="O51" s="57"/>
      <c r="P51" s="57"/>
      <c r="Q51" s="57"/>
      <c r="R51" s="57"/>
      <c r="S51" s="57"/>
      <c r="T51" s="57"/>
      <c r="U51" s="247"/>
      <c r="V51" s="57"/>
      <c r="W51" s="57"/>
      <c r="X51" s="57"/>
      <c r="Y51" s="57"/>
      <c r="Z51" s="57"/>
    </row>
    <row r="52" spans="1:26" hidden="1">
      <c r="A52" s="59">
        <v>8</v>
      </c>
      <c r="B52" s="57"/>
      <c r="C52" s="57"/>
      <c r="D52" s="57"/>
      <c r="E52" s="57"/>
      <c r="F52" s="57"/>
      <c r="G52" s="57"/>
      <c r="H52" s="57"/>
      <c r="I52" s="57"/>
      <c r="J52" s="57"/>
      <c r="K52" s="57"/>
      <c r="L52" s="57"/>
      <c r="M52" s="57"/>
      <c r="N52" s="57"/>
      <c r="O52" s="57"/>
      <c r="P52" s="57"/>
      <c r="Q52" s="57"/>
      <c r="R52" s="57"/>
      <c r="S52" s="57"/>
      <c r="T52" s="57"/>
      <c r="U52" s="247"/>
      <c r="V52" s="57"/>
      <c r="W52" s="57"/>
      <c r="X52" s="57"/>
      <c r="Y52" s="57"/>
      <c r="Z52" s="57"/>
    </row>
    <row r="53" spans="1:26" hidden="1">
      <c r="A53" s="59">
        <v>9</v>
      </c>
      <c r="B53" s="57"/>
      <c r="C53" s="57"/>
      <c r="D53" s="57"/>
      <c r="E53" s="57"/>
      <c r="F53" s="57"/>
      <c r="G53" s="57"/>
      <c r="H53" s="57"/>
      <c r="I53" s="57"/>
      <c r="J53" s="57"/>
      <c r="K53" s="57"/>
      <c r="L53" s="57"/>
      <c r="M53" s="57"/>
      <c r="N53" s="57"/>
      <c r="O53" s="57"/>
      <c r="P53" s="57"/>
      <c r="Q53" s="57"/>
      <c r="R53" s="57"/>
      <c r="S53" s="57"/>
      <c r="T53" s="57"/>
      <c r="U53" s="247"/>
      <c r="V53" s="57"/>
      <c r="W53" s="57"/>
      <c r="X53" s="57"/>
      <c r="Y53" s="57"/>
      <c r="Z53" s="57"/>
    </row>
    <row r="54" spans="1:26" hidden="1">
      <c r="A54" s="59">
        <v>10</v>
      </c>
      <c r="B54" s="57"/>
      <c r="C54" s="57"/>
      <c r="D54" s="57"/>
      <c r="E54" s="57"/>
      <c r="F54" s="57"/>
      <c r="G54" s="57"/>
      <c r="H54" s="57"/>
      <c r="I54" s="57"/>
      <c r="J54" s="57"/>
      <c r="K54" s="57"/>
      <c r="L54" s="57"/>
      <c r="M54" s="57"/>
      <c r="N54" s="57"/>
      <c r="O54" s="57"/>
      <c r="P54" s="57"/>
      <c r="Q54" s="57"/>
      <c r="R54" s="57"/>
      <c r="S54" s="57"/>
      <c r="T54" s="57"/>
      <c r="U54" s="247"/>
      <c r="V54" s="57"/>
      <c r="W54" s="57"/>
      <c r="X54" s="57"/>
      <c r="Y54" s="57"/>
      <c r="Z54" s="57"/>
    </row>
    <row r="55" spans="1:26" hidden="1">
      <c r="A55" s="59">
        <v>11</v>
      </c>
      <c r="B55" s="57"/>
      <c r="C55" s="57"/>
      <c r="D55" s="57"/>
      <c r="E55" s="57"/>
      <c r="F55" s="57"/>
      <c r="G55" s="57"/>
      <c r="H55" s="57"/>
      <c r="I55" s="57"/>
      <c r="J55" s="57"/>
      <c r="K55" s="57"/>
      <c r="L55" s="57"/>
      <c r="M55" s="57"/>
      <c r="N55" s="57"/>
      <c r="O55" s="57"/>
      <c r="P55" s="57"/>
      <c r="Q55" s="57"/>
      <c r="R55" s="57"/>
      <c r="S55" s="57"/>
      <c r="T55" s="57"/>
      <c r="U55" s="247"/>
      <c r="V55" s="57"/>
      <c r="W55" s="57"/>
      <c r="X55" s="57"/>
      <c r="Y55" s="57"/>
      <c r="Z55" s="57"/>
    </row>
    <row r="56" spans="1:26" hidden="1">
      <c r="A56" s="59">
        <v>12</v>
      </c>
      <c r="B56" s="57"/>
      <c r="C56" s="57"/>
      <c r="D56" s="57"/>
      <c r="E56" s="57"/>
      <c r="F56" s="57"/>
      <c r="G56" s="57"/>
      <c r="H56" s="57"/>
      <c r="I56" s="57"/>
      <c r="J56" s="57"/>
      <c r="K56" s="57"/>
      <c r="L56" s="57"/>
      <c r="M56" s="57"/>
      <c r="N56" s="57"/>
      <c r="O56" s="57"/>
      <c r="P56" s="57"/>
      <c r="Q56" s="57"/>
      <c r="R56" s="57"/>
      <c r="S56" s="57"/>
      <c r="T56" s="57"/>
      <c r="U56" s="247"/>
      <c r="V56" s="57"/>
      <c r="W56" s="57"/>
      <c r="X56" s="57"/>
      <c r="Y56" s="57"/>
      <c r="Z56" s="57"/>
    </row>
    <row r="57" spans="1:26" hidden="1">
      <c r="A57" s="59">
        <v>13</v>
      </c>
      <c r="B57" s="57"/>
      <c r="C57" s="57"/>
      <c r="D57" s="57"/>
      <c r="E57" s="57"/>
      <c r="F57" s="57"/>
      <c r="G57" s="57"/>
      <c r="H57" s="57"/>
      <c r="I57" s="57"/>
      <c r="J57" s="57"/>
      <c r="K57" s="57"/>
      <c r="L57" s="57"/>
      <c r="M57" s="57"/>
      <c r="N57" s="57"/>
      <c r="O57" s="57"/>
      <c r="P57" s="57"/>
      <c r="Q57" s="57"/>
      <c r="R57" s="57"/>
      <c r="S57" s="57"/>
      <c r="T57" s="57"/>
      <c r="U57" s="247"/>
      <c r="V57" s="57"/>
      <c r="W57" s="57"/>
      <c r="X57" s="57"/>
      <c r="Y57" s="57"/>
      <c r="Z57" s="57"/>
    </row>
    <row r="58" spans="1:26" hidden="1">
      <c r="A58" s="59">
        <v>14</v>
      </c>
      <c r="B58" s="57"/>
      <c r="C58" s="57"/>
      <c r="D58" s="57"/>
      <c r="E58" s="57"/>
      <c r="F58" s="57"/>
      <c r="G58" s="57"/>
      <c r="H58" s="57"/>
      <c r="I58" s="57"/>
      <c r="J58" s="57"/>
      <c r="K58" s="57"/>
      <c r="L58" s="57"/>
      <c r="M58" s="57"/>
      <c r="N58" s="57"/>
      <c r="O58" s="57"/>
      <c r="P58" s="57"/>
      <c r="Q58" s="57"/>
      <c r="R58" s="57"/>
      <c r="S58" s="57"/>
      <c r="T58" s="57"/>
      <c r="U58" s="247"/>
      <c r="V58" s="57"/>
      <c r="W58" s="57"/>
      <c r="X58" s="57"/>
      <c r="Y58" s="57"/>
      <c r="Z58" s="57"/>
    </row>
    <row r="59" spans="1:26" hidden="1">
      <c r="A59" s="59">
        <v>15</v>
      </c>
      <c r="B59" s="57"/>
      <c r="C59" s="57"/>
      <c r="D59" s="57"/>
      <c r="E59" s="57"/>
      <c r="F59" s="57"/>
      <c r="G59" s="57"/>
      <c r="H59" s="57"/>
      <c r="I59" s="57"/>
      <c r="J59" s="57"/>
      <c r="K59" s="57"/>
      <c r="L59" s="57"/>
      <c r="M59" s="57"/>
      <c r="N59" s="57"/>
      <c r="O59" s="57"/>
      <c r="P59" s="57"/>
      <c r="Q59" s="57"/>
      <c r="R59" s="57"/>
      <c r="S59" s="57"/>
      <c r="T59" s="57"/>
      <c r="U59" s="247"/>
      <c r="V59" s="57"/>
      <c r="W59" s="57"/>
      <c r="X59" s="57"/>
      <c r="Y59" s="57"/>
      <c r="Z59" s="57"/>
    </row>
    <row r="60" spans="1:26" hidden="1">
      <c r="A60" s="59">
        <v>16</v>
      </c>
      <c r="B60" s="57"/>
      <c r="C60" s="57"/>
      <c r="D60" s="57"/>
      <c r="E60" s="57"/>
      <c r="F60" s="57"/>
      <c r="G60" s="57"/>
      <c r="H60" s="57"/>
      <c r="I60" s="57"/>
      <c r="J60" s="57"/>
      <c r="K60" s="57"/>
      <c r="L60" s="57"/>
      <c r="M60" s="57"/>
      <c r="N60" s="57"/>
      <c r="O60" s="57"/>
      <c r="P60" s="57"/>
      <c r="Q60" s="57"/>
      <c r="R60" s="57"/>
      <c r="S60" s="57"/>
      <c r="T60" s="57"/>
      <c r="U60" s="247"/>
      <c r="V60" s="57"/>
      <c r="W60" s="57"/>
      <c r="X60" s="57"/>
      <c r="Y60" s="57"/>
      <c r="Z60" s="57"/>
    </row>
    <row r="61" spans="1:26" hidden="1">
      <c r="A61" s="59">
        <v>17</v>
      </c>
      <c r="B61" s="57"/>
      <c r="C61" s="57"/>
      <c r="D61" s="57"/>
      <c r="E61" s="57"/>
      <c r="F61" s="57"/>
      <c r="G61" s="57"/>
      <c r="H61" s="57"/>
      <c r="I61" s="57"/>
      <c r="J61" s="57"/>
      <c r="K61" s="57"/>
      <c r="L61" s="57"/>
      <c r="M61" s="57"/>
      <c r="N61" s="57"/>
      <c r="O61" s="57"/>
      <c r="P61" s="57"/>
      <c r="Q61" s="57"/>
      <c r="R61" s="57"/>
      <c r="S61" s="57"/>
      <c r="T61" s="57"/>
      <c r="U61" s="247"/>
      <c r="V61" s="57"/>
      <c r="W61" s="57"/>
      <c r="X61" s="57"/>
      <c r="Y61" s="57"/>
      <c r="Z61" s="57"/>
    </row>
    <row r="62" spans="1:26" hidden="1">
      <c r="A62" s="59">
        <v>18</v>
      </c>
      <c r="B62" s="57"/>
      <c r="C62" s="57"/>
      <c r="D62" s="57"/>
      <c r="E62" s="57"/>
      <c r="F62" s="57"/>
      <c r="G62" s="57"/>
      <c r="H62" s="57"/>
      <c r="I62" s="57"/>
      <c r="J62" s="57"/>
      <c r="K62" s="57"/>
      <c r="L62" s="57"/>
      <c r="M62" s="57"/>
      <c r="N62" s="57"/>
      <c r="O62" s="57"/>
      <c r="P62" s="57"/>
      <c r="Q62" s="57"/>
      <c r="R62" s="57"/>
      <c r="S62" s="57"/>
      <c r="T62" s="57"/>
      <c r="U62" s="247"/>
      <c r="V62" s="57"/>
      <c r="W62" s="57"/>
      <c r="X62" s="57"/>
      <c r="Y62" s="57"/>
      <c r="Z62" s="57"/>
    </row>
    <row r="63" spans="1:26" hidden="1">
      <c r="A63" s="59">
        <v>19</v>
      </c>
      <c r="B63" s="57"/>
      <c r="C63" s="57"/>
      <c r="D63" s="57"/>
      <c r="E63" s="57"/>
      <c r="F63" s="57"/>
      <c r="G63" s="57"/>
      <c r="H63" s="57"/>
      <c r="I63" s="57"/>
      <c r="J63" s="57"/>
      <c r="K63" s="57"/>
      <c r="L63" s="57"/>
      <c r="M63" s="57"/>
      <c r="N63" s="57"/>
      <c r="O63" s="57"/>
      <c r="P63" s="57"/>
      <c r="Q63" s="57"/>
      <c r="R63" s="57"/>
      <c r="S63" s="57"/>
      <c r="T63" s="57"/>
      <c r="U63" s="247"/>
      <c r="V63" s="57"/>
      <c r="W63" s="57"/>
      <c r="X63" s="57"/>
      <c r="Y63" s="57"/>
      <c r="Z63" s="57"/>
    </row>
    <row r="64" spans="1:26" hidden="1">
      <c r="A64" s="59">
        <v>20</v>
      </c>
      <c r="B64" s="57"/>
      <c r="C64" s="57"/>
      <c r="D64" s="57"/>
      <c r="E64" s="57"/>
      <c r="F64" s="57"/>
      <c r="G64" s="57"/>
      <c r="H64" s="57"/>
      <c r="I64" s="57"/>
      <c r="J64" s="57"/>
      <c r="K64" s="57"/>
      <c r="L64" s="57"/>
      <c r="M64" s="57"/>
      <c r="N64" s="57"/>
      <c r="O64" s="57"/>
      <c r="P64" s="57"/>
      <c r="Q64" s="57"/>
      <c r="R64" s="57"/>
      <c r="S64" s="57"/>
      <c r="T64" s="57"/>
      <c r="U64" s="247"/>
      <c r="V64" s="57"/>
      <c r="W64" s="57"/>
      <c r="X64" s="57"/>
      <c r="Y64" s="57"/>
      <c r="Z64" s="57"/>
    </row>
    <row r="65" spans="1:26" hidden="1">
      <c r="A65" s="59">
        <v>21</v>
      </c>
      <c r="B65" s="57"/>
      <c r="C65" s="57"/>
      <c r="D65" s="57"/>
      <c r="E65" s="57"/>
      <c r="F65" s="57"/>
      <c r="G65" s="57"/>
      <c r="H65" s="57"/>
      <c r="I65" s="57"/>
      <c r="J65" s="57"/>
      <c r="K65" s="57"/>
      <c r="L65" s="57"/>
      <c r="M65" s="57"/>
      <c r="N65" s="57"/>
      <c r="O65" s="57"/>
      <c r="P65" s="57"/>
      <c r="Q65" s="57"/>
      <c r="R65" s="57"/>
      <c r="S65" s="57"/>
      <c r="T65" s="57"/>
      <c r="U65" s="247"/>
      <c r="V65" s="57"/>
      <c r="W65" s="57"/>
      <c r="X65" s="57"/>
      <c r="Y65" s="57"/>
      <c r="Z65" s="57"/>
    </row>
    <row r="66" spans="1:26" hidden="1">
      <c r="A66" s="59">
        <v>22</v>
      </c>
      <c r="B66" s="57"/>
      <c r="C66" s="57"/>
      <c r="D66" s="57"/>
      <c r="E66" s="57"/>
      <c r="F66" s="57"/>
      <c r="G66" s="57"/>
      <c r="H66" s="57"/>
      <c r="I66" s="57"/>
      <c r="J66" s="57"/>
      <c r="K66" s="57"/>
      <c r="L66" s="57"/>
      <c r="M66" s="57"/>
      <c r="N66" s="57"/>
      <c r="O66" s="57"/>
      <c r="P66" s="57"/>
      <c r="Q66" s="57"/>
      <c r="R66" s="57"/>
      <c r="S66" s="57"/>
      <c r="T66" s="57"/>
      <c r="U66" s="247"/>
      <c r="V66" s="57"/>
      <c r="W66" s="57"/>
      <c r="X66" s="57"/>
      <c r="Y66" s="57"/>
      <c r="Z66" s="57"/>
    </row>
    <row r="67" spans="1:26" hidden="1">
      <c r="A67" s="59">
        <v>23</v>
      </c>
      <c r="B67" s="57"/>
      <c r="C67" s="57"/>
      <c r="D67" s="57"/>
      <c r="E67" s="57"/>
      <c r="F67" s="57"/>
      <c r="G67" s="57"/>
      <c r="H67" s="57"/>
      <c r="I67" s="57"/>
      <c r="J67" s="57"/>
      <c r="K67" s="57"/>
      <c r="L67" s="57"/>
      <c r="M67" s="57"/>
      <c r="N67" s="57"/>
      <c r="O67" s="57"/>
      <c r="P67" s="57"/>
      <c r="Q67" s="57"/>
      <c r="R67" s="57"/>
      <c r="S67" s="57"/>
      <c r="T67" s="57"/>
      <c r="U67" s="247"/>
      <c r="V67" s="57"/>
      <c r="W67" s="57"/>
      <c r="X67" s="57"/>
      <c r="Y67" s="57"/>
      <c r="Z67" s="57"/>
    </row>
    <row r="68" spans="1:26" hidden="1">
      <c r="A68" s="59">
        <v>24</v>
      </c>
      <c r="B68" s="57"/>
      <c r="C68" s="57"/>
      <c r="D68" s="57"/>
      <c r="E68" s="57"/>
      <c r="F68" s="57"/>
      <c r="G68" s="57"/>
      <c r="H68" s="57"/>
      <c r="I68" s="57"/>
      <c r="J68" s="57"/>
      <c r="K68" s="57"/>
      <c r="L68" s="57"/>
      <c r="M68" s="57"/>
      <c r="N68" s="57"/>
      <c r="O68" s="57"/>
      <c r="P68" s="57"/>
      <c r="Q68" s="57"/>
      <c r="R68" s="57"/>
      <c r="S68" s="57"/>
      <c r="T68" s="57"/>
      <c r="U68" s="247"/>
      <c r="V68" s="57"/>
      <c r="W68" s="57"/>
      <c r="X68" s="57"/>
      <c r="Y68" s="57"/>
      <c r="Z68" s="57"/>
    </row>
    <row r="69" spans="1:26" hidden="1">
      <c r="A69" s="59">
        <v>25</v>
      </c>
      <c r="B69" s="57"/>
      <c r="C69" s="57"/>
      <c r="D69" s="57"/>
      <c r="E69" s="57"/>
      <c r="F69" s="57"/>
      <c r="G69" s="57"/>
      <c r="H69" s="57"/>
      <c r="I69" s="57"/>
      <c r="J69" s="57"/>
      <c r="K69" s="57"/>
      <c r="L69" s="57"/>
      <c r="M69" s="57"/>
      <c r="N69" s="57"/>
      <c r="O69" s="57"/>
      <c r="P69" s="57"/>
      <c r="Q69" s="57"/>
      <c r="R69" s="57"/>
      <c r="S69" s="57"/>
      <c r="T69" s="57"/>
      <c r="U69" s="247"/>
      <c r="V69" s="57"/>
      <c r="W69" s="57"/>
      <c r="X69" s="57"/>
      <c r="Y69" s="57"/>
      <c r="Z69" s="57"/>
    </row>
    <row r="70" spans="1:26" hidden="1">
      <c r="A70" s="59">
        <v>26</v>
      </c>
      <c r="B70" s="57"/>
      <c r="C70" s="57"/>
      <c r="D70" s="57"/>
      <c r="E70" s="57"/>
      <c r="F70" s="57"/>
      <c r="G70" s="57"/>
      <c r="H70" s="57"/>
      <c r="I70" s="57"/>
      <c r="J70" s="57"/>
      <c r="K70" s="57"/>
      <c r="L70" s="57"/>
      <c r="M70" s="57"/>
      <c r="N70" s="57"/>
      <c r="O70" s="57"/>
      <c r="P70" s="57"/>
      <c r="Q70" s="57"/>
      <c r="R70" s="57"/>
      <c r="S70" s="57"/>
      <c r="T70" s="57"/>
      <c r="U70" s="247"/>
      <c r="V70" s="57"/>
      <c r="W70" s="57"/>
      <c r="X70" s="57"/>
      <c r="Y70" s="57"/>
      <c r="Z70" s="57"/>
    </row>
    <row r="71" spans="1:26" hidden="1">
      <c r="A71" s="59">
        <v>27</v>
      </c>
      <c r="B71" s="57"/>
      <c r="C71" s="57"/>
      <c r="D71" s="57"/>
      <c r="E71" s="57"/>
      <c r="F71" s="57"/>
      <c r="G71" s="57"/>
      <c r="H71" s="57"/>
      <c r="I71" s="57"/>
      <c r="J71" s="57"/>
      <c r="K71" s="57"/>
      <c r="L71" s="57"/>
      <c r="M71" s="57"/>
      <c r="N71" s="57"/>
      <c r="O71" s="57"/>
      <c r="P71" s="57"/>
      <c r="Q71" s="57"/>
      <c r="R71" s="57"/>
      <c r="S71" s="57"/>
      <c r="T71" s="57"/>
      <c r="U71" s="247"/>
      <c r="V71" s="57"/>
      <c r="W71" s="57"/>
      <c r="X71" s="57"/>
      <c r="Y71" s="57"/>
      <c r="Z71" s="57"/>
    </row>
    <row r="72" spans="1:26" hidden="1">
      <c r="A72" s="59">
        <v>28</v>
      </c>
      <c r="B72" s="57"/>
      <c r="C72" s="57"/>
      <c r="D72" s="57"/>
      <c r="E72" s="57"/>
      <c r="F72" s="57"/>
      <c r="G72" s="57"/>
      <c r="H72" s="57"/>
      <c r="I72" s="57"/>
      <c r="J72" s="57"/>
      <c r="K72" s="57"/>
      <c r="L72" s="57"/>
      <c r="M72" s="57"/>
      <c r="N72" s="57"/>
      <c r="O72" s="57"/>
      <c r="P72" s="57"/>
      <c r="Q72" s="57"/>
      <c r="R72" s="57"/>
      <c r="S72" s="57"/>
      <c r="T72" s="57"/>
      <c r="U72" s="247"/>
      <c r="V72" s="57"/>
      <c r="W72" s="57"/>
      <c r="X72" s="57"/>
      <c r="Y72" s="57"/>
      <c r="Z72" s="57"/>
    </row>
    <row r="73" spans="1:26" hidden="1">
      <c r="A73" s="59">
        <v>29</v>
      </c>
      <c r="B73" s="57"/>
      <c r="C73" s="57"/>
      <c r="D73" s="57"/>
      <c r="E73" s="57"/>
      <c r="F73" s="57"/>
      <c r="G73" s="57"/>
      <c r="H73" s="57"/>
      <c r="I73" s="57"/>
      <c r="J73" s="57"/>
      <c r="K73" s="57"/>
      <c r="L73" s="57"/>
      <c r="M73" s="57"/>
      <c r="N73" s="57"/>
      <c r="O73" s="57"/>
      <c r="P73" s="57"/>
      <c r="Q73" s="57"/>
      <c r="R73" s="57"/>
      <c r="S73" s="57"/>
      <c r="T73" s="57"/>
      <c r="U73" s="247"/>
      <c r="V73" s="57"/>
      <c r="W73" s="57"/>
      <c r="X73" s="57"/>
      <c r="Y73" s="57"/>
      <c r="Z73" s="57"/>
    </row>
    <row r="74" spans="1:26" hidden="1">
      <c r="A74" s="59">
        <v>30</v>
      </c>
      <c r="B74" s="57"/>
      <c r="C74" s="57"/>
      <c r="D74" s="57"/>
      <c r="E74" s="57"/>
      <c r="F74" s="57"/>
      <c r="G74" s="57"/>
      <c r="H74" s="57"/>
      <c r="I74" s="57"/>
      <c r="J74" s="57"/>
      <c r="K74" s="57"/>
      <c r="L74" s="57"/>
      <c r="M74" s="57"/>
      <c r="N74" s="57"/>
      <c r="O74" s="57"/>
      <c r="P74" s="57"/>
      <c r="Q74" s="57"/>
      <c r="R74" s="57"/>
      <c r="S74" s="57"/>
      <c r="T74" s="57"/>
      <c r="U74" s="247"/>
      <c r="V74" s="57"/>
      <c r="W74" s="57"/>
      <c r="X74" s="57"/>
      <c r="Y74" s="57"/>
      <c r="Z74" s="57"/>
    </row>
    <row r="75" spans="1:26" hidden="1">
      <c r="A75" s="59">
        <v>31</v>
      </c>
      <c r="B75" s="57"/>
      <c r="C75" s="57"/>
      <c r="D75" s="57"/>
      <c r="E75" s="57"/>
      <c r="F75" s="57"/>
      <c r="G75" s="57"/>
      <c r="H75" s="57"/>
      <c r="I75" s="57"/>
      <c r="J75" s="57"/>
      <c r="K75" s="57"/>
      <c r="L75" s="57"/>
      <c r="M75" s="57"/>
      <c r="N75" s="57"/>
      <c r="O75" s="57"/>
      <c r="P75" s="57"/>
      <c r="Q75" s="57"/>
      <c r="R75" s="57"/>
      <c r="S75" s="57"/>
      <c r="T75" s="57"/>
      <c r="U75" s="247"/>
      <c r="V75" s="57"/>
      <c r="W75" s="57"/>
      <c r="X75" s="57"/>
      <c r="Y75" s="57"/>
      <c r="Z75" s="57"/>
    </row>
    <row r="76" spans="1:26" hidden="1">
      <c r="A76" s="59">
        <v>32</v>
      </c>
      <c r="B76" s="57"/>
      <c r="C76" s="57"/>
      <c r="D76" s="57"/>
      <c r="E76" s="57"/>
      <c r="F76" s="57"/>
      <c r="G76" s="57"/>
      <c r="H76" s="57"/>
      <c r="I76" s="57"/>
      <c r="J76" s="57"/>
      <c r="K76" s="57"/>
      <c r="L76" s="57"/>
      <c r="M76" s="57"/>
      <c r="N76" s="57"/>
      <c r="O76" s="57"/>
      <c r="P76" s="57"/>
      <c r="Q76" s="57"/>
      <c r="R76" s="57"/>
      <c r="S76" s="57"/>
      <c r="T76" s="57"/>
      <c r="U76" s="247"/>
      <c r="V76" s="57"/>
      <c r="W76" s="57"/>
      <c r="X76" s="57"/>
      <c r="Y76" s="57"/>
      <c r="Z76" s="57"/>
    </row>
    <row r="77" spans="1:26" hidden="1">
      <c r="A77" s="59">
        <v>33</v>
      </c>
      <c r="B77" s="57"/>
      <c r="C77" s="57"/>
      <c r="D77" s="57"/>
      <c r="E77" s="57"/>
      <c r="F77" s="57"/>
      <c r="G77" s="57"/>
      <c r="H77" s="57"/>
      <c r="I77" s="57"/>
      <c r="J77" s="57"/>
      <c r="K77" s="57"/>
      <c r="L77" s="57"/>
      <c r="M77" s="57"/>
      <c r="N77" s="57"/>
      <c r="O77" s="57"/>
      <c r="P77" s="57"/>
      <c r="Q77" s="57"/>
      <c r="R77" s="57"/>
      <c r="S77" s="57"/>
      <c r="T77" s="57"/>
      <c r="U77" s="247"/>
      <c r="V77" s="57"/>
      <c r="W77" s="57"/>
      <c r="X77" s="57"/>
      <c r="Y77" s="57"/>
      <c r="Z77" s="57"/>
    </row>
    <row r="78" spans="1:26" hidden="1">
      <c r="A78" s="59">
        <v>34</v>
      </c>
      <c r="B78" s="57"/>
      <c r="C78" s="57"/>
      <c r="D78" s="57"/>
      <c r="E78" s="57"/>
      <c r="F78" s="57"/>
      <c r="G78" s="57"/>
      <c r="H78" s="57"/>
      <c r="I78" s="57"/>
      <c r="J78" s="57"/>
      <c r="K78" s="57"/>
      <c r="L78" s="57"/>
      <c r="M78" s="57"/>
      <c r="N78" s="57"/>
      <c r="O78" s="57"/>
      <c r="P78" s="57"/>
      <c r="Q78" s="57"/>
      <c r="R78" s="57"/>
      <c r="S78" s="57"/>
      <c r="T78" s="57"/>
      <c r="U78" s="247"/>
      <c r="V78" s="57"/>
      <c r="W78" s="57"/>
      <c r="X78" s="57"/>
      <c r="Y78" s="57"/>
      <c r="Z78" s="57"/>
    </row>
    <row r="79" spans="1:26" hidden="1">
      <c r="A79" s="59">
        <v>35</v>
      </c>
      <c r="B79" s="57"/>
      <c r="C79" s="57"/>
      <c r="D79" s="57"/>
      <c r="E79" s="57"/>
      <c r="F79" s="57"/>
      <c r="G79" s="57"/>
      <c r="H79" s="57"/>
      <c r="I79" s="57"/>
      <c r="J79" s="57"/>
      <c r="K79" s="57"/>
      <c r="L79" s="57"/>
      <c r="M79" s="57"/>
      <c r="N79" s="57"/>
      <c r="O79" s="57"/>
      <c r="P79" s="57"/>
      <c r="Q79" s="57"/>
      <c r="R79" s="57"/>
      <c r="S79" s="57"/>
      <c r="T79" s="57"/>
      <c r="U79" s="247"/>
      <c r="V79" s="57"/>
      <c r="W79" s="57"/>
      <c r="X79" s="57"/>
      <c r="Y79" s="57"/>
      <c r="Z79" s="57"/>
    </row>
    <row r="80" spans="1:26" hidden="1">
      <c r="A80" s="59">
        <v>36</v>
      </c>
      <c r="B80" s="57"/>
      <c r="C80" s="57"/>
      <c r="D80" s="57"/>
      <c r="E80" s="57"/>
      <c r="F80" s="57"/>
      <c r="G80" s="57"/>
      <c r="H80" s="57"/>
      <c r="I80" s="57"/>
      <c r="J80" s="57"/>
      <c r="K80" s="57"/>
      <c r="L80" s="57"/>
      <c r="M80" s="57"/>
      <c r="N80" s="57"/>
      <c r="O80" s="57"/>
      <c r="P80" s="57"/>
      <c r="Q80" s="57"/>
      <c r="R80" s="57"/>
      <c r="S80" s="57"/>
      <c r="T80" s="57"/>
      <c r="U80" s="247"/>
      <c r="V80" s="57"/>
      <c r="W80" s="57"/>
      <c r="X80" s="57"/>
      <c r="Y80" s="57"/>
      <c r="Z80" s="57"/>
    </row>
    <row r="81" spans="1:26" hidden="1">
      <c r="A81" s="59">
        <v>37</v>
      </c>
      <c r="B81" s="57"/>
      <c r="C81" s="57"/>
      <c r="D81" s="57"/>
      <c r="E81" s="57"/>
      <c r="F81" s="57"/>
      <c r="G81" s="57"/>
      <c r="H81" s="57"/>
      <c r="I81" s="57"/>
      <c r="J81" s="57"/>
      <c r="K81" s="57"/>
      <c r="L81" s="57"/>
      <c r="M81" s="57"/>
      <c r="N81" s="57"/>
      <c r="O81" s="57"/>
      <c r="P81" s="57"/>
      <c r="Q81" s="57"/>
      <c r="R81" s="57"/>
      <c r="S81" s="57"/>
      <c r="T81" s="57"/>
      <c r="U81" s="247"/>
      <c r="V81" s="57"/>
      <c r="W81" s="57"/>
      <c r="X81" s="57"/>
      <c r="Y81" s="57"/>
      <c r="Z81" s="57"/>
    </row>
    <row r="82" spans="1:26" hidden="1">
      <c r="A82" s="59">
        <v>38</v>
      </c>
      <c r="B82" s="57"/>
      <c r="C82" s="57"/>
      <c r="D82" s="57"/>
      <c r="E82" s="57"/>
      <c r="F82" s="57"/>
      <c r="G82" s="57"/>
      <c r="H82" s="57"/>
      <c r="I82" s="57"/>
      <c r="J82" s="57"/>
      <c r="K82" s="57"/>
      <c r="L82" s="57"/>
      <c r="M82" s="57"/>
      <c r="N82" s="57"/>
      <c r="O82" s="57"/>
      <c r="P82" s="57"/>
      <c r="Q82" s="57"/>
      <c r="R82" s="57"/>
      <c r="S82" s="57"/>
      <c r="T82" s="57"/>
      <c r="U82" s="247"/>
      <c r="V82" s="57"/>
      <c r="W82" s="57"/>
      <c r="X82" s="57"/>
      <c r="Y82" s="57"/>
      <c r="Z82" s="57"/>
    </row>
    <row r="83" spans="1:26" hidden="1">
      <c r="A83" s="59">
        <v>39</v>
      </c>
    </row>
    <row r="84" spans="1:26" hidden="1">
      <c r="A84" s="59">
        <v>40</v>
      </c>
    </row>
    <row r="85" spans="1:26" hidden="1">
      <c r="A85" s="59"/>
    </row>
    <row r="86" spans="1:26">
      <c r="A86" s="59"/>
    </row>
    <row r="87" spans="1:26">
      <c r="A87" s="59"/>
    </row>
    <row r="88" spans="1:26">
      <c r="A88" s="59"/>
    </row>
    <row r="89" spans="1:26">
      <c r="A89" s="59"/>
    </row>
    <row r="90" spans="1:26">
      <c r="A90" s="59"/>
    </row>
    <row r="91" spans="1:26">
      <c r="A91" s="59"/>
    </row>
    <row r="92" spans="1:26">
      <c r="A92" s="59"/>
    </row>
    <row r="93" spans="1:26">
      <c r="A93" s="59"/>
    </row>
  </sheetData>
  <sheetProtection algorithmName="SHA-512" hashValue="765TmzWxpissg+Q4WbT9eQdkf0ceInxUOrjkyfTF2oDhVG1HCFDy12QrhziYbs0aripsgEU2MYmlewDz3lUVkw==" saltValue="A2eC47YbhFN5UTrQraaaFg==" spinCount="100000" sheet="1" selectLockedCells="1"/>
  <protectedRanges>
    <protectedRange sqref="D7:F17 U7:U11 H15:H17 U14 G7:H14 P17:Q17 P9:P11 Q15:Q16 P14:Q14 I7:K17 L9:M17 Q7:Q13 L7:M7 N8:O17 P7 R7:T17" name="Range1"/>
    <protectedRange sqref="U12:U13 U15:U19" name="Range2"/>
    <protectedRange sqref="T20:U21 F21:I21 I20 J20:P21 Q20:S20" name="Range3"/>
    <protectedRange sqref="U23:U25 Q33:T33 I23:T32" name="Range5"/>
    <protectedRange sqref="L33" name="Range9"/>
    <protectedRange sqref="H35:J37" name="Range10"/>
    <protectedRange sqref="S35:T36" name="Range11"/>
  </protectedRanges>
  <mergeCells count="62">
    <mergeCell ref="W5:Y5"/>
    <mergeCell ref="C7:H7"/>
    <mergeCell ref="I8:N8"/>
    <mergeCell ref="I9:N9"/>
    <mergeCell ref="C11:J11"/>
    <mergeCell ref="D15:F15"/>
    <mergeCell ref="J15:L15"/>
    <mergeCell ref="O15:P15"/>
    <mergeCell ref="R15:S15"/>
    <mergeCell ref="C4:T4"/>
    <mergeCell ref="D12:F12"/>
    <mergeCell ref="J12:L12"/>
    <mergeCell ref="O12:P12"/>
    <mergeCell ref="R12:S12"/>
    <mergeCell ref="C14:I14"/>
    <mergeCell ref="C17:L17"/>
    <mergeCell ref="R18:T18"/>
    <mergeCell ref="C20:I20"/>
    <mergeCell ref="R21:T21"/>
    <mergeCell ref="D23:K23"/>
    <mergeCell ref="L23:N23"/>
    <mergeCell ref="O23:Q23"/>
    <mergeCell ref="R23:T23"/>
    <mergeCell ref="D24:K24"/>
    <mergeCell ref="L24:N24"/>
    <mergeCell ref="O24:Q24"/>
    <mergeCell ref="R24:T24"/>
    <mergeCell ref="D25:K25"/>
    <mergeCell ref="L25:N25"/>
    <mergeCell ref="O25:Q25"/>
    <mergeCell ref="R25:T25"/>
    <mergeCell ref="D26:K26"/>
    <mergeCell ref="L26:N26"/>
    <mergeCell ref="O26:Q26"/>
    <mergeCell ref="R26:T26"/>
    <mergeCell ref="D27:K27"/>
    <mergeCell ref="L27:N27"/>
    <mergeCell ref="O27:Q27"/>
    <mergeCell ref="R27:T27"/>
    <mergeCell ref="D28:K28"/>
    <mergeCell ref="L28:N28"/>
    <mergeCell ref="O28:Q28"/>
    <mergeCell ref="R28:T28"/>
    <mergeCell ref="D29:K29"/>
    <mergeCell ref="L29:N29"/>
    <mergeCell ref="O29:Q29"/>
    <mergeCell ref="R29:T29"/>
    <mergeCell ref="D30:K30"/>
    <mergeCell ref="L30:N30"/>
    <mergeCell ref="O30:Q30"/>
    <mergeCell ref="R30:T30"/>
    <mergeCell ref="D31:K31"/>
    <mergeCell ref="L31:N31"/>
    <mergeCell ref="O31:Q31"/>
    <mergeCell ref="R31:T31"/>
    <mergeCell ref="R36:T36"/>
    <mergeCell ref="D32:K32"/>
    <mergeCell ref="L32:N32"/>
    <mergeCell ref="O32:Q32"/>
    <mergeCell ref="R32:T32"/>
    <mergeCell ref="R33:T33"/>
    <mergeCell ref="C35:G35"/>
  </mergeCells>
  <dataValidations count="1">
    <dataValidation type="list" allowBlank="1" showErrorMessage="1" errorTitle="Input not valid" error="Please select the year by pushing the drop-down arrow and clicking the correct year" prompt="Select the year" sqref="WVK983064:WVK983072 IY24:IY32 SU24:SU32 ACQ24:ACQ32 AMM24:AMM32 AWI24:AWI32 BGE24:BGE32 BQA24:BQA32 BZW24:BZW32 CJS24:CJS32 CTO24:CTO32 DDK24:DDK32 DNG24:DNG32 DXC24:DXC32 EGY24:EGY32 EQU24:EQU32 FAQ24:FAQ32 FKM24:FKM32 FUI24:FUI32 GEE24:GEE32 GOA24:GOA32 GXW24:GXW32 HHS24:HHS32 HRO24:HRO32 IBK24:IBK32 ILG24:ILG32 IVC24:IVC32 JEY24:JEY32 JOU24:JOU32 JYQ24:JYQ32 KIM24:KIM32 KSI24:KSI32 LCE24:LCE32 LMA24:LMA32 LVW24:LVW32 MFS24:MFS32 MPO24:MPO32 MZK24:MZK32 NJG24:NJG32 NTC24:NTC32 OCY24:OCY32 OMU24:OMU32 OWQ24:OWQ32 PGM24:PGM32 PQI24:PQI32 QAE24:QAE32 QKA24:QKA32 QTW24:QTW32 RDS24:RDS32 RNO24:RNO32 RXK24:RXK32 SHG24:SHG32 SRC24:SRC32 TAY24:TAY32 TKU24:TKU32 TUQ24:TUQ32 UEM24:UEM32 UOI24:UOI32 UYE24:UYE32 VIA24:VIA32 VRW24:VRW32 WBS24:WBS32 WLO24:WLO32 WVK24:WVK32 C65560:C65568 IY65560:IY65568 SU65560:SU65568 ACQ65560:ACQ65568 AMM65560:AMM65568 AWI65560:AWI65568 BGE65560:BGE65568 BQA65560:BQA65568 BZW65560:BZW65568 CJS65560:CJS65568 CTO65560:CTO65568 DDK65560:DDK65568 DNG65560:DNG65568 DXC65560:DXC65568 EGY65560:EGY65568 EQU65560:EQU65568 FAQ65560:FAQ65568 FKM65560:FKM65568 FUI65560:FUI65568 GEE65560:GEE65568 GOA65560:GOA65568 GXW65560:GXW65568 HHS65560:HHS65568 HRO65560:HRO65568 IBK65560:IBK65568 ILG65560:ILG65568 IVC65560:IVC65568 JEY65560:JEY65568 JOU65560:JOU65568 JYQ65560:JYQ65568 KIM65560:KIM65568 KSI65560:KSI65568 LCE65560:LCE65568 LMA65560:LMA65568 LVW65560:LVW65568 MFS65560:MFS65568 MPO65560:MPO65568 MZK65560:MZK65568 NJG65560:NJG65568 NTC65560:NTC65568 OCY65560:OCY65568 OMU65560:OMU65568 OWQ65560:OWQ65568 PGM65560:PGM65568 PQI65560:PQI65568 QAE65560:QAE65568 QKA65560:QKA65568 QTW65560:QTW65568 RDS65560:RDS65568 RNO65560:RNO65568 RXK65560:RXK65568 SHG65560:SHG65568 SRC65560:SRC65568 TAY65560:TAY65568 TKU65560:TKU65568 TUQ65560:TUQ65568 UEM65560:UEM65568 UOI65560:UOI65568 UYE65560:UYE65568 VIA65560:VIA65568 VRW65560:VRW65568 WBS65560:WBS65568 WLO65560:WLO65568 WVK65560:WVK65568 C131096:C131104 IY131096:IY131104 SU131096:SU131104 ACQ131096:ACQ131104 AMM131096:AMM131104 AWI131096:AWI131104 BGE131096:BGE131104 BQA131096:BQA131104 BZW131096:BZW131104 CJS131096:CJS131104 CTO131096:CTO131104 DDK131096:DDK131104 DNG131096:DNG131104 DXC131096:DXC131104 EGY131096:EGY131104 EQU131096:EQU131104 FAQ131096:FAQ131104 FKM131096:FKM131104 FUI131096:FUI131104 GEE131096:GEE131104 GOA131096:GOA131104 GXW131096:GXW131104 HHS131096:HHS131104 HRO131096:HRO131104 IBK131096:IBK131104 ILG131096:ILG131104 IVC131096:IVC131104 JEY131096:JEY131104 JOU131096:JOU131104 JYQ131096:JYQ131104 KIM131096:KIM131104 KSI131096:KSI131104 LCE131096:LCE131104 LMA131096:LMA131104 LVW131096:LVW131104 MFS131096:MFS131104 MPO131096:MPO131104 MZK131096:MZK131104 NJG131096:NJG131104 NTC131096:NTC131104 OCY131096:OCY131104 OMU131096:OMU131104 OWQ131096:OWQ131104 PGM131096:PGM131104 PQI131096:PQI131104 QAE131096:QAE131104 QKA131096:QKA131104 QTW131096:QTW131104 RDS131096:RDS131104 RNO131096:RNO131104 RXK131096:RXK131104 SHG131096:SHG131104 SRC131096:SRC131104 TAY131096:TAY131104 TKU131096:TKU131104 TUQ131096:TUQ131104 UEM131096:UEM131104 UOI131096:UOI131104 UYE131096:UYE131104 VIA131096:VIA131104 VRW131096:VRW131104 WBS131096:WBS131104 WLO131096:WLO131104 WVK131096:WVK131104 C196632:C196640 IY196632:IY196640 SU196632:SU196640 ACQ196632:ACQ196640 AMM196632:AMM196640 AWI196632:AWI196640 BGE196632:BGE196640 BQA196632:BQA196640 BZW196632:BZW196640 CJS196632:CJS196640 CTO196632:CTO196640 DDK196632:DDK196640 DNG196632:DNG196640 DXC196632:DXC196640 EGY196632:EGY196640 EQU196632:EQU196640 FAQ196632:FAQ196640 FKM196632:FKM196640 FUI196632:FUI196640 GEE196632:GEE196640 GOA196632:GOA196640 GXW196632:GXW196640 HHS196632:HHS196640 HRO196632:HRO196640 IBK196632:IBK196640 ILG196632:ILG196640 IVC196632:IVC196640 JEY196632:JEY196640 JOU196632:JOU196640 JYQ196632:JYQ196640 KIM196632:KIM196640 KSI196632:KSI196640 LCE196632:LCE196640 LMA196632:LMA196640 LVW196632:LVW196640 MFS196632:MFS196640 MPO196632:MPO196640 MZK196632:MZK196640 NJG196632:NJG196640 NTC196632:NTC196640 OCY196632:OCY196640 OMU196632:OMU196640 OWQ196632:OWQ196640 PGM196632:PGM196640 PQI196632:PQI196640 QAE196632:QAE196640 QKA196632:QKA196640 QTW196632:QTW196640 RDS196632:RDS196640 RNO196632:RNO196640 RXK196632:RXK196640 SHG196632:SHG196640 SRC196632:SRC196640 TAY196632:TAY196640 TKU196632:TKU196640 TUQ196632:TUQ196640 UEM196632:UEM196640 UOI196632:UOI196640 UYE196632:UYE196640 VIA196632:VIA196640 VRW196632:VRW196640 WBS196632:WBS196640 WLO196632:WLO196640 WVK196632:WVK196640 C262168:C262176 IY262168:IY262176 SU262168:SU262176 ACQ262168:ACQ262176 AMM262168:AMM262176 AWI262168:AWI262176 BGE262168:BGE262176 BQA262168:BQA262176 BZW262168:BZW262176 CJS262168:CJS262176 CTO262168:CTO262176 DDK262168:DDK262176 DNG262168:DNG262176 DXC262168:DXC262176 EGY262168:EGY262176 EQU262168:EQU262176 FAQ262168:FAQ262176 FKM262168:FKM262176 FUI262168:FUI262176 GEE262168:GEE262176 GOA262168:GOA262176 GXW262168:GXW262176 HHS262168:HHS262176 HRO262168:HRO262176 IBK262168:IBK262176 ILG262168:ILG262176 IVC262168:IVC262176 JEY262168:JEY262176 JOU262168:JOU262176 JYQ262168:JYQ262176 KIM262168:KIM262176 KSI262168:KSI262176 LCE262168:LCE262176 LMA262168:LMA262176 LVW262168:LVW262176 MFS262168:MFS262176 MPO262168:MPO262176 MZK262168:MZK262176 NJG262168:NJG262176 NTC262168:NTC262176 OCY262168:OCY262176 OMU262168:OMU262176 OWQ262168:OWQ262176 PGM262168:PGM262176 PQI262168:PQI262176 QAE262168:QAE262176 QKA262168:QKA262176 QTW262168:QTW262176 RDS262168:RDS262176 RNO262168:RNO262176 RXK262168:RXK262176 SHG262168:SHG262176 SRC262168:SRC262176 TAY262168:TAY262176 TKU262168:TKU262176 TUQ262168:TUQ262176 UEM262168:UEM262176 UOI262168:UOI262176 UYE262168:UYE262176 VIA262168:VIA262176 VRW262168:VRW262176 WBS262168:WBS262176 WLO262168:WLO262176 WVK262168:WVK262176 C327704:C327712 IY327704:IY327712 SU327704:SU327712 ACQ327704:ACQ327712 AMM327704:AMM327712 AWI327704:AWI327712 BGE327704:BGE327712 BQA327704:BQA327712 BZW327704:BZW327712 CJS327704:CJS327712 CTO327704:CTO327712 DDK327704:DDK327712 DNG327704:DNG327712 DXC327704:DXC327712 EGY327704:EGY327712 EQU327704:EQU327712 FAQ327704:FAQ327712 FKM327704:FKM327712 FUI327704:FUI327712 GEE327704:GEE327712 GOA327704:GOA327712 GXW327704:GXW327712 HHS327704:HHS327712 HRO327704:HRO327712 IBK327704:IBK327712 ILG327704:ILG327712 IVC327704:IVC327712 JEY327704:JEY327712 JOU327704:JOU327712 JYQ327704:JYQ327712 KIM327704:KIM327712 KSI327704:KSI327712 LCE327704:LCE327712 LMA327704:LMA327712 LVW327704:LVW327712 MFS327704:MFS327712 MPO327704:MPO327712 MZK327704:MZK327712 NJG327704:NJG327712 NTC327704:NTC327712 OCY327704:OCY327712 OMU327704:OMU327712 OWQ327704:OWQ327712 PGM327704:PGM327712 PQI327704:PQI327712 QAE327704:QAE327712 QKA327704:QKA327712 QTW327704:QTW327712 RDS327704:RDS327712 RNO327704:RNO327712 RXK327704:RXK327712 SHG327704:SHG327712 SRC327704:SRC327712 TAY327704:TAY327712 TKU327704:TKU327712 TUQ327704:TUQ327712 UEM327704:UEM327712 UOI327704:UOI327712 UYE327704:UYE327712 VIA327704:VIA327712 VRW327704:VRW327712 WBS327704:WBS327712 WLO327704:WLO327712 WVK327704:WVK327712 C393240:C393248 IY393240:IY393248 SU393240:SU393248 ACQ393240:ACQ393248 AMM393240:AMM393248 AWI393240:AWI393248 BGE393240:BGE393248 BQA393240:BQA393248 BZW393240:BZW393248 CJS393240:CJS393248 CTO393240:CTO393248 DDK393240:DDK393248 DNG393240:DNG393248 DXC393240:DXC393248 EGY393240:EGY393248 EQU393240:EQU393248 FAQ393240:FAQ393248 FKM393240:FKM393248 FUI393240:FUI393248 GEE393240:GEE393248 GOA393240:GOA393248 GXW393240:GXW393248 HHS393240:HHS393248 HRO393240:HRO393248 IBK393240:IBK393248 ILG393240:ILG393248 IVC393240:IVC393248 JEY393240:JEY393248 JOU393240:JOU393248 JYQ393240:JYQ393248 KIM393240:KIM393248 KSI393240:KSI393248 LCE393240:LCE393248 LMA393240:LMA393248 LVW393240:LVW393248 MFS393240:MFS393248 MPO393240:MPO393248 MZK393240:MZK393248 NJG393240:NJG393248 NTC393240:NTC393248 OCY393240:OCY393248 OMU393240:OMU393248 OWQ393240:OWQ393248 PGM393240:PGM393248 PQI393240:PQI393248 QAE393240:QAE393248 QKA393240:QKA393248 QTW393240:QTW393248 RDS393240:RDS393248 RNO393240:RNO393248 RXK393240:RXK393248 SHG393240:SHG393248 SRC393240:SRC393248 TAY393240:TAY393248 TKU393240:TKU393248 TUQ393240:TUQ393248 UEM393240:UEM393248 UOI393240:UOI393248 UYE393240:UYE393248 VIA393240:VIA393248 VRW393240:VRW393248 WBS393240:WBS393248 WLO393240:WLO393248 WVK393240:WVK393248 C458776:C458784 IY458776:IY458784 SU458776:SU458784 ACQ458776:ACQ458784 AMM458776:AMM458784 AWI458776:AWI458784 BGE458776:BGE458784 BQA458776:BQA458784 BZW458776:BZW458784 CJS458776:CJS458784 CTO458776:CTO458784 DDK458776:DDK458784 DNG458776:DNG458784 DXC458776:DXC458784 EGY458776:EGY458784 EQU458776:EQU458784 FAQ458776:FAQ458784 FKM458776:FKM458784 FUI458776:FUI458784 GEE458776:GEE458784 GOA458776:GOA458784 GXW458776:GXW458784 HHS458776:HHS458784 HRO458776:HRO458784 IBK458776:IBK458784 ILG458776:ILG458784 IVC458776:IVC458784 JEY458776:JEY458784 JOU458776:JOU458784 JYQ458776:JYQ458784 KIM458776:KIM458784 KSI458776:KSI458784 LCE458776:LCE458784 LMA458776:LMA458784 LVW458776:LVW458784 MFS458776:MFS458784 MPO458776:MPO458784 MZK458776:MZK458784 NJG458776:NJG458784 NTC458776:NTC458784 OCY458776:OCY458784 OMU458776:OMU458784 OWQ458776:OWQ458784 PGM458776:PGM458784 PQI458776:PQI458784 QAE458776:QAE458784 QKA458776:QKA458784 QTW458776:QTW458784 RDS458776:RDS458784 RNO458776:RNO458784 RXK458776:RXK458784 SHG458776:SHG458784 SRC458776:SRC458784 TAY458776:TAY458784 TKU458776:TKU458784 TUQ458776:TUQ458784 UEM458776:UEM458784 UOI458776:UOI458784 UYE458776:UYE458784 VIA458776:VIA458784 VRW458776:VRW458784 WBS458776:WBS458784 WLO458776:WLO458784 WVK458776:WVK458784 C524312:C524320 IY524312:IY524320 SU524312:SU524320 ACQ524312:ACQ524320 AMM524312:AMM524320 AWI524312:AWI524320 BGE524312:BGE524320 BQA524312:BQA524320 BZW524312:BZW524320 CJS524312:CJS524320 CTO524312:CTO524320 DDK524312:DDK524320 DNG524312:DNG524320 DXC524312:DXC524320 EGY524312:EGY524320 EQU524312:EQU524320 FAQ524312:FAQ524320 FKM524312:FKM524320 FUI524312:FUI524320 GEE524312:GEE524320 GOA524312:GOA524320 GXW524312:GXW524320 HHS524312:HHS524320 HRO524312:HRO524320 IBK524312:IBK524320 ILG524312:ILG524320 IVC524312:IVC524320 JEY524312:JEY524320 JOU524312:JOU524320 JYQ524312:JYQ524320 KIM524312:KIM524320 KSI524312:KSI524320 LCE524312:LCE524320 LMA524312:LMA524320 LVW524312:LVW524320 MFS524312:MFS524320 MPO524312:MPO524320 MZK524312:MZK524320 NJG524312:NJG524320 NTC524312:NTC524320 OCY524312:OCY524320 OMU524312:OMU524320 OWQ524312:OWQ524320 PGM524312:PGM524320 PQI524312:PQI524320 QAE524312:QAE524320 QKA524312:QKA524320 QTW524312:QTW524320 RDS524312:RDS524320 RNO524312:RNO524320 RXK524312:RXK524320 SHG524312:SHG524320 SRC524312:SRC524320 TAY524312:TAY524320 TKU524312:TKU524320 TUQ524312:TUQ524320 UEM524312:UEM524320 UOI524312:UOI524320 UYE524312:UYE524320 VIA524312:VIA524320 VRW524312:VRW524320 WBS524312:WBS524320 WLO524312:WLO524320 WVK524312:WVK524320 C589848:C589856 IY589848:IY589856 SU589848:SU589856 ACQ589848:ACQ589856 AMM589848:AMM589856 AWI589848:AWI589856 BGE589848:BGE589856 BQA589848:BQA589856 BZW589848:BZW589856 CJS589848:CJS589856 CTO589848:CTO589856 DDK589848:DDK589856 DNG589848:DNG589856 DXC589848:DXC589856 EGY589848:EGY589856 EQU589848:EQU589856 FAQ589848:FAQ589856 FKM589848:FKM589856 FUI589848:FUI589856 GEE589848:GEE589856 GOA589848:GOA589856 GXW589848:GXW589856 HHS589848:HHS589856 HRO589848:HRO589856 IBK589848:IBK589856 ILG589848:ILG589856 IVC589848:IVC589856 JEY589848:JEY589856 JOU589848:JOU589856 JYQ589848:JYQ589856 KIM589848:KIM589856 KSI589848:KSI589856 LCE589848:LCE589856 LMA589848:LMA589856 LVW589848:LVW589856 MFS589848:MFS589856 MPO589848:MPO589856 MZK589848:MZK589856 NJG589848:NJG589856 NTC589848:NTC589856 OCY589848:OCY589856 OMU589848:OMU589856 OWQ589848:OWQ589856 PGM589848:PGM589856 PQI589848:PQI589856 QAE589848:QAE589856 QKA589848:QKA589856 QTW589848:QTW589856 RDS589848:RDS589856 RNO589848:RNO589856 RXK589848:RXK589856 SHG589848:SHG589856 SRC589848:SRC589856 TAY589848:TAY589856 TKU589848:TKU589856 TUQ589848:TUQ589856 UEM589848:UEM589856 UOI589848:UOI589856 UYE589848:UYE589856 VIA589848:VIA589856 VRW589848:VRW589856 WBS589848:WBS589856 WLO589848:WLO589856 WVK589848:WVK589856 C655384:C655392 IY655384:IY655392 SU655384:SU655392 ACQ655384:ACQ655392 AMM655384:AMM655392 AWI655384:AWI655392 BGE655384:BGE655392 BQA655384:BQA655392 BZW655384:BZW655392 CJS655384:CJS655392 CTO655384:CTO655392 DDK655384:DDK655392 DNG655384:DNG655392 DXC655384:DXC655392 EGY655384:EGY655392 EQU655384:EQU655392 FAQ655384:FAQ655392 FKM655384:FKM655392 FUI655384:FUI655392 GEE655384:GEE655392 GOA655384:GOA655392 GXW655384:GXW655392 HHS655384:HHS655392 HRO655384:HRO655392 IBK655384:IBK655392 ILG655384:ILG655392 IVC655384:IVC655392 JEY655384:JEY655392 JOU655384:JOU655392 JYQ655384:JYQ655392 KIM655384:KIM655392 KSI655384:KSI655392 LCE655384:LCE655392 LMA655384:LMA655392 LVW655384:LVW655392 MFS655384:MFS655392 MPO655384:MPO655392 MZK655384:MZK655392 NJG655384:NJG655392 NTC655384:NTC655392 OCY655384:OCY655392 OMU655384:OMU655392 OWQ655384:OWQ655392 PGM655384:PGM655392 PQI655384:PQI655392 QAE655384:QAE655392 QKA655384:QKA655392 QTW655384:QTW655392 RDS655384:RDS655392 RNO655384:RNO655392 RXK655384:RXK655392 SHG655384:SHG655392 SRC655384:SRC655392 TAY655384:TAY655392 TKU655384:TKU655392 TUQ655384:TUQ655392 UEM655384:UEM655392 UOI655384:UOI655392 UYE655384:UYE655392 VIA655384:VIA655392 VRW655384:VRW655392 WBS655384:WBS655392 WLO655384:WLO655392 WVK655384:WVK655392 C720920:C720928 IY720920:IY720928 SU720920:SU720928 ACQ720920:ACQ720928 AMM720920:AMM720928 AWI720920:AWI720928 BGE720920:BGE720928 BQA720920:BQA720928 BZW720920:BZW720928 CJS720920:CJS720928 CTO720920:CTO720928 DDK720920:DDK720928 DNG720920:DNG720928 DXC720920:DXC720928 EGY720920:EGY720928 EQU720920:EQU720928 FAQ720920:FAQ720928 FKM720920:FKM720928 FUI720920:FUI720928 GEE720920:GEE720928 GOA720920:GOA720928 GXW720920:GXW720928 HHS720920:HHS720928 HRO720920:HRO720928 IBK720920:IBK720928 ILG720920:ILG720928 IVC720920:IVC720928 JEY720920:JEY720928 JOU720920:JOU720928 JYQ720920:JYQ720928 KIM720920:KIM720928 KSI720920:KSI720928 LCE720920:LCE720928 LMA720920:LMA720928 LVW720920:LVW720928 MFS720920:MFS720928 MPO720920:MPO720928 MZK720920:MZK720928 NJG720920:NJG720928 NTC720920:NTC720928 OCY720920:OCY720928 OMU720920:OMU720928 OWQ720920:OWQ720928 PGM720920:PGM720928 PQI720920:PQI720928 QAE720920:QAE720928 QKA720920:QKA720928 QTW720920:QTW720928 RDS720920:RDS720928 RNO720920:RNO720928 RXK720920:RXK720928 SHG720920:SHG720928 SRC720920:SRC720928 TAY720920:TAY720928 TKU720920:TKU720928 TUQ720920:TUQ720928 UEM720920:UEM720928 UOI720920:UOI720928 UYE720920:UYE720928 VIA720920:VIA720928 VRW720920:VRW720928 WBS720920:WBS720928 WLO720920:WLO720928 WVK720920:WVK720928 C786456:C786464 IY786456:IY786464 SU786456:SU786464 ACQ786456:ACQ786464 AMM786456:AMM786464 AWI786456:AWI786464 BGE786456:BGE786464 BQA786456:BQA786464 BZW786456:BZW786464 CJS786456:CJS786464 CTO786456:CTO786464 DDK786456:DDK786464 DNG786456:DNG786464 DXC786456:DXC786464 EGY786456:EGY786464 EQU786456:EQU786464 FAQ786456:FAQ786464 FKM786456:FKM786464 FUI786456:FUI786464 GEE786456:GEE786464 GOA786456:GOA786464 GXW786456:GXW786464 HHS786456:HHS786464 HRO786456:HRO786464 IBK786456:IBK786464 ILG786456:ILG786464 IVC786456:IVC786464 JEY786456:JEY786464 JOU786456:JOU786464 JYQ786456:JYQ786464 KIM786456:KIM786464 KSI786456:KSI786464 LCE786456:LCE786464 LMA786456:LMA786464 LVW786456:LVW786464 MFS786456:MFS786464 MPO786456:MPO786464 MZK786456:MZK786464 NJG786456:NJG786464 NTC786456:NTC786464 OCY786456:OCY786464 OMU786456:OMU786464 OWQ786456:OWQ786464 PGM786456:PGM786464 PQI786456:PQI786464 QAE786456:QAE786464 QKA786456:QKA786464 QTW786456:QTW786464 RDS786456:RDS786464 RNO786456:RNO786464 RXK786456:RXK786464 SHG786456:SHG786464 SRC786456:SRC786464 TAY786456:TAY786464 TKU786456:TKU786464 TUQ786456:TUQ786464 UEM786456:UEM786464 UOI786456:UOI786464 UYE786456:UYE786464 VIA786456:VIA786464 VRW786456:VRW786464 WBS786456:WBS786464 WLO786456:WLO786464 WVK786456:WVK786464 C851992:C852000 IY851992:IY852000 SU851992:SU852000 ACQ851992:ACQ852000 AMM851992:AMM852000 AWI851992:AWI852000 BGE851992:BGE852000 BQA851992:BQA852000 BZW851992:BZW852000 CJS851992:CJS852000 CTO851992:CTO852000 DDK851992:DDK852000 DNG851992:DNG852000 DXC851992:DXC852000 EGY851992:EGY852000 EQU851992:EQU852000 FAQ851992:FAQ852000 FKM851992:FKM852000 FUI851992:FUI852000 GEE851992:GEE852000 GOA851992:GOA852000 GXW851992:GXW852000 HHS851992:HHS852000 HRO851992:HRO852000 IBK851992:IBK852000 ILG851992:ILG852000 IVC851992:IVC852000 JEY851992:JEY852000 JOU851992:JOU852000 JYQ851992:JYQ852000 KIM851992:KIM852000 KSI851992:KSI852000 LCE851992:LCE852000 LMA851992:LMA852000 LVW851992:LVW852000 MFS851992:MFS852000 MPO851992:MPO852000 MZK851992:MZK852000 NJG851992:NJG852000 NTC851992:NTC852000 OCY851992:OCY852000 OMU851992:OMU852000 OWQ851992:OWQ852000 PGM851992:PGM852000 PQI851992:PQI852000 QAE851992:QAE852000 QKA851992:QKA852000 QTW851992:QTW852000 RDS851992:RDS852000 RNO851992:RNO852000 RXK851992:RXK852000 SHG851992:SHG852000 SRC851992:SRC852000 TAY851992:TAY852000 TKU851992:TKU852000 TUQ851992:TUQ852000 UEM851992:UEM852000 UOI851992:UOI852000 UYE851992:UYE852000 VIA851992:VIA852000 VRW851992:VRW852000 WBS851992:WBS852000 WLO851992:WLO852000 WVK851992:WVK852000 C917528:C917536 IY917528:IY917536 SU917528:SU917536 ACQ917528:ACQ917536 AMM917528:AMM917536 AWI917528:AWI917536 BGE917528:BGE917536 BQA917528:BQA917536 BZW917528:BZW917536 CJS917528:CJS917536 CTO917528:CTO917536 DDK917528:DDK917536 DNG917528:DNG917536 DXC917528:DXC917536 EGY917528:EGY917536 EQU917528:EQU917536 FAQ917528:FAQ917536 FKM917528:FKM917536 FUI917528:FUI917536 GEE917528:GEE917536 GOA917528:GOA917536 GXW917528:GXW917536 HHS917528:HHS917536 HRO917528:HRO917536 IBK917528:IBK917536 ILG917528:ILG917536 IVC917528:IVC917536 JEY917528:JEY917536 JOU917528:JOU917536 JYQ917528:JYQ917536 KIM917528:KIM917536 KSI917528:KSI917536 LCE917528:LCE917536 LMA917528:LMA917536 LVW917528:LVW917536 MFS917528:MFS917536 MPO917528:MPO917536 MZK917528:MZK917536 NJG917528:NJG917536 NTC917528:NTC917536 OCY917528:OCY917536 OMU917528:OMU917536 OWQ917528:OWQ917536 PGM917528:PGM917536 PQI917528:PQI917536 QAE917528:QAE917536 QKA917528:QKA917536 QTW917528:QTW917536 RDS917528:RDS917536 RNO917528:RNO917536 RXK917528:RXK917536 SHG917528:SHG917536 SRC917528:SRC917536 TAY917528:TAY917536 TKU917528:TKU917536 TUQ917528:TUQ917536 UEM917528:UEM917536 UOI917528:UOI917536 UYE917528:UYE917536 VIA917528:VIA917536 VRW917528:VRW917536 WBS917528:WBS917536 WLO917528:WLO917536 WVK917528:WVK917536 C983064:C983072 IY983064:IY983072 SU983064:SU983072 ACQ983064:ACQ983072 AMM983064:AMM983072 AWI983064:AWI983072 BGE983064:BGE983072 BQA983064:BQA983072 BZW983064:BZW983072 CJS983064:CJS983072 CTO983064:CTO983072 DDK983064:DDK983072 DNG983064:DNG983072 DXC983064:DXC983072 EGY983064:EGY983072 EQU983064:EQU983072 FAQ983064:FAQ983072 FKM983064:FKM983072 FUI983064:FUI983072 GEE983064:GEE983072 GOA983064:GOA983072 GXW983064:GXW983072 HHS983064:HHS983072 HRO983064:HRO983072 IBK983064:IBK983072 ILG983064:ILG983072 IVC983064:IVC983072 JEY983064:JEY983072 JOU983064:JOU983072 JYQ983064:JYQ983072 KIM983064:KIM983072 KSI983064:KSI983072 LCE983064:LCE983072 LMA983064:LMA983072 LVW983064:LVW983072 MFS983064:MFS983072 MPO983064:MPO983072 MZK983064:MZK983072 NJG983064:NJG983072 NTC983064:NTC983072 OCY983064:OCY983072 OMU983064:OMU983072 OWQ983064:OWQ983072 PGM983064:PGM983072 PQI983064:PQI983072 QAE983064:QAE983072 QKA983064:QKA983072 QTW983064:QTW983072 RDS983064:RDS983072 RNO983064:RNO983072 RXK983064:RXK983072 SHG983064:SHG983072 SRC983064:SRC983072 TAY983064:TAY983072 TKU983064:TKU983072 TUQ983064:TUQ983072 UEM983064:UEM983072 UOI983064:UOI983072 UYE983064:UYE983072 VIA983064:VIA983072 VRW983064:VRW983072 WBS983064:WBS983072 WLO983064:WLO983072 C24:C32" xr:uid="{2AD6DD97-925B-4A81-9322-EF8E893B153D}">
      <formula1>$A$44:$A$93</formula1>
    </dataValidation>
  </dataValidations>
  <printOptions horizontalCentered="1"/>
  <pageMargins left="0.74803149606299213" right="0.70866141732283472" top="0.74803149606299213" bottom="0.9055118110236221" header="0.39370078740157483" footer="0.39370078740157483"/>
  <pageSetup paperSize="9" scale="96" orientation="portrait" r:id="rId1"/>
  <headerFooter scaleWithDoc="0" alignWithMargins="0">
    <oddHeader>&amp;L&amp;"-,Regular"&amp;8&amp;F&amp;R&amp;"-,Regular"&amp;8&amp;A
________________________________________________________________________________________</oddHeader>
    <oddFooter>&amp;L&amp;"-,Regular"&amp;8________________________________________________________________________________________
NZ Transport Agency’s Economic evaluation manual 
Effective from Jul 2013</oddFooter>
  </headerFooter>
  <legacyDrawing r:id="rId2"/>
</worksheet>
</file>

<file path=xl/worksheets/sheet7.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5BF1BAF0-A7FD-46C1-9CB7-9A8B876AD9C5}">
  <sheetPr>
    <pageSetUpPr fitToPage="1"/>
  </sheetPr>
  <dimension ref="A1:AD78"/>
  <sheetViews>
    <sheetView zoomScaleNormal="100" workbookViewId="0">
      <selection activeCell="K8" sqref="K8:M8"/>
    </sheetView>
  </sheetViews>
  <sheetFormatPr defaultColWidth="7.69921875" defaultRowHeight="12.6"/>
  <cols>
    <col min="1" max="1" width="2.5" style="66" customWidth="1"/>
    <col min="2" max="2" width="6.59765625" style="66" customWidth="1"/>
    <col min="3" max="10" width="3.19921875" style="66" customWidth="1"/>
    <col min="11" max="13" width="4.59765625" style="66" customWidth="1"/>
    <col min="14" max="14" width="3.8984375" style="66" customWidth="1"/>
    <col min="15" max="15" width="5.5" style="66" customWidth="1"/>
    <col min="16" max="16" width="5.69921875" style="66" customWidth="1"/>
    <col min="17" max="19" width="4.59765625" style="66" customWidth="1"/>
    <col min="20" max="20" width="3.19921875" style="170" customWidth="1"/>
    <col min="21" max="256" width="7.69921875" style="66"/>
    <col min="257" max="257" width="2.5" style="66" customWidth="1"/>
    <col min="258" max="258" width="6.59765625" style="66" customWidth="1"/>
    <col min="259" max="266" width="3.19921875" style="66" customWidth="1"/>
    <col min="267" max="269" width="4.59765625" style="66" customWidth="1"/>
    <col min="270" max="270" width="3.8984375" style="66" customWidth="1"/>
    <col min="271" max="271" width="5.5" style="66" customWidth="1"/>
    <col min="272" max="272" width="5.69921875" style="66" customWidth="1"/>
    <col min="273" max="275" width="4.59765625" style="66" customWidth="1"/>
    <col min="276" max="276" width="3.19921875" style="66" customWidth="1"/>
    <col min="277" max="512" width="7.69921875" style="66"/>
    <col min="513" max="513" width="2.5" style="66" customWidth="1"/>
    <col min="514" max="514" width="6.59765625" style="66" customWidth="1"/>
    <col min="515" max="522" width="3.19921875" style="66" customWidth="1"/>
    <col min="523" max="525" width="4.59765625" style="66" customWidth="1"/>
    <col min="526" max="526" width="3.8984375" style="66" customWidth="1"/>
    <col min="527" max="527" width="5.5" style="66" customWidth="1"/>
    <col min="528" max="528" width="5.69921875" style="66" customWidth="1"/>
    <col min="529" max="531" width="4.59765625" style="66" customWidth="1"/>
    <col min="532" max="532" width="3.19921875" style="66" customWidth="1"/>
    <col min="533" max="768" width="7.69921875" style="66"/>
    <col min="769" max="769" width="2.5" style="66" customWidth="1"/>
    <col min="770" max="770" width="6.59765625" style="66" customWidth="1"/>
    <col min="771" max="778" width="3.19921875" style="66" customWidth="1"/>
    <col min="779" max="781" width="4.59765625" style="66" customWidth="1"/>
    <col min="782" max="782" width="3.8984375" style="66" customWidth="1"/>
    <col min="783" max="783" width="5.5" style="66" customWidth="1"/>
    <col min="784" max="784" width="5.69921875" style="66" customWidth="1"/>
    <col min="785" max="787" width="4.59765625" style="66" customWidth="1"/>
    <col min="788" max="788" width="3.19921875" style="66" customWidth="1"/>
    <col min="789" max="1024" width="7.69921875" style="66"/>
    <col min="1025" max="1025" width="2.5" style="66" customWidth="1"/>
    <col min="1026" max="1026" width="6.59765625" style="66" customWidth="1"/>
    <col min="1027" max="1034" width="3.19921875" style="66" customWidth="1"/>
    <col min="1035" max="1037" width="4.59765625" style="66" customWidth="1"/>
    <col min="1038" max="1038" width="3.8984375" style="66" customWidth="1"/>
    <col min="1039" max="1039" width="5.5" style="66" customWidth="1"/>
    <col min="1040" max="1040" width="5.69921875" style="66" customWidth="1"/>
    <col min="1041" max="1043" width="4.59765625" style="66" customWidth="1"/>
    <col min="1044" max="1044" width="3.19921875" style="66" customWidth="1"/>
    <col min="1045" max="1280" width="7.69921875" style="66"/>
    <col min="1281" max="1281" width="2.5" style="66" customWidth="1"/>
    <col min="1282" max="1282" width="6.59765625" style="66" customWidth="1"/>
    <col min="1283" max="1290" width="3.19921875" style="66" customWidth="1"/>
    <col min="1291" max="1293" width="4.59765625" style="66" customWidth="1"/>
    <col min="1294" max="1294" width="3.8984375" style="66" customWidth="1"/>
    <col min="1295" max="1295" width="5.5" style="66" customWidth="1"/>
    <col min="1296" max="1296" width="5.69921875" style="66" customWidth="1"/>
    <col min="1297" max="1299" width="4.59765625" style="66" customWidth="1"/>
    <col min="1300" max="1300" width="3.19921875" style="66" customWidth="1"/>
    <col min="1301" max="1536" width="7.69921875" style="66"/>
    <col min="1537" max="1537" width="2.5" style="66" customWidth="1"/>
    <col min="1538" max="1538" width="6.59765625" style="66" customWidth="1"/>
    <col min="1539" max="1546" width="3.19921875" style="66" customWidth="1"/>
    <col min="1547" max="1549" width="4.59765625" style="66" customWidth="1"/>
    <col min="1550" max="1550" width="3.8984375" style="66" customWidth="1"/>
    <col min="1551" max="1551" width="5.5" style="66" customWidth="1"/>
    <col min="1552" max="1552" width="5.69921875" style="66" customWidth="1"/>
    <col min="1553" max="1555" width="4.59765625" style="66" customWidth="1"/>
    <col min="1556" max="1556" width="3.19921875" style="66" customWidth="1"/>
    <col min="1557" max="1792" width="7.69921875" style="66"/>
    <col min="1793" max="1793" width="2.5" style="66" customWidth="1"/>
    <col min="1794" max="1794" width="6.59765625" style="66" customWidth="1"/>
    <col min="1795" max="1802" width="3.19921875" style="66" customWidth="1"/>
    <col min="1803" max="1805" width="4.59765625" style="66" customWidth="1"/>
    <col min="1806" max="1806" width="3.8984375" style="66" customWidth="1"/>
    <col min="1807" max="1807" width="5.5" style="66" customWidth="1"/>
    <col min="1808" max="1808" width="5.69921875" style="66" customWidth="1"/>
    <col min="1809" max="1811" width="4.59765625" style="66" customWidth="1"/>
    <col min="1812" max="1812" width="3.19921875" style="66" customWidth="1"/>
    <col min="1813" max="2048" width="7.69921875" style="66"/>
    <col min="2049" max="2049" width="2.5" style="66" customWidth="1"/>
    <col min="2050" max="2050" width="6.59765625" style="66" customWidth="1"/>
    <col min="2051" max="2058" width="3.19921875" style="66" customWidth="1"/>
    <col min="2059" max="2061" width="4.59765625" style="66" customWidth="1"/>
    <col min="2062" max="2062" width="3.8984375" style="66" customWidth="1"/>
    <col min="2063" max="2063" width="5.5" style="66" customWidth="1"/>
    <col min="2064" max="2064" width="5.69921875" style="66" customWidth="1"/>
    <col min="2065" max="2067" width="4.59765625" style="66" customWidth="1"/>
    <col min="2068" max="2068" width="3.19921875" style="66" customWidth="1"/>
    <col min="2069" max="2304" width="7.69921875" style="66"/>
    <col min="2305" max="2305" width="2.5" style="66" customWidth="1"/>
    <col min="2306" max="2306" width="6.59765625" style="66" customWidth="1"/>
    <col min="2307" max="2314" width="3.19921875" style="66" customWidth="1"/>
    <col min="2315" max="2317" width="4.59765625" style="66" customWidth="1"/>
    <col min="2318" max="2318" width="3.8984375" style="66" customWidth="1"/>
    <col min="2319" max="2319" width="5.5" style="66" customWidth="1"/>
    <col min="2320" max="2320" width="5.69921875" style="66" customWidth="1"/>
    <col min="2321" max="2323" width="4.59765625" style="66" customWidth="1"/>
    <col min="2324" max="2324" width="3.19921875" style="66" customWidth="1"/>
    <col min="2325" max="2560" width="7.69921875" style="66"/>
    <col min="2561" max="2561" width="2.5" style="66" customWidth="1"/>
    <col min="2562" max="2562" width="6.59765625" style="66" customWidth="1"/>
    <col min="2563" max="2570" width="3.19921875" style="66" customWidth="1"/>
    <col min="2571" max="2573" width="4.59765625" style="66" customWidth="1"/>
    <col min="2574" max="2574" width="3.8984375" style="66" customWidth="1"/>
    <col min="2575" max="2575" width="5.5" style="66" customWidth="1"/>
    <col min="2576" max="2576" width="5.69921875" style="66" customWidth="1"/>
    <col min="2577" max="2579" width="4.59765625" style="66" customWidth="1"/>
    <col min="2580" max="2580" width="3.19921875" style="66" customWidth="1"/>
    <col min="2581" max="2816" width="7.69921875" style="66"/>
    <col min="2817" max="2817" width="2.5" style="66" customWidth="1"/>
    <col min="2818" max="2818" width="6.59765625" style="66" customWidth="1"/>
    <col min="2819" max="2826" width="3.19921875" style="66" customWidth="1"/>
    <col min="2827" max="2829" width="4.59765625" style="66" customWidth="1"/>
    <col min="2830" max="2830" width="3.8984375" style="66" customWidth="1"/>
    <col min="2831" max="2831" width="5.5" style="66" customWidth="1"/>
    <col min="2832" max="2832" width="5.69921875" style="66" customWidth="1"/>
    <col min="2833" max="2835" width="4.59765625" style="66" customWidth="1"/>
    <col min="2836" max="2836" width="3.19921875" style="66" customWidth="1"/>
    <col min="2837" max="3072" width="7.69921875" style="66"/>
    <col min="3073" max="3073" width="2.5" style="66" customWidth="1"/>
    <col min="3074" max="3074" width="6.59765625" style="66" customWidth="1"/>
    <col min="3075" max="3082" width="3.19921875" style="66" customWidth="1"/>
    <col min="3083" max="3085" width="4.59765625" style="66" customWidth="1"/>
    <col min="3086" max="3086" width="3.8984375" style="66" customWidth="1"/>
    <col min="3087" max="3087" width="5.5" style="66" customWidth="1"/>
    <col min="3088" max="3088" width="5.69921875" style="66" customWidth="1"/>
    <col min="3089" max="3091" width="4.59765625" style="66" customWidth="1"/>
    <col min="3092" max="3092" width="3.19921875" style="66" customWidth="1"/>
    <col min="3093" max="3328" width="7.69921875" style="66"/>
    <col min="3329" max="3329" width="2.5" style="66" customWidth="1"/>
    <col min="3330" max="3330" width="6.59765625" style="66" customWidth="1"/>
    <col min="3331" max="3338" width="3.19921875" style="66" customWidth="1"/>
    <col min="3339" max="3341" width="4.59765625" style="66" customWidth="1"/>
    <col min="3342" max="3342" width="3.8984375" style="66" customWidth="1"/>
    <col min="3343" max="3343" width="5.5" style="66" customWidth="1"/>
    <col min="3344" max="3344" width="5.69921875" style="66" customWidth="1"/>
    <col min="3345" max="3347" width="4.59765625" style="66" customWidth="1"/>
    <col min="3348" max="3348" width="3.19921875" style="66" customWidth="1"/>
    <col min="3349" max="3584" width="7.69921875" style="66"/>
    <col min="3585" max="3585" width="2.5" style="66" customWidth="1"/>
    <col min="3586" max="3586" width="6.59765625" style="66" customWidth="1"/>
    <col min="3587" max="3594" width="3.19921875" style="66" customWidth="1"/>
    <col min="3595" max="3597" width="4.59765625" style="66" customWidth="1"/>
    <col min="3598" max="3598" width="3.8984375" style="66" customWidth="1"/>
    <col min="3599" max="3599" width="5.5" style="66" customWidth="1"/>
    <col min="3600" max="3600" width="5.69921875" style="66" customWidth="1"/>
    <col min="3601" max="3603" width="4.59765625" style="66" customWidth="1"/>
    <col min="3604" max="3604" width="3.19921875" style="66" customWidth="1"/>
    <col min="3605" max="3840" width="7.69921875" style="66"/>
    <col min="3841" max="3841" width="2.5" style="66" customWidth="1"/>
    <col min="3842" max="3842" width="6.59765625" style="66" customWidth="1"/>
    <col min="3843" max="3850" width="3.19921875" style="66" customWidth="1"/>
    <col min="3851" max="3853" width="4.59765625" style="66" customWidth="1"/>
    <col min="3854" max="3854" width="3.8984375" style="66" customWidth="1"/>
    <col min="3855" max="3855" width="5.5" style="66" customWidth="1"/>
    <col min="3856" max="3856" width="5.69921875" style="66" customWidth="1"/>
    <col min="3857" max="3859" width="4.59765625" style="66" customWidth="1"/>
    <col min="3860" max="3860" width="3.19921875" style="66" customWidth="1"/>
    <col min="3861" max="4096" width="7.69921875" style="66"/>
    <col min="4097" max="4097" width="2.5" style="66" customWidth="1"/>
    <col min="4098" max="4098" width="6.59765625" style="66" customWidth="1"/>
    <col min="4099" max="4106" width="3.19921875" style="66" customWidth="1"/>
    <col min="4107" max="4109" width="4.59765625" style="66" customWidth="1"/>
    <col min="4110" max="4110" width="3.8984375" style="66" customWidth="1"/>
    <col min="4111" max="4111" width="5.5" style="66" customWidth="1"/>
    <col min="4112" max="4112" width="5.69921875" style="66" customWidth="1"/>
    <col min="4113" max="4115" width="4.59765625" style="66" customWidth="1"/>
    <col min="4116" max="4116" width="3.19921875" style="66" customWidth="1"/>
    <col min="4117" max="4352" width="7.69921875" style="66"/>
    <col min="4353" max="4353" width="2.5" style="66" customWidth="1"/>
    <col min="4354" max="4354" width="6.59765625" style="66" customWidth="1"/>
    <col min="4355" max="4362" width="3.19921875" style="66" customWidth="1"/>
    <col min="4363" max="4365" width="4.59765625" style="66" customWidth="1"/>
    <col min="4366" max="4366" width="3.8984375" style="66" customWidth="1"/>
    <col min="4367" max="4367" width="5.5" style="66" customWidth="1"/>
    <col min="4368" max="4368" width="5.69921875" style="66" customWidth="1"/>
    <col min="4369" max="4371" width="4.59765625" style="66" customWidth="1"/>
    <col min="4372" max="4372" width="3.19921875" style="66" customWidth="1"/>
    <col min="4373" max="4608" width="7.69921875" style="66"/>
    <col min="4609" max="4609" width="2.5" style="66" customWidth="1"/>
    <col min="4610" max="4610" width="6.59765625" style="66" customWidth="1"/>
    <col min="4611" max="4618" width="3.19921875" style="66" customWidth="1"/>
    <col min="4619" max="4621" width="4.59765625" style="66" customWidth="1"/>
    <col min="4622" max="4622" width="3.8984375" style="66" customWidth="1"/>
    <col min="4623" max="4623" width="5.5" style="66" customWidth="1"/>
    <col min="4624" max="4624" width="5.69921875" style="66" customWidth="1"/>
    <col min="4625" max="4627" width="4.59765625" style="66" customWidth="1"/>
    <col min="4628" max="4628" width="3.19921875" style="66" customWidth="1"/>
    <col min="4629" max="4864" width="7.69921875" style="66"/>
    <col min="4865" max="4865" width="2.5" style="66" customWidth="1"/>
    <col min="4866" max="4866" width="6.59765625" style="66" customWidth="1"/>
    <col min="4867" max="4874" width="3.19921875" style="66" customWidth="1"/>
    <col min="4875" max="4877" width="4.59765625" style="66" customWidth="1"/>
    <col min="4878" max="4878" width="3.8984375" style="66" customWidth="1"/>
    <col min="4879" max="4879" width="5.5" style="66" customWidth="1"/>
    <col min="4880" max="4880" width="5.69921875" style="66" customWidth="1"/>
    <col min="4881" max="4883" width="4.59765625" style="66" customWidth="1"/>
    <col min="4884" max="4884" width="3.19921875" style="66" customWidth="1"/>
    <col min="4885" max="5120" width="7.69921875" style="66"/>
    <col min="5121" max="5121" width="2.5" style="66" customWidth="1"/>
    <col min="5122" max="5122" width="6.59765625" style="66" customWidth="1"/>
    <col min="5123" max="5130" width="3.19921875" style="66" customWidth="1"/>
    <col min="5131" max="5133" width="4.59765625" style="66" customWidth="1"/>
    <col min="5134" max="5134" width="3.8984375" style="66" customWidth="1"/>
    <col min="5135" max="5135" width="5.5" style="66" customWidth="1"/>
    <col min="5136" max="5136" width="5.69921875" style="66" customWidth="1"/>
    <col min="5137" max="5139" width="4.59765625" style="66" customWidth="1"/>
    <col min="5140" max="5140" width="3.19921875" style="66" customWidth="1"/>
    <col min="5141" max="5376" width="7.69921875" style="66"/>
    <col min="5377" max="5377" width="2.5" style="66" customWidth="1"/>
    <col min="5378" max="5378" width="6.59765625" style="66" customWidth="1"/>
    <col min="5379" max="5386" width="3.19921875" style="66" customWidth="1"/>
    <col min="5387" max="5389" width="4.59765625" style="66" customWidth="1"/>
    <col min="5390" max="5390" width="3.8984375" style="66" customWidth="1"/>
    <col min="5391" max="5391" width="5.5" style="66" customWidth="1"/>
    <col min="5392" max="5392" width="5.69921875" style="66" customWidth="1"/>
    <col min="5393" max="5395" width="4.59765625" style="66" customWidth="1"/>
    <col min="5396" max="5396" width="3.19921875" style="66" customWidth="1"/>
    <col min="5397" max="5632" width="7.69921875" style="66"/>
    <col min="5633" max="5633" width="2.5" style="66" customWidth="1"/>
    <col min="5634" max="5634" width="6.59765625" style="66" customWidth="1"/>
    <col min="5635" max="5642" width="3.19921875" style="66" customWidth="1"/>
    <col min="5643" max="5645" width="4.59765625" style="66" customWidth="1"/>
    <col min="5646" max="5646" width="3.8984375" style="66" customWidth="1"/>
    <col min="5647" max="5647" width="5.5" style="66" customWidth="1"/>
    <col min="5648" max="5648" width="5.69921875" style="66" customWidth="1"/>
    <col min="5649" max="5651" width="4.59765625" style="66" customWidth="1"/>
    <col min="5652" max="5652" width="3.19921875" style="66" customWidth="1"/>
    <col min="5653" max="5888" width="7.69921875" style="66"/>
    <col min="5889" max="5889" width="2.5" style="66" customWidth="1"/>
    <col min="5890" max="5890" width="6.59765625" style="66" customWidth="1"/>
    <col min="5891" max="5898" width="3.19921875" style="66" customWidth="1"/>
    <col min="5899" max="5901" width="4.59765625" style="66" customWidth="1"/>
    <col min="5902" max="5902" width="3.8984375" style="66" customWidth="1"/>
    <col min="5903" max="5903" width="5.5" style="66" customWidth="1"/>
    <col min="5904" max="5904" width="5.69921875" style="66" customWidth="1"/>
    <col min="5905" max="5907" width="4.59765625" style="66" customWidth="1"/>
    <col min="5908" max="5908" width="3.19921875" style="66" customWidth="1"/>
    <col min="5909" max="6144" width="7.69921875" style="66"/>
    <col min="6145" max="6145" width="2.5" style="66" customWidth="1"/>
    <col min="6146" max="6146" width="6.59765625" style="66" customWidth="1"/>
    <col min="6147" max="6154" width="3.19921875" style="66" customWidth="1"/>
    <col min="6155" max="6157" width="4.59765625" style="66" customWidth="1"/>
    <col min="6158" max="6158" width="3.8984375" style="66" customWidth="1"/>
    <col min="6159" max="6159" width="5.5" style="66" customWidth="1"/>
    <col min="6160" max="6160" width="5.69921875" style="66" customWidth="1"/>
    <col min="6161" max="6163" width="4.59765625" style="66" customWidth="1"/>
    <col min="6164" max="6164" width="3.19921875" style="66" customWidth="1"/>
    <col min="6165" max="6400" width="7.69921875" style="66"/>
    <col min="6401" max="6401" width="2.5" style="66" customWidth="1"/>
    <col min="6402" max="6402" width="6.59765625" style="66" customWidth="1"/>
    <col min="6403" max="6410" width="3.19921875" style="66" customWidth="1"/>
    <col min="6411" max="6413" width="4.59765625" style="66" customWidth="1"/>
    <col min="6414" max="6414" width="3.8984375" style="66" customWidth="1"/>
    <col min="6415" max="6415" width="5.5" style="66" customWidth="1"/>
    <col min="6416" max="6416" width="5.69921875" style="66" customWidth="1"/>
    <col min="6417" max="6419" width="4.59765625" style="66" customWidth="1"/>
    <col min="6420" max="6420" width="3.19921875" style="66" customWidth="1"/>
    <col min="6421" max="6656" width="7.69921875" style="66"/>
    <col min="6657" max="6657" width="2.5" style="66" customWidth="1"/>
    <col min="6658" max="6658" width="6.59765625" style="66" customWidth="1"/>
    <col min="6659" max="6666" width="3.19921875" style="66" customWidth="1"/>
    <col min="6667" max="6669" width="4.59765625" style="66" customWidth="1"/>
    <col min="6670" max="6670" width="3.8984375" style="66" customWidth="1"/>
    <col min="6671" max="6671" width="5.5" style="66" customWidth="1"/>
    <col min="6672" max="6672" width="5.69921875" style="66" customWidth="1"/>
    <col min="6673" max="6675" width="4.59765625" style="66" customWidth="1"/>
    <col min="6676" max="6676" width="3.19921875" style="66" customWidth="1"/>
    <col min="6677" max="6912" width="7.69921875" style="66"/>
    <col min="6913" max="6913" width="2.5" style="66" customWidth="1"/>
    <col min="6914" max="6914" width="6.59765625" style="66" customWidth="1"/>
    <col min="6915" max="6922" width="3.19921875" style="66" customWidth="1"/>
    <col min="6923" max="6925" width="4.59765625" style="66" customWidth="1"/>
    <col min="6926" max="6926" width="3.8984375" style="66" customWidth="1"/>
    <col min="6927" max="6927" width="5.5" style="66" customWidth="1"/>
    <col min="6928" max="6928" width="5.69921875" style="66" customWidth="1"/>
    <col min="6929" max="6931" width="4.59765625" style="66" customWidth="1"/>
    <col min="6932" max="6932" width="3.19921875" style="66" customWidth="1"/>
    <col min="6933" max="7168" width="7.69921875" style="66"/>
    <col min="7169" max="7169" width="2.5" style="66" customWidth="1"/>
    <col min="7170" max="7170" width="6.59765625" style="66" customWidth="1"/>
    <col min="7171" max="7178" width="3.19921875" style="66" customWidth="1"/>
    <col min="7179" max="7181" width="4.59765625" style="66" customWidth="1"/>
    <col min="7182" max="7182" width="3.8984375" style="66" customWidth="1"/>
    <col min="7183" max="7183" width="5.5" style="66" customWidth="1"/>
    <col min="7184" max="7184" width="5.69921875" style="66" customWidth="1"/>
    <col min="7185" max="7187" width="4.59765625" style="66" customWidth="1"/>
    <col min="7188" max="7188" width="3.19921875" style="66" customWidth="1"/>
    <col min="7189" max="7424" width="7.69921875" style="66"/>
    <col min="7425" max="7425" width="2.5" style="66" customWidth="1"/>
    <col min="7426" max="7426" width="6.59765625" style="66" customWidth="1"/>
    <col min="7427" max="7434" width="3.19921875" style="66" customWidth="1"/>
    <col min="7435" max="7437" width="4.59765625" style="66" customWidth="1"/>
    <col min="7438" max="7438" width="3.8984375" style="66" customWidth="1"/>
    <col min="7439" max="7439" width="5.5" style="66" customWidth="1"/>
    <col min="7440" max="7440" width="5.69921875" style="66" customWidth="1"/>
    <col min="7441" max="7443" width="4.59765625" style="66" customWidth="1"/>
    <col min="7444" max="7444" width="3.19921875" style="66" customWidth="1"/>
    <col min="7445" max="7680" width="7.69921875" style="66"/>
    <col min="7681" max="7681" width="2.5" style="66" customWidth="1"/>
    <col min="7682" max="7682" width="6.59765625" style="66" customWidth="1"/>
    <col min="7683" max="7690" width="3.19921875" style="66" customWidth="1"/>
    <col min="7691" max="7693" width="4.59765625" style="66" customWidth="1"/>
    <col min="7694" max="7694" width="3.8984375" style="66" customWidth="1"/>
    <col min="7695" max="7695" width="5.5" style="66" customWidth="1"/>
    <col min="7696" max="7696" width="5.69921875" style="66" customWidth="1"/>
    <col min="7697" max="7699" width="4.59765625" style="66" customWidth="1"/>
    <col min="7700" max="7700" width="3.19921875" style="66" customWidth="1"/>
    <col min="7701" max="7936" width="7.69921875" style="66"/>
    <col min="7937" max="7937" width="2.5" style="66" customWidth="1"/>
    <col min="7938" max="7938" width="6.59765625" style="66" customWidth="1"/>
    <col min="7939" max="7946" width="3.19921875" style="66" customWidth="1"/>
    <col min="7947" max="7949" width="4.59765625" style="66" customWidth="1"/>
    <col min="7950" max="7950" width="3.8984375" style="66" customWidth="1"/>
    <col min="7951" max="7951" width="5.5" style="66" customWidth="1"/>
    <col min="7952" max="7952" width="5.69921875" style="66" customWidth="1"/>
    <col min="7953" max="7955" width="4.59765625" style="66" customWidth="1"/>
    <col min="7956" max="7956" width="3.19921875" style="66" customWidth="1"/>
    <col min="7957" max="8192" width="7.69921875" style="66"/>
    <col min="8193" max="8193" width="2.5" style="66" customWidth="1"/>
    <col min="8194" max="8194" width="6.59765625" style="66" customWidth="1"/>
    <col min="8195" max="8202" width="3.19921875" style="66" customWidth="1"/>
    <col min="8203" max="8205" width="4.59765625" style="66" customWidth="1"/>
    <col min="8206" max="8206" width="3.8984375" style="66" customWidth="1"/>
    <col min="8207" max="8207" width="5.5" style="66" customWidth="1"/>
    <col min="8208" max="8208" width="5.69921875" style="66" customWidth="1"/>
    <col min="8209" max="8211" width="4.59765625" style="66" customWidth="1"/>
    <col min="8212" max="8212" width="3.19921875" style="66" customWidth="1"/>
    <col min="8213" max="8448" width="7.69921875" style="66"/>
    <col min="8449" max="8449" width="2.5" style="66" customWidth="1"/>
    <col min="8450" max="8450" width="6.59765625" style="66" customWidth="1"/>
    <col min="8451" max="8458" width="3.19921875" style="66" customWidth="1"/>
    <col min="8459" max="8461" width="4.59765625" style="66" customWidth="1"/>
    <col min="8462" max="8462" width="3.8984375" style="66" customWidth="1"/>
    <col min="8463" max="8463" width="5.5" style="66" customWidth="1"/>
    <col min="8464" max="8464" width="5.69921875" style="66" customWidth="1"/>
    <col min="8465" max="8467" width="4.59765625" style="66" customWidth="1"/>
    <col min="8468" max="8468" width="3.19921875" style="66" customWidth="1"/>
    <col min="8469" max="8704" width="7.69921875" style="66"/>
    <col min="8705" max="8705" width="2.5" style="66" customWidth="1"/>
    <col min="8706" max="8706" width="6.59765625" style="66" customWidth="1"/>
    <col min="8707" max="8714" width="3.19921875" style="66" customWidth="1"/>
    <col min="8715" max="8717" width="4.59765625" style="66" customWidth="1"/>
    <col min="8718" max="8718" width="3.8984375" style="66" customWidth="1"/>
    <col min="8719" max="8719" width="5.5" style="66" customWidth="1"/>
    <col min="8720" max="8720" width="5.69921875" style="66" customWidth="1"/>
    <col min="8721" max="8723" width="4.59765625" style="66" customWidth="1"/>
    <col min="8724" max="8724" width="3.19921875" style="66" customWidth="1"/>
    <col min="8725" max="8960" width="7.69921875" style="66"/>
    <col min="8961" max="8961" width="2.5" style="66" customWidth="1"/>
    <col min="8962" max="8962" width="6.59765625" style="66" customWidth="1"/>
    <col min="8963" max="8970" width="3.19921875" style="66" customWidth="1"/>
    <col min="8971" max="8973" width="4.59765625" style="66" customWidth="1"/>
    <col min="8974" max="8974" width="3.8984375" style="66" customWidth="1"/>
    <col min="8975" max="8975" width="5.5" style="66" customWidth="1"/>
    <col min="8976" max="8976" width="5.69921875" style="66" customWidth="1"/>
    <col min="8977" max="8979" width="4.59765625" style="66" customWidth="1"/>
    <col min="8980" max="8980" width="3.19921875" style="66" customWidth="1"/>
    <col min="8981" max="9216" width="7.69921875" style="66"/>
    <col min="9217" max="9217" width="2.5" style="66" customWidth="1"/>
    <col min="9218" max="9218" width="6.59765625" style="66" customWidth="1"/>
    <col min="9219" max="9226" width="3.19921875" style="66" customWidth="1"/>
    <col min="9227" max="9229" width="4.59765625" style="66" customWidth="1"/>
    <col min="9230" max="9230" width="3.8984375" style="66" customWidth="1"/>
    <col min="9231" max="9231" width="5.5" style="66" customWidth="1"/>
    <col min="9232" max="9232" width="5.69921875" style="66" customWidth="1"/>
    <col min="9233" max="9235" width="4.59765625" style="66" customWidth="1"/>
    <col min="9236" max="9236" width="3.19921875" style="66" customWidth="1"/>
    <col min="9237" max="9472" width="7.69921875" style="66"/>
    <col min="9473" max="9473" width="2.5" style="66" customWidth="1"/>
    <col min="9474" max="9474" width="6.59765625" style="66" customWidth="1"/>
    <col min="9475" max="9482" width="3.19921875" style="66" customWidth="1"/>
    <col min="9483" max="9485" width="4.59765625" style="66" customWidth="1"/>
    <col min="9486" max="9486" width="3.8984375" style="66" customWidth="1"/>
    <col min="9487" max="9487" width="5.5" style="66" customWidth="1"/>
    <col min="9488" max="9488" width="5.69921875" style="66" customWidth="1"/>
    <col min="9489" max="9491" width="4.59765625" style="66" customWidth="1"/>
    <col min="9492" max="9492" width="3.19921875" style="66" customWidth="1"/>
    <col min="9493" max="9728" width="7.69921875" style="66"/>
    <col min="9729" max="9729" width="2.5" style="66" customWidth="1"/>
    <col min="9730" max="9730" width="6.59765625" style="66" customWidth="1"/>
    <col min="9731" max="9738" width="3.19921875" style="66" customWidth="1"/>
    <col min="9739" max="9741" width="4.59765625" style="66" customWidth="1"/>
    <col min="9742" max="9742" width="3.8984375" style="66" customWidth="1"/>
    <col min="9743" max="9743" width="5.5" style="66" customWidth="1"/>
    <col min="9744" max="9744" width="5.69921875" style="66" customWidth="1"/>
    <col min="9745" max="9747" width="4.59765625" style="66" customWidth="1"/>
    <col min="9748" max="9748" width="3.19921875" style="66" customWidth="1"/>
    <col min="9749" max="9984" width="7.69921875" style="66"/>
    <col min="9985" max="9985" width="2.5" style="66" customWidth="1"/>
    <col min="9986" max="9986" width="6.59765625" style="66" customWidth="1"/>
    <col min="9987" max="9994" width="3.19921875" style="66" customWidth="1"/>
    <col min="9995" max="9997" width="4.59765625" style="66" customWidth="1"/>
    <col min="9998" max="9998" width="3.8984375" style="66" customWidth="1"/>
    <col min="9999" max="9999" width="5.5" style="66" customWidth="1"/>
    <col min="10000" max="10000" width="5.69921875" style="66" customWidth="1"/>
    <col min="10001" max="10003" width="4.59765625" style="66" customWidth="1"/>
    <col min="10004" max="10004" width="3.19921875" style="66" customWidth="1"/>
    <col min="10005" max="10240" width="7.69921875" style="66"/>
    <col min="10241" max="10241" width="2.5" style="66" customWidth="1"/>
    <col min="10242" max="10242" width="6.59765625" style="66" customWidth="1"/>
    <col min="10243" max="10250" width="3.19921875" style="66" customWidth="1"/>
    <col min="10251" max="10253" width="4.59765625" style="66" customWidth="1"/>
    <col min="10254" max="10254" width="3.8984375" style="66" customWidth="1"/>
    <col min="10255" max="10255" width="5.5" style="66" customWidth="1"/>
    <col min="10256" max="10256" width="5.69921875" style="66" customWidth="1"/>
    <col min="10257" max="10259" width="4.59765625" style="66" customWidth="1"/>
    <col min="10260" max="10260" width="3.19921875" style="66" customWidth="1"/>
    <col min="10261" max="10496" width="7.69921875" style="66"/>
    <col min="10497" max="10497" width="2.5" style="66" customWidth="1"/>
    <col min="10498" max="10498" width="6.59765625" style="66" customWidth="1"/>
    <col min="10499" max="10506" width="3.19921875" style="66" customWidth="1"/>
    <col min="10507" max="10509" width="4.59765625" style="66" customWidth="1"/>
    <col min="10510" max="10510" width="3.8984375" style="66" customWidth="1"/>
    <col min="10511" max="10511" width="5.5" style="66" customWidth="1"/>
    <col min="10512" max="10512" width="5.69921875" style="66" customWidth="1"/>
    <col min="10513" max="10515" width="4.59765625" style="66" customWidth="1"/>
    <col min="10516" max="10516" width="3.19921875" style="66" customWidth="1"/>
    <col min="10517" max="10752" width="7.69921875" style="66"/>
    <col min="10753" max="10753" width="2.5" style="66" customWidth="1"/>
    <col min="10754" max="10754" width="6.59765625" style="66" customWidth="1"/>
    <col min="10755" max="10762" width="3.19921875" style="66" customWidth="1"/>
    <col min="10763" max="10765" width="4.59765625" style="66" customWidth="1"/>
    <col min="10766" max="10766" width="3.8984375" style="66" customWidth="1"/>
    <col min="10767" max="10767" width="5.5" style="66" customWidth="1"/>
    <col min="10768" max="10768" width="5.69921875" style="66" customWidth="1"/>
    <col min="10769" max="10771" width="4.59765625" style="66" customWidth="1"/>
    <col min="10772" max="10772" width="3.19921875" style="66" customWidth="1"/>
    <col min="10773" max="11008" width="7.69921875" style="66"/>
    <col min="11009" max="11009" width="2.5" style="66" customWidth="1"/>
    <col min="11010" max="11010" width="6.59765625" style="66" customWidth="1"/>
    <col min="11011" max="11018" width="3.19921875" style="66" customWidth="1"/>
    <col min="11019" max="11021" width="4.59765625" style="66" customWidth="1"/>
    <col min="11022" max="11022" width="3.8984375" style="66" customWidth="1"/>
    <col min="11023" max="11023" width="5.5" style="66" customWidth="1"/>
    <col min="11024" max="11024" width="5.69921875" style="66" customWidth="1"/>
    <col min="11025" max="11027" width="4.59765625" style="66" customWidth="1"/>
    <col min="11028" max="11028" width="3.19921875" style="66" customWidth="1"/>
    <col min="11029" max="11264" width="7.69921875" style="66"/>
    <col min="11265" max="11265" width="2.5" style="66" customWidth="1"/>
    <col min="11266" max="11266" width="6.59765625" style="66" customWidth="1"/>
    <col min="11267" max="11274" width="3.19921875" style="66" customWidth="1"/>
    <col min="11275" max="11277" width="4.59765625" style="66" customWidth="1"/>
    <col min="11278" max="11278" width="3.8984375" style="66" customWidth="1"/>
    <col min="11279" max="11279" width="5.5" style="66" customWidth="1"/>
    <col min="11280" max="11280" width="5.69921875" style="66" customWidth="1"/>
    <col min="11281" max="11283" width="4.59765625" style="66" customWidth="1"/>
    <col min="11284" max="11284" width="3.19921875" style="66" customWidth="1"/>
    <col min="11285" max="11520" width="7.69921875" style="66"/>
    <col min="11521" max="11521" width="2.5" style="66" customWidth="1"/>
    <col min="11522" max="11522" width="6.59765625" style="66" customWidth="1"/>
    <col min="11523" max="11530" width="3.19921875" style="66" customWidth="1"/>
    <col min="11531" max="11533" width="4.59765625" style="66" customWidth="1"/>
    <col min="11534" max="11534" width="3.8984375" style="66" customWidth="1"/>
    <col min="11535" max="11535" width="5.5" style="66" customWidth="1"/>
    <col min="11536" max="11536" width="5.69921875" style="66" customWidth="1"/>
    <col min="11537" max="11539" width="4.59765625" style="66" customWidth="1"/>
    <col min="11540" max="11540" width="3.19921875" style="66" customWidth="1"/>
    <col min="11541" max="11776" width="7.69921875" style="66"/>
    <col min="11777" max="11777" width="2.5" style="66" customWidth="1"/>
    <col min="11778" max="11778" width="6.59765625" style="66" customWidth="1"/>
    <col min="11779" max="11786" width="3.19921875" style="66" customWidth="1"/>
    <col min="11787" max="11789" width="4.59765625" style="66" customWidth="1"/>
    <col min="11790" max="11790" width="3.8984375" style="66" customWidth="1"/>
    <col min="11791" max="11791" width="5.5" style="66" customWidth="1"/>
    <col min="11792" max="11792" width="5.69921875" style="66" customWidth="1"/>
    <col min="11793" max="11795" width="4.59765625" style="66" customWidth="1"/>
    <col min="11796" max="11796" width="3.19921875" style="66" customWidth="1"/>
    <col min="11797" max="12032" width="7.69921875" style="66"/>
    <col min="12033" max="12033" width="2.5" style="66" customWidth="1"/>
    <col min="12034" max="12034" width="6.59765625" style="66" customWidth="1"/>
    <col min="12035" max="12042" width="3.19921875" style="66" customWidth="1"/>
    <col min="12043" max="12045" width="4.59765625" style="66" customWidth="1"/>
    <col min="12046" max="12046" width="3.8984375" style="66" customWidth="1"/>
    <col min="12047" max="12047" width="5.5" style="66" customWidth="1"/>
    <col min="12048" max="12048" width="5.69921875" style="66" customWidth="1"/>
    <col min="12049" max="12051" width="4.59765625" style="66" customWidth="1"/>
    <col min="12052" max="12052" width="3.19921875" style="66" customWidth="1"/>
    <col min="12053" max="12288" width="7.69921875" style="66"/>
    <col min="12289" max="12289" width="2.5" style="66" customWidth="1"/>
    <col min="12290" max="12290" width="6.59765625" style="66" customWidth="1"/>
    <col min="12291" max="12298" width="3.19921875" style="66" customWidth="1"/>
    <col min="12299" max="12301" width="4.59765625" style="66" customWidth="1"/>
    <col min="12302" max="12302" width="3.8984375" style="66" customWidth="1"/>
    <col min="12303" max="12303" width="5.5" style="66" customWidth="1"/>
    <col min="12304" max="12304" width="5.69921875" style="66" customWidth="1"/>
    <col min="12305" max="12307" width="4.59765625" style="66" customWidth="1"/>
    <col min="12308" max="12308" width="3.19921875" style="66" customWidth="1"/>
    <col min="12309" max="12544" width="7.69921875" style="66"/>
    <col min="12545" max="12545" width="2.5" style="66" customWidth="1"/>
    <col min="12546" max="12546" width="6.59765625" style="66" customWidth="1"/>
    <col min="12547" max="12554" width="3.19921875" style="66" customWidth="1"/>
    <col min="12555" max="12557" width="4.59765625" style="66" customWidth="1"/>
    <col min="12558" max="12558" width="3.8984375" style="66" customWidth="1"/>
    <col min="12559" max="12559" width="5.5" style="66" customWidth="1"/>
    <col min="12560" max="12560" width="5.69921875" style="66" customWidth="1"/>
    <col min="12561" max="12563" width="4.59765625" style="66" customWidth="1"/>
    <col min="12564" max="12564" width="3.19921875" style="66" customWidth="1"/>
    <col min="12565" max="12800" width="7.69921875" style="66"/>
    <col min="12801" max="12801" width="2.5" style="66" customWidth="1"/>
    <col min="12802" max="12802" width="6.59765625" style="66" customWidth="1"/>
    <col min="12803" max="12810" width="3.19921875" style="66" customWidth="1"/>
    <col min="12811" max="12813" width="4.59765625" style="66" customWidth="1"/>
    <col min="12814" max="12814" width="3.8984375" style="66" customWidth="1"/>
    <col min="12815" max="12815" width="5.5" style="66" customWidth="1"/>
    <col min="12816" max="12816" width="5.69921875" style="66" customWidth="1"/>
    <col min="12817" max="12819" width="4.59765625" style="66" customWidth="1"/>
    <col min="12820" max="12820" width="3.19921875" style="66" customWidth="1"/>
    <col min="12821" max="13056" width="7.69921875" style="66"/>
    <col min="13057" max="13057" width="2.5" style="66" customWidth="1"/>
    <col min="13058" max="13058" width="6.59765625" style="66" customWidth="1"/>
    <col min="13059" max="13066" width="3.19921875" style="66" customWidth="1"/>
    <col min="13067" max="13069" width="4.59765625" style="66" customWidth="1"/>
    <col min="13070" max="13070" width="3.8984375" style="66" customWidth="1"/>
    <col min="13071" max="13071" width="5.5" style="66" customWidth="1"/>
    <col min="13072" max="13072" width="5.69921875" style="66" customWidth="1"/>
    <col min="13073" max="13075" width="4.59765625" style="66" customWidth="1"/>
    <col min="13076" max="13076" width="3.19921875" style="66" customWidth="1"/>
    <col min="13077" max="13312" width="7.69921875" style="66"/>
    <col min="13313" max="13313" width="2.5" style="66" customWidth="1"/>
    <col min="13314" max="13314" width="6.59765625" style="66" customWidth="1"/>
    <col min="13315" max="13322" width="3.19921875" style="66" customWidth="1"/>
    <col min="13323" max="13325" width="4.59765625" style="66" customWidth="1"/>
    <col min="13326" max="13326" width="3.8984375" style="66" customWidth="1"/>
    <col min="13327" max="13327" width="5.5" style="66" customWidth="1"/>
    <col min="13328" max="13328" width="5.69921875" style="66" customWidth="1"/>
    <col min="13329" max="13331" width="4.59765625" style="66" customWidth="1"/>
    <col min="13332" max="13332" width="3.19921875" style="66" customWidth="1"/>
    <col min="13333" max="13568" width="7.69921875" style="66"/>
    <col min="13569" max="13569" width="2.5" style="66" customWidth="1"/>
    <col min="13570" max="13570" width="6.59765625" style="66" customWidth="1"/>
    <col min="13571" max="13578" width="3.19921875" style="66" customWidth="1"/>
    <col min="13579" max="13581" width="4.59765625" style="66" customWidth="1"/>
    <col min="13582" max="13582" width="3.8984375" style="66" customWidth="1"/>
    <col min="13583" max="13583" width="5.5" style="66" customWidth="1"/>
    <col min="13584" max="13584" width="5.69921875" style="66" customWidth="1"/>
    <col min="13585" max="13587" width="4.59765625" style="66" customWidth="1"/>
    <col min="13588" max="13588" width="3.19921875" style="66" customWidth="1"/>
    <col min="13589" max="13824" width="7.69921875" style="66"/>
    <col min="13825" max="13825" width="2.5" style="66" customWidth="1"/>
    <col min="13826" max="13826" width="6.59765625" style="66" customWidth="1"/>
    <col min="13827" max="13834" width="3.19921875" style="66" customWidth="1"/>
    <col min="13835" max="13837" width="4.59765625" style="66" customWidth="1"/>
    <col min="13838" max="13838" width="3.8984375" style="66" customWidth="1"/>
    <col min="13839" max="13839" width="5.5" style="66" customWidth="1"/>
    <col min="13840" max="13840" width="5.69921875" style="66" customWidth="1"/>
    <col min="13841" max="13843" width="4.59765625" style="66" customWidth="1"/>
    <col min="13844" max="13844" width="3.19921875" style="66" customWidth="1"/>
    <col min="13845" max="14080" width="7.69921875" style="66"/>
    <col min="14081" max="14081" width="2.5" style="66" customWidth="1"/>
    <col min="14082" max="14082" width="6.59765625" style="66" customWidth="1"/>
    <col min="14083" max="14090" width="3.19921875" style="66" customWidth="1"/>
    <col min="14091" max="14093" width="4.59765625" style="66" customWidth="1"/>
    <col min="14094" max="14094" width="3.8984375" style="66" customWidth="1"/>
    <col min="14095" max="14095" width="5.5" style="66" customWidth="1"/>
    <col min="14096" max="14096" width="5.69921875" style="66" customWidth="1"/>
    <col min="14097" max="14099" width="4.59765625" style="66" customWidth="1"/>
    <col min="14100" max="14100" width="3.19921875" style="66" customWidth="1"/>
    <col min="14101" max="14336" width="7.69921875" style="66"/>
    <col min="14337" max="14337" width="2.5" style="66" customWidth="1"/>
    <col min="14338" max="14338" width="6.59765625" style="66" customWidth="1"/>
    <col min="14339" max="14346" width="3.19921875" style="66" customWidth="1"/>
    <col min="14347" max="14349" width="4.59765625" style="66" customWidth="1"/>
    <col min="14350" max="14350" width="3.8984375" style="66" customWidth="1"/>
    <col min="14351" max="14351" width="5.5" style="66" customWidth="1"/>
    <col min="14352" max="14352" width="5.69921875" style="66" customWidth="1"/>
    <col min="14353" max="14355" width="4.59765625" style="66" customWidth="1"/>
    <col min="14356" max="14356" width="3.19921875" style="66" customWidth="1"/>
    <col min="14357" max="14592" width="7.69921875" style="66"/>
    <col min="14593" max="14593" width="2.5" style="66" customWidth="1"/>
    <col min="14594" max="14594" width="6.59765625" style="66" customWidth="1"/>
    <col min="14595" max="14602" width="3.19921875" style="66" customWidth="1"/>
    <col min="14603" max="14605" width="4.59765625" style="66" customWidth="1"/>
    <col min="14606" max="14606" width="3.8984375" style="66" customWidth="1"/>
    <col min="14607" max="14607" width="5.5" style="66" customWidth="1"/>
    <col min="14608" max="14608" width="5.69921875" style="66" customWidth="1"/>
    <col min="14609" max="14611" width="4.59765625" style="66" customWidth="1"/>
    <col min="14612" max="14612" width="3.19921875" style="66" customWidth="1"/>
    <col min="14613" max="14848" width="7.69921875" style="66"/>
    <col min="14849" max="14849" width="2.5" style="66" customWidth="1"/>
    <col min="14850" max="14850" width="6.59765625" style="66" customWidth="1"/>
    <col min="14851" max="14858" width="3.19921875" style="66" customWidth="1"/>
    <col min="14859" max="14861" width="4.59765625" style="66" customWidth="1"/>
    <col min="14862" max="14862" width="3.8984375" style="66" customWidth="1"/>
    <col min="14863" max="14863" width="5.5" style="66" customWidth="1"/>
    <col min="14864" max="14864" width="5.69921875" style="66" customWidth="1"/>
    <col min="14865" max="14867" width="4.59765625" style="66" customWidth="1"/>
    <col min="14868" max="14868" width="3.19921875" style="66" customWidth="1"/>
    <col min="14869" max="15104" width="7.69921875" style="66"/>
    <col min="15105" max="15105" width="2.5" style="66" customWidth="1"/>
    <col min="15106" max="15106" width="6.59765625" style="66" customWidth="1"/>
    <col min="15107" max="15114" width="3.19921875" style="66" customWidth="1"/>
    <col min="15115" max="15117" width="4.59765625" style="66" customWidth="1"/>
    <col min="15118" max="15118" width="3.8984375" style="66" customWidth="1"/>
    <col min="15119" max="15119" width="5.5" style="66" customWidth="1"/>
    <col min="15120" max="15120" width="5.69921875" style="66" customWidth="1"/>
    <col min="15121" max="15123" width="4.59765625" style="66" customWidth="1"/>
    <col min="15124" max="15124" width="3.19921875" style="66" customWidth="1"/>
    <col min="15125" max="15360" width="7.69921875" style="66"/>
    <col min="15361" max="15361" width="2.5" style="66" customWidth="1"/>
    <col min="15362" max="15362" width="6.59765625" style="66" customWidth="1"/>
    <col min="15363" max="15370" width="3.19921875" style="66" customWidth="1"/>
    <col min="15371" max="15373" width="4.59765625" style="66" customWidth="1"/>
    <col min="15374" max="15374" width="3.8984375" style="66" customWidth="1"/>
    <col min="15375" max="15375" width="5.5" style="66" customWidth="1"/>
    <col min="15376" max="15376" width="5.69921875" style="66" customWidth="1"/>
    <col min="15377" max="15379" width="4.59765625" style="66" customWidth="1"/>
    <col min="15380" max="15380" width="3.19921875" style="66" customWidth="1"/>
    <col min="15381" max="15616" width="7.69921875" style="66"/>
    <col min="15617" max="15617" width="2.5" style="66" customWidth="1"/>
    <col min="15618" max="15618" width="6.59765625" style="66" customWidth="1"/>
    <col min="15619" max="15626" width="3.19921875" style="66" customWidth="1"/>
    <col min="15627" max="15629" width="4.59765625" style="66" customWidth="1"/>
    <col min="15630" max="15630" width="3.8984375" style="66" customWidth="1"/>
    <col min="15631" max="15631" width="5.5" style="66" customWidth="1"/>
    <col min="15632" max="15632" width="5.69921875" style="66" customWidth="1"/>
    <col min="15633" max="15635" width="4.59765625" style="66" customWidth="1"/>
    <col min="15636" max="15636" width="3.19921875" style="66" customWidth="1"/>
    <col min="15637" max="15872" width="7.69921875" style="66"/>
    <col min="15873" max="15873" width="2.5" style="66" customWidth="1"/>
    <col min="15874" max="15874" width="6.59765625" style="66" customWidth="1"/>
    <col min="15875" max="15882" width="3.19921875" style="66" customWidth="1"/>
    <col min="15883" max="15885" width="4.59765625" style="66" customWidth="1"/>
    <col min="15886" max="15886" width="3.8984375" style="66" customWidth="1"/>
    <col min="15887" max="15887" width="5.5" style="66" customWidth="1"/>
    <col min="15888" max="15888" width="5.69921875" style="66" customWidth="1"/>
    <col min="15889" max="15891" width="4.59765625" style="66" customWidth="1"/>
    <col min="15892" max="15892" width="3.19921875" style="66" customWidth="1"/>
    <col min="15893" max="16128" width="7.69921875" style="66"/>
    <col min="16129" max="16129" width="2.5" style="66" customWidth="1"/>
    <col min="16130" max="16130" width="6.59765625" style="66" customWidth="1"/>
    <col min="16131" max="16138" width="3.19921875" style="66" customWidth="1"/>
    <col min="16139" max="16141" width="4.59765625" style="66" customWidth="1"/>
    <col min="16142" max="16142" width="3.8984375" style="66" customWidth="1"/>
    <col min="16143" max="16143" width="5.5" style="66" customWidth="1"/>
    <col min="16144" max="16144" width="5.69921875" style="66" customWidth="1"/>
    <col min="16145" max="16147" width="4.59765625" style="66" customWidth="1"/>
    <col min="16148" max="16148" width="3.19921875" style="66" customWidth="1"/>
    <col min="16149" max="16384" width="7.69921875" style="66"/>
  </cols>
  <sheetData>
    <row r="1" spans="1:25" s="60" customFormat="1" ht="16.5" customHeight="1">
      <c r="B1" s="174"/>
      <c r="T1" s="174"/>
      <c r="U1" s="59" t="s">
        <v>340</v>
      </c>
    </row>
    <row r="2" spans="1:25" ht="19.5" customHeight="1">
      <c r="A2" s="67" t="s">
        <v>730</v>
      </c>
      <c r="B2" s="65"/>
      <c r="C2" s="59"/>
      <c r="D2" s="59"/>
      <c r="E2" s="59"/>
      <c r="F2" s="59"/>
      <c r="G2" s="59"/>
      <c r="H2" s="59"/>
      <c r="I2" s="59"/>
      <c r="J2" s="59"/>
      <c r="K2" s="59"/>
      <c r="L2" s="59"/>
      <c r="M2" s="59"/>
      <c r="N2" s="59"/>
      <c r="O2" s="59"/>
      <c r="P2" s="59"/>
      <c r="Q2" s="171" t="str">
        <f>'SP4-1'!L2</f>
        <v>Spreadsheet May 2025</v>
      </c>
      <c r="R2" s="59"/>
      <c r="S2" s="59"/>
      <c r="T2" s="123"/>
      <c r="U2" s="236" t="s">
        <v>341</v>
      </c>
      <c r="V2" s="59"/>
      <c r="W2" s="59"/>
      <c r="X2" s="59"/>
      <c r="Y2" s="59"/>
    </row>
    <row r="3" spans="1:25" s="60" customFormat="1" ht="11.25" customHeight="1">
      <c r="A3" s="65" t="s">
        <v>764</v>
      </c>
      <c r="B3" s="65"/>
      <c r="C3" s="59"/>
      <c r="D3" s="59"/>
      <c r="E3" s="59"/>
      <c r="F3" s="59"/>
      <c r="G3" s="59"/>
      <c r="H3" s="59"/>
      <c r="I3" s="59"/>
      <c r="J3" s="59"/>
      <c r="K3" s="59"/>
      <c r="L3" s="59"/>
      <c r="M3" s="59"/>
      <c r="N3" s="59"/>
      <c r="O3" s="59"/>
      <c r="P3" s="59"/>
      <c r="Q3" s="59"/>
      <c r="R3" s="59"/>
      <c r="S3" s="59"/>
      <c r="T3" s="123"/>
      <c r="U3" s="59"/>
      <c r="V3" s="59"/>
      <c r="W3" s="59"/>
      <c r="X3" s="59"/>
      <c r="Y3" s="59"/>
    </row>
    <row r="4" spans="1:25" ht="31.5" customHeight="1">
      <c r="A4" s="67"/>
      <c r="B4" s="533" t="s">
        <v>765</v>
      </c>
      <c r="C4" s="533"/>
      <c r="D4" s="533"/>
      <c r="E4" s="533"/>
      <c r="F4" s="533"/>
      <c r="G4" s="533"/>
      <c r="H4" s="533"/>
      <c r="I4" s="533"/>
      <c r="J4" s="533"/>
      <c r="K4" s="533"/>
      <c r="L4" s="533"/>
      <c r="M4" s="533"/>
      <c r="N4" s="533"/>
      <c r="O4" s="533"/>
      <c r="P4" s="533"/>
      <c r="Q4" s="533"/>
      <c r="R4" s="533"/>
      <c r="S4" s="533"/>
      <c r="T4" s="533"/>
      <c r="U4" s="59"/>
      <c r="V4" s="59"/>
      <c r="W4" s="59"/>
      <c r="X4" s="59"/>
      <c r="Y4" s="59"/>
    </row>
    <row r="5" spans="1:25" s="60" customFormat="1" ht="14.25" customHeight="1">
      <c r="A5" s="123"/>
      <c r="B5" s="123"/>
      <c r="C5" s="59"/>
      <c r="D5" s="59"/>
      <c r="E5" s="59"/>
      <c r="F5" s="59"/>
      <c r="G5" s="59"/>
      <c r="H5" s="59"/>
      <c r="I5" s="59"/>
      <c r="J5" s="59"/>
      <c r="K5" s="59"/>
      <c r="L5" s="59"/>
      <c r="M5" s="59"/>
      <c r="N5" s="59"/>
      <c r="O5" s="59"/>
      <c r="P5" s="59"/>
      <c r="Q5" s="59"/>
      <c r="R5" s="59"/>
      <c r="S5" s="59"/>
      <c r="T5" s="123"/>
      <c r="U5" s="59"/>
      <c r="V5" s="534"/>
      <c r="W5" s="534"/>
      <c r="X5" s="534"/>
      <c r="Y5" s="59"/>
    </row>
    <row r="6" spans="1:25" s="59" customFormat="1" ht="3.75" customHeight="1">
      <c r="A6" s="298"/>
      <c r="B6" s="298"/>
      <c r="C6" s="299"/>
      <c r="D6" s="299"/>
      <c r="E6" s="299"/>
      <c r="F6" s="299"/>
      <c r="G6" s="299"/>
      <c r="H6" s="299"/>
      <c r="I6" s="299"/>
      <c r="J6" s="299"/>
      <c r="K6" s="299"/>
      <c r="L6" s="299"/>
      <c r="M6" s="299"/>
      <c r="N6" s="299"/>
      <c r="O6" s="299"/>
      <c r="P6" s="299"/>
      <c r="Q6" s="299"/>
      <c r="R6" s="299"/>
      <c r="S6" s="299"/>
      <c r="T6" s="298"/>
    </row>
    <row r="7" spans="1:25" s="60" customFormat="1" ht="19.5" customHeight="1">
      <c r="A7" s="314">
        <v>1</v>
      </c>
      <c r="B7" s="487" t="s">
        <v>766</v>
      </c>
      <c r="C7" s="487"/>
      <c r="D7" s="487"/>
      <c r="E7" s="487"/>
      <c r="F7" s="487"/>
      <c r="G7" s="487"/>
      <c r="H7" s="487"/>
      <c r="I7" s="487"/>
      <c r="J7" s="487"/>
      <c r="K7" s="487"/>
      <c r="L7" s="487"/>
      <c r="M7" s="487"/>
      <c r="N7" s="487"/>
      <c r="O7" s="487"/>
      <c r="P7" s="299"/>
      <c r="Q7" s="299"/>
      <c r="R7" s="299"/>
      <c r="S7" s="299"/>
      <c r="T7" s="298"/>
      <c r="U7" s="59"/>
      <c r="V7" s="59"/>
      <c r="W7" s="59"/>
      <c r="X7" s="59"/>
      <c r="Y7" s="59"/>
    </row>
    <row r="8" spans="1:25" s="60" customFormat="1" ht="19.5" customHeight="1">
      <c r="A8" s="298"/>
      <c r="B8" s="299"/>
      <c r="C8" s="299"/>
      <c r="D8" s="299"/>
      <c r="E8" s="299"/>
      <c r="F8" s="299"/>
      <c r="G8" s="299"/>
      <c r="H8" s="299"/>
      <c r="I8" s="299"/>
      <c r="J8" s="313" t="s">
        <v>255</v>
      </c>
      <c r="K8" s="552"/>
      <c r="L8" s="552"/>
      <c r="M8" s="552"/>
      <c r="N8" s="299" t="s">
        <v>375</v>
      </c>
      <c r="O8" s="319">
        <f>Tables!O16</f>
        <v>0.98039215686274506</v>
      </c>
      <c r="P8" s="313" t="s">
        <v>388</v>
      </c>
      <c r="Q8" s="539">
        <f>K8*O8</f>
        <v>0</v>
      </c>
      <c r="R8" s="539"/>
      <c r="S8" s="539"/>
      <c r="T8" s="314" t="s">
        <v>376</v>
      </c>
      <c r="U8" s="59"/>
      <c r="V8" s="59"/>
      <c r="W8" s="59"/>
      <c r="X8" s="59"/>
      <c r="Y8" s="59"/>
    </row>
    <row r="9" spans="1:25" s="60" customFormat="1" ht="19.5" customHeight="1">
      <c r="A9" s="298"/>
      <c r="B9" s="299" t="s">
        <v>767</v>
      </c>
      <c r="C9" s="299"/>
      <c r="D9" s="299"/>
      <c r="E9" s="299"/>
      <c r="F9" s="299"/>
      <c r="G9" s="299"/>
      <c r="H9" s="299"/>
      <c r="I9" s="299"/>
      <c r="J9" s="299"/>
      <c r="K9" s="299"/>
      <c r="L9" s="299"/>
      <c r="M9" s="299"/>
      <c r="N9" s="299"/>
      <c r="O9" s="299"/>
      <c r="P9" s="299"/>
      <c r="Q9" s="299"/>
      <c r="R9" s="299"/>
      <c r="S9" s="299"/>
      <c r="T9" s="314"/>
      <c r="U9" s="59"/>
      <c r="V9" s="59"/>
      <c r="W9" s="59"/>
      <c r="X9" s="59"/>
      <c r="Y9" s="59"/>
    </row>
    <row r="10" spans="1:25" s="60" customFormat="1" ht="40.799999999999997">
      <c r="A10" s="298"/>
      <c r="B10" s="554"/>
      <c r="C10" s="554"/>
      <c r="D10" s="554"/>
      <c r="E10" s="554"/>
      <c r="F10" s="554"/>
      <c r="G10" s="554"/>
      <c r="H10" s="554"/>
      <c r="I10" s="554"/>
      <c r="J10" s="554"/>
      <c r="K10" s="554"/>
      <c r="L10" s="554"/>
      <c r="M10" s="554"/>
      <c r="N10" s="554"/>
      <c r="O10" s="554"/>
      <c r="P10" s="554"/>
      <c r="Q10" s="554"/>
      <c r="R10" s="554"/>
      <c r="S10" s="554"/>
      <c r="T10" s="324" t="s">
        <v>610</v>
      </c>
      <c r="U10" s="59"/>
      <c r="V10" s="59"/>
      <c r="W10" s="59"/>
      <c r="X10" s="59"/>
      <c r="Y10" s="59"/>
    </row>
    <row r="11" spans="1:25" s="172" customFormat="1" ht="4.5" customHeight="1">
      <c r="A11" s="302"/>
      <c r="B11" s="301"/>
      <c r="C11" s="301"/>
      <c r="D11" s="301"/>
      <c r="E11" s="301"/>
      <c r="F11" s="301"/>
      <c r="G11" s="301"/>
      <c r="H11" s="301"/>
      <c r="I11" s="301"/>
      <c r="J11" s="301"/>
      <c r="K11" s="301"/>
      <c r="L11" s="301"/>
      <c r="M11" s="301"/>
      <c r="N11" s="301"/>
      <c r="O11" s="301"/>
      <c r="P11" s="301"/>
      <c r="Q11" s="301"/>
      <c r="R11" s="301"/>
      <c r="S11" s="301"/>
      <c r="T11" s="302"/>
      <c r="U11" s="237"/>
      <c r="V11" s="237"/>
      <c r="W11" s="237"/>
      <c r="X11" s="237"/>
      <c r="Y11" s="237"/>
    </row>
    <row r="12" spans="1:25" s="173" customFormat="1" ht="4.5" customHeight="1">
      <c r="A12" s="306"/>
      <c r="B12" s="305"/>
      <c r="C12" s="305"/>
      <c r="D12" s="305"/>
      <c r="E12" s="305"/>
      <c r="F12" s="305"/>
      <c r="G12" s="305"/>
      <c r="H12" s="305"/>
      <c r="I12" s="305"/>
      <c r="J12" s="305"/>
      <c r="K12" s="305"/>
      <c r="L12" s="305"/>
      <c r="M12" s="305"/>
      <c r="N12" s="305"/>
      <c r="O12" s="305"/>
      <c r="P12" s="305"/>
      <c r="Q12" s="305"/>
      <c r="R12" s="305"/>
      <c r="S12" s="305"/>
      <c r="T12" s="306"/>
      <c r="U12" s="239"/>
      <c r="V12" s="239"/>
      <c r="W12" s="239"/>
      <c r="X12" s="239"/>
      <c r="Y12" s="239"/>
    </row>
    <row r="13" spans="1:25" s="60" customFormat="1" ht="19.5" customHeight="1">
      <c r="A13" s="314">
        <v>2</v>
      </c>
      <c r="B13" s="487" t="s">
        <v>389</v>
      </c>
      <c r="C13" s="487"/>
      <c r="D13" s="487"/>
      <c r="E13" s="487"/>
      <c r="F13" s="487"/>
      <c r="G13" s="487"/>
      <c r="H13" s="299"/>
      <c r="I13" s="299"/>
      <c r="J13" s="299"/>
      <c r="K13" s="299"/>
      <c r="L13" s="299"/>
      <c r="M13" s="299"/>
      <c r="N13" s="299"/>
      <c r="O13" s="299"/>
      <c r="P13" s="313" t="s">
        <v>255</v>
      </c>
      <c r="Q13" s="537"/>
      <c r="R13" s="537"/>
      <c r="S13" s="537"/>
      <c r="T13" s="314" t="s">
        <v>386</v>
      </c>
      <c r="U13" s="59"/>
      <c r="V13" s="59"/>
      <c r="W13" s="59"/>
      <c r="X13" s="59"/>
      <c r="Y13" s="59"/>
    </row>
    <row r="14" spans="1:25" s="172" customFormat="1" ht="3.75" customHeight="1">
      <c r="A14" s="302"/>
      <c r="B14" s="301"/>
      <c r="C14" s="301"/>
      <c r="D14" s="301"/>
      <c r="E14" s="301"/>
      <c r="F14" s="301"/>
      <c r="G14" s="301"/>
      <c r="H14" s="301"/>
      <c r="I14" s="301"/>
      <c r="J14" s="301"/>
      <c r="K14" s="301"/>
      <c r="L14" s="301"/>
      <c r="M14" s="301"/>
      <c r="N14" s="301"/>
      <c r="O14" s="301"/>
      <c r="P14" s="301"/>
      <c r="Q14" s="301"/>
      <c r="R14" s="301"/>
      <c r="S14" s="301"/>
      <c r="T14" s="302"/>
      <c r="U14" s="237"/>
      <c r="V14" s="237"/>
      <c r="W14" s="237"/>
      <c r="X14" s="237"/>
      <c r="Y14" s="237"/>
    </row>
    <row r="15" spans="1:25" s="60" customFormat="1" ht="19.5" customHeight="1">
      <c r="A15" s="314">
        <v>3</v>
      </c>
      <c r="B15" s="529" t="s">
        <v>768</v>
      </c>
      <c r="C15" s="529"/>
      <c r="D15" s="529"/>
      <c r="E15" s="529"/>
      <c r="F15" s="529"/>
      <c r="G15" s="529"/>
      <c r="H15" s="529"/>
      <c r="I15" s="529"/>
      <c r="J15" s="529"/>
      <c r="K15" s="529"/>
      <c r="L15" s="529"/>
      <c r="M15" s="529"/>
      <c r="N15" s="529"/>
      <c r="O15" s="299"/>
      <c r="P15" s="299"/>
      <c r="Q15" s="299"/>
      <c r="R15" s="299"/>
      <c r="S15" s="299"/>
      <c r="T15" s="314"/>
      <c r="U15" s="59"/>
      <c r="V15" s="59"/>
      <c r="W15" s="59"/>
      <c r="X15" s="59"/>
      <c r="Y15" s="59"/>
    </row>
    <row r="16" spans="1:25" s="60" customFormat="1" ht="19.5" customHeight="1">
      <c r="A16" s="298"/>
      <c r="B16" s="299"/>
      <c r="C16" s="299"/>
      <c r="D16" s="299"/>
      <c r="E16" s="299"/>
      <c r="F16" s="313" t="s">
        <v>390</v>
      </c>
      <c r="G16" s="299">
        <f>'SP4-1'!I27</f>
        <v>40</v>
      </c>
      <c r="H16" s="299"/>
      <c r="I16" s="299"/>
      <c r="J16" s="313" t="s">
        <v>769</v>
      </c>
      <c r="K16" s="552"/>
      <c r="L16" s="552"/>
      <c r="M16" s="552"/>
      <c r="N16" s="299" t="s">
        <v>375</v>
      </c>
      <c r="O16" s="299">
        <f>Tables!O12-Tables!O11</f>
        <v>26.758906827257633</v>
      </c>
      <c r="P16" s="313" t="s">
        <v>770</v>
      </c>
      <c r="Q16" s="535">
        <f>K16*O16</f>
        <v>0</v>
      </c>
      <c r="R16" s="535"/>
      <c r="S16" s="535"/>
      <c r="T16" s="314" t="s">
        <v>387</v>
      </c>
      <c r="U16" s="59"/>
      <c r="V16" s="59"/>
      <c r="W16" s="59"/>
      <c r="X16" s="59"/>
      <c r="Y16" s="59"/>
    </row>
    <row r="17" spans="1:25" s="172" customFormat="1" ht="3.75" customHeight="1">
      <c r="A17" s="302"/>
      <c r="B17" s="301"/>
      <c r="C17" s="301"/>
      <c r="D17" s="301"/>
      <c r="E17" s="301"/>
      <c r="F17" s="301"/>
      <c r="G17" s="301"/>
      <c r="H17" s="301"/>
      <c r="I17" s="301"/>
      <c r="J17" s="301"/>
      <c r="K17" s="301"/>
      <c r="L17" s="301"/>
      <c r="M17" s="301"/>
      <c r="N17" s="301"/>
      <c r="O17" s="301"/>
      <c r="P17" s="301"/>
      <c r="Q17" s="301"/>
      <c r="R17" s="301"/>
      <c r="S17" s="301"/>
      <c r="T17" s="302"/>
      <c r="U17" s="237"/>
      <c r="V17" s="237"/>
      <c r="W17" s="237"/>
      <c r="X17" s="237"/>
      <c r="Y17" s="237"/>
    </row>
    <row r="18" spans="1:25" s="60" customFormat="1" ht="19.5" customHeight="1">
      <c r="A18" s="314">
        <v>4</v>
      </c>
      <c r="B18" s="529" t="s">
        <v>391</v>
      </c>
      <c r="C18" s="529"/>
      <c r="D18" s="529"/>
      <c r="E18" s="529"/>
      <c r="F18" s="529"/>
      <c r="G18" s="529"/>
      <c r="H18" s="529"/>
      <c r="I18" s="299"/>
      <c r="J18" s="299"/>
      <c r="K18" s="299"/>
      <c r="L18" s="299"/>
      <c r="M18" s="299"/>
      <c r="N18" s="299"/>
      <c r="O18" s="299"/>
      <c r="P18" s="299"/>
      <c r="Q18" s="299"/>
      <c r="R18" s="299"/>
      <c r="S18" s="299"/>
      <c r="T18" s="298"/>
      <c r="U18" s="59"/>
      <c r="V18" s="59"/>
      <c r="W18" s="59"/>
      <c r="X18" s="59"/>
      <c r="Y18" s="59"/>
    </row>
    <row r="19" spans="1:25" s="60" customFormat="1" ht="19.5" customHeight="1">
      <c r="A19" s="314"/>
      <c r="B19" s="299" t="s">
        <v>377</v>
      </c>
      <c r="C19" s="299"/>
      <c r="D19" s="299"/>
      <c r="E19" s="299"/>
      <c r="F19" s="299"/>
      <c r="G19" s="299"/>
      <c r="H19" s="299"/>
      <c r="I19" s="299"/>
      <c r="J19" s="299"/>
      <c r="K19" s="299"/>
      <c r="L19" s="299"/>
      <c r="M19" s="299"/>
      <c r="N19" s="299"/>
      <c r="O19" s="299"/>
      <c r="P19" s="299"/>
      <c r="Q19" s="553">
        <f>'SP4-1'!I25</f>
        <v>0</v>
      </c>
      <c r="R19" s="553"/>
      <c r="S19" s="553"/>
      <c r="T19" s="314"/>
      <c r="U19" s="59"/>
      <c r="V19" s="59"/>
      <c r="W19" s="59"/>
      <c r="X19" s="59"/>
      <c r="Y19" s="59"/>
    </row>
    <row r="20" spans="1:25" s="60" customFormat="1" ht="19.5" customHeight="1">
      <c r="A20" s="298"/>
      <c r="B20" s="299" t="s">
        <v>379</v>
      </c>
      <c r="C20" s="299"/>
      <c r="D20" s="299"/>
      <c r="E20" s="299"/>
      <c r="F20" s="299"/>
      <c r="G20" s="299"/>
      <c r="H20" s="299"/>
      <c r="I20" s="299"/>
      <c r="J20" s="299"/>
      <c r="K20" s="299"/>
      <c r="L20" s="299"/>
      <c r="M20" s="299"/>
      <c r="N20" s="299"/>
      <c r="O20" s="299"/>
      <c r="P20" s="299"/>
      <c r="Q20" s="299"/>
      <c r="R20" s="299"/>
      <c r="S20" s="299"/>
      <c r="T20" s="298"/>
      <c r="U20" s="59"/>
      <c r="V20" s="59"/>
      <c r="W20" s="59"/>
      <c r="X20" s="59"/>
      <c r="Y20" s="59"/>
    </row>
    <row r="21" spans="1:25" s="60" customFormat="1" ht="19.5" customHeight="1">
      <c r="A21" s="298"/>
      <c r="B21" s="321" t="s">
        <v>380</v>
      </c>
      <c r="C21" s="544" t="s">
        <v>381</v>
      </c>
      <c r="D21" s="544"/>
      <c r="E21" s="544"/>
      <c r="F21" s="544"/>
      <c r="G21" s="544"/>
      <c r="H21" s="544"/>
      <c r="I21" s="544"/>
      <c r="J21" s="544"/>
      <c r="K21" s="544" t="s">
        <v>382</v>
      </c>
      <c r="L21" s="544"/>
      <c r="M21" s="544"/>
      <c r="N21" s="544" t="s">
        <v>383</v>
      </c>
      <c r="O21" s="544"/>
      <c r="P21" s="544"/>
      <c r="Q21" s="544" t="s">
        <v>268</v>
      </c>
      <c r="R21" s="544"/>
      <c r="S21" s="544"/>
      <c r="T21" s="298"/>
      <c r="U21" s="59"/>
      <c r="V21" s="59"/>
      <c r="W21" s="59"/>
      <c r="X21" s="59"/>
      <c r="Y21" s="59"/>
    </row>
    <row r="22" spans="1:25" s="60" customFormat="1" ht="19.5" customHeight="1">
      <c r="A22" s="298"/>
      <c r="B22" s="322"/>
      <c r="C22" s="550"/>
      <c r="D22" s="550"/>
      <c r="E22" s="550"/>
      <c r="F22" s="550"/>
      <c r="G22" s="550"/>
      <c r="H22" s="550"/>
      <c r="I22" s="550"/>
      <c r="J22" s="550"/>
      <c r="K22" s="551"/>
      <c r="L22" s="551"/>
      <c r="M22" s="551"/>
      <c r="N22" s="538" t="str">
        <f>Tables!P24</f>
        <v/>
      </c>
      <c r="O22" s="538"/>
      <c r="P22" s="538"/>
      <c r="Q22" s="539" t="str">
        <f>IF(N22="","",K22*N22)</f>
        <v/>
      </c>
      <c r="R22" s="539"/>
      <c r="S22" s="539"/>
      <c r="T22" s="298"/>
      <c r="U22" s="59"/>
      <c r="V22" s="59"/>
      <c r="W22" s="59"/>
      <c r="X22" s="59"/>
      <c r="Y22" s="59"/>
    </row>
    <row r="23" spans="1:25" s="60" customFormat="1" ht="19.5" customHeight="1">
      <c r="A23" s="298"/>
      <c r="B23" s="322"/>
      <c r="C23" s="550"/>
      <c r="D23" s="550"/>
      <c r="E23" s="550"/>
      <c r="F23" s="550"/>
      <c r="G23" s="550"/>
      <c r="H23" s="550"/>
      <c r="I23" s="550"/>
      <c r="J23" s="550"/>
      <c r="K23" s="551"/>
      <c r="L23" s="551"/>
      <c r="M23" s="551"/>
      <c r="N23" s="538" t="str">
        <f>Tables!P25</f>
        <v/>
      </c>
      <c r="O23" s="538"/>
      <c r="P23" s="538"/>
      <c r="Q23" s="539" t="str">
        <f>IF(N23="","",K23*N23)</f>
        <v/>
      </c>
      <c r="R23" s="539"/>
      <c r="S23" s="539"/>
      <c r="T23" s="298"/>
      <c r="U23" s="59"/>
      <c r="V23" s="59"/>
      <c r="W23" s="59"/>
      <c r="X23" s="59"/>
      <c r="Y23" s="59"/>
    </row>
    <row r="24" spans="1:25" s="60" customFormat="1" ht="19.5" customHeight="1">
      <c r="A24" s="298"/>
      <c r="B24" s="322"/>
      <c r="C24" s="550"/>
      <c r="D24" s="550"/>
      <c r="E24" s="550"/>
      <c r="F24" s="550"/>
      <c r="G24" s="550"/>
      <c r="H24" s="550"/>
      <c r="I24" s="550"/>
      <c r="J24" s="550"/>
      <c r="K24" s="551"/>
      <c r="L24" s="551"/>
      <c r="M24" s="551"/>
      <c r="N24" s="538" t="str">
        <f>Tables!P26</f>
        <v/>
      </c>
      <c r="O24" s="538"/>
      <c r="P24" s="538"/>
      <c r="Q24" s="539" t="str">
        <f>IF(N24="","",K24*N24)</f>
        <v/>
      </c>
      <c r="R24" s="539"/>
      <c r="S24" s="539"/>
      <c r="T24" s="298"/>
      <c r="U24" s="59"/>
      <c r="V24" s="59"/>
      <c r="W24" s="59"/>
      <c r="X24" s="59"/>
      <c r="Y24" s="59"/>
    </row>
    <row r="25" spans="1:25" s="60" customFormat="1" ht="19.5" customHeight="1">
      <c r="A25" s="298"/>
      <c r="B25" s="322"/>
      <c r="C25" s="550"/>
      <c r="D25" s="550"/>
      <c r="E25" s="550"/>
      <c r="F25" s="550"/>
      <c r="G25" s="550"/>
      <c r="H25" s="550"/>
      <c r="I25" s="550"/>
      <c r="J25" s="550"/>
      <c r="K25" s="551"/>
      <c r="L25" s="551"/>
      <c r="M25" s="551"/>
      <c r="N25" s="538" t="str">
        <f>Tables!P27</f>
        <v/>
      </c>
      <c r="O25" s="538"/>
      <c r="P25" s="538"/>
      <c r="Q25" s="539" t="str">
        <f t="shared" ref="Q25:Q30" si="0">IF(N25="","",K25*N25)</f>
        <v/>
      </c>
      <c r="R25" s="539"/>
      <c r="S25" s="539"/>
      <c r="T25" s="298"/>
      <c r="U25" s="59"/>
      <c r="V25" s="59"/>
      <c r="W25" s="59"/>
      <c r="X25" s="59"/>
      <c r="Y25" s="59"/>
    </row>
    <row r="26" spans="1:25" s="60" customFormat="1" ht="19.5" customHeight="1">
      <c r="A26" s="298"/>
      <c r="B26" s="322"/>
      <c r="C26" s="550"/>
      <c r="D26" s="550"/>
      <c r="E26" s="550"/>
      <c r="F26" s="550"/>
      <c r="G26" s="550"/>
      <c r="H26" s="550"/>
      <c r="I26" s="550"/>
      <c r="J26" s="550"/>
      <c r="K26" s="551"/>
      <c r="L26" s="551"/>
      <c r="M26" s="551"/>
      <c r="N26" s="538" t="str">
        <f>Tables!P28</f>
        <v/>
      </c>
      <c r="O26" s="538"/>
      <c r="P26" s="538"/>
      <c r="Q26" s="539" t="str">
        <f t="shared" si="0"/>
        <v/>
      </c>
      <c r="R26" s="539"/>
      <c r="S26" s="539"/>
      <c r="T26" s="298"/>
      <c r="U26" s="59"/>
      <c r="V26" s="59"/>
      <c r="W26" s="59"/>
      <c r="X26" s="59"/>
      <c r="Y26" s="59"/>
    </row>
    <row r="27" spans="1:25" s="60" customFormat="1" ht="19.5" customHeight="1">
      <c r="A27" s="298"/>
      <c r="B27" s="322"/>
      <c r="C27" s="550"/>
      <c r="D27" s="550"/>
      <c r="E27" s="550"/>
      <c r="F27" s="550"/>
      <c r="G27" s="550"/>
      <c r="H27" s="550"/>
      <c r="I27" s="550"/>
      <c r="J27" s="550"/>
      <c r="K27" s="551"/>
      <c r="L27" s="551"/>
      <c r="M27" s="551"/>
      <c r="N27" s="538" t="str">
        <f>Tables!P29</f>
        <v/>
      </c>
      <c r="O27" s="538"/>
      <c r="P27" s="538"/>
      <c r="Q27" s="539" t="str">
        <f t="shared" si="0"/>
        <v/>
      </c>
      <c r="R27" s="539"/>
      <c r="S27" s="539"/>
      <c r="T27" s="298"/>
      <c r="U27" s="59"/>
      <c r="V27" s="59"/>
      <c r="W27" s="59"/>
      <c r="X27" s="59"/>
      <c r="Y27" s="59"/>
    </row>
    <row r="28" spans="1:25" s="60" customFormat="1" ht="19.5" customHeight="1">
      <c r="A28" s="298"/>
      <c r="B28" s="322"/>
      <c r="C28" s="550"/>
      <c r="D28" s="550"/>
      <c r="E28" s="550"/>
      <c r="F28" s="550"/>
      <c r="G28" s="550"/>
      <c r="H28" s="550"/>
      <c r="I28" s="550"/>
      <c r="J28" s="550"/>
      <c r="K28" s="551"/>
      <c r="L28" s="551"/>
      <c r="M28" s="551"/>
      <c r="N28" s="538" t="str">
        <f>Tables!P30</f>
        <v/>
      </c>
      <c r="O28" s="538"/>
      <c r="P28" s="538"/>
      <c r="Q28" s="539" t="str">
        <f t="shared" si="0"/>
        <v/>
      </c>
      <c r="R28" s="539"/>
      <c r="S28" s="539"/>
      <c r="T28" s="298"/>
      <c r="U28" s="59"/>
      <c r="V28" s="59"/>
      <c r="W28" s="59"/>
      <c r="X28" s="59"/>
      <c r="Y28" s="59"/>
    </row>
    <row r="29" spans="1:25" s="60" customFormat="1" ht="19.5" customHeight="1">
      <c r="A29" s="298"/>
      <c r="B29" s="322"/>
      <c r="C29" s="550"/>
      <c r="D29" s="550"/>
      <c r="E29" s="550"/>
      <c r="F29" s="550"/>
      <c r="G29" s="550"/>
      <c r="H29" s="550"/>
      <c r="I29" s="550"/>
      <c r="J29" s="550"/>
      <c r="K29" s="551"/>
      <c r="L29" s="551"/>
      <c r="M29" s="551"/>
      <c r="N29" s="538" t="str">
        <f>Tables!P31</f>
        <v/>
      </c>
      <c r="O29" s="538"/>
      <c r="P29" s="538"/>
      <c r="Q29" s="539" t="str">
        <f t="shared" si="0"/>
        <v/>
      </c>
      <c r="R29" s="539"/>
      <c r="S29" s="539"/>
      <c r="T29" s="298"/>
      <c r="U29" s="59"/>
      <c r="V29" s="59"/>
      <c r="W29" s="59"/>
      <c r="X29" s="59"/>
      <c r="Y29" s="59"/>
    </row>
    <row r="30" spans="1:25" s="60" customFormat="1" ht="19.5" customHeight="1">
      <c r="A30" s="298"/>
      <c r="B30" s="322"/>
      <c r="C30" s="550"/>
      <c r="D30" s="550"/>
      <c r="E30" s="550"/>
      <c r="F30" s="550"/>
      <c r="G30" s="550"/>
      <c r="H30" s="550"/>
      <c r="I30" s="550"/>
      <c r="J30" s="550"/>
      <c r="K30" s="551"/>
      <c r="L30" s="551"/>
      <c r="M30" s="551"/>
      <c r="N30" s="538" t="str">
        <f>Tables!P32</f>
        <v/>
      </c>
      <c r="O30" s="538"/>
      <c r="P30" s="538"/>
      <c r="Q30" s="539" t="str">
        <f t="shared" si="0"/>
        <v/>
      </c>
      <c r="R30" s="539"/>
      <c r="S30" s="539"/>
      <c r="T30" s="298"/>
      <c r="U30" s="59"/>
      <c r="V30" s="59"/>
      <c r="W30" s="59"/>
      <c r="X30" s="59"/>
      <c r="Y30" s="59"/>
    </row>
    <row r="31" spans="1:25" s="60" customFormat="1" ht="19.5" customHeight="1">
      <c r="A31" s="298"/>
      <c r="B31" s="299"/>
      <c r="C31" s="299"/>
      <c r="D31" s="299"/>
      <c r="E31" s="299"/>
      <c r="F31" s="299"/>
      <c r="G31" s="299"/>
      <c r="H31" s="299"/>
      <c r="I31" s="299"/>
      <c r="J31" s="299"/>
      <c r="K31" s="299"/>
      <c r="L31" s="299"/>
      <c r="M31" s="299"/>
      <c r="N31" s="299"/>
      <c r="O31" s="299"/>
      <c r="P31" s="313" t="s">
        <v>385</v>
      </c>
      <c r="Q31" s="549">
        <f>SUM(Q22:S30)</f>
        <v>0</v>
      </c>
      <c r="R31" s="549"/>
      <c r="S31" s="549"/>
      <c r="T31" s="314" t="s">
        <v>393</v>
      </c>
      <c r="U31" s="59"/>
      <c r="V31" s="59"/>
      <c r="W31" s="59"/>
      <c r="X31" s="59"/>
      <c r="Y31" s="59"/>
    </row>
    <row r="32" spans="1:25" s="172" customFormat="1" ht="3.75" customHeight="1">
      <c r="A32" s="302"/>
      <c r="B32" s="301"/>
      <c r="C32" s="301"/>
      <c r="D32" s="301"/>
      <c r="E32" s="301"/>
      <c r="F32" s="301"/>
      <c r="G32" s="301"/>
      <c r="H32" s="301"/>
      <c r="I32" s="301"/>
      <c r="J32" s="301"/>
      <c r="K32" s="301"/>
      <c r="L32" s="301"/>
      <c r="M32" s="301"/>
      <c r="N32" s="301"/>
      <c r="O32" s="301"/>
      <c r="P32" s="301"/>
      <c r="Q32" s="301"/>
      <c r="R32" s="301"/>
      <c r="S32" s="301"/>
      <c r="T32" s="302"/>
      <c r="U32" s="237"/>
      <c r="V32" s="237"/>
      <c r="W32" s="237"/>
      <c r="X32" s="237"/>
      <c r="Y32" s="237"/>
    </row>
    <row r="33" spans="1:30" s="60" customFormat="1" ht="19.5" customHeight="1">
      <c r="A33" s="314">
        <v>5</v>
      </c>
      <c r="B33" s="529" t="s">
        <v>771</v>
      </c>
      <c r="C33" s="529"/>
      <c r="D33" s="529"/>
      <c r="E33" s="529"/>
      <c r="F33" s="529"/>
      <c r="G33" s="529"/>
      <c r="H33" s="299"/>
      <c r="I33" s="299"/>
      <c r="J33" s="299"/>
      <c r="K33" s="299"/>
      <c r="L33" s="299"/>
      <c r="M33" s="299"/>
      <c r="N33" s="299"/>
      <c r="O33" s="299"/>
      <c r="P33" s="299"/>
      <c r="Q33" s="299"/>
      <c r="R33" s="299"/>
      <c r="S33" s="299"/>
      <c r="T33" s="298"/>
      <c r="U33" s="59"/>
      <c r="V33" s="59"/>
      <c r="W33" s="59"/>
      <c r="X33" s="59"/>
      <c r="Y33" s="59"/>
    </row>
    <row r="34" spans="1:30" s="60" customFormat="1" ht="19.5" customHeight="1">
      <c r="A34" s="298"/>
      <c r="B34" s="299"/>
      <c r="C34" s="299"/>
      <c r="D34" s="299"/>
      <c r="E34" s="299"/>
      <c r="F34" s="299"/>
      <c r="G34" s="299"/>
      <c r="H34" s="299"/>
      <c r="I34" s="299"/>
      <c r="J34" s="299"/>
      <c r="K34" s="323"/>
      <c r="L34" s="299"/>
      <c r="M34" s="299"/>
      <c r="N34" s="299"/>
      <c r="O34" s="299"/>
      <c r="P34" s="313" t="s">
        <v>772</v>
      </c>
      <c r="Q34" s="535">
        <f>Q8+Q13+Q16+Q31</f>
        <v>0</v>
      </c>
      <c r="R34" s="535"/>
      <c r="S34" s="535"/>
      <c r="T34" s="314" t="s">
        <v>363</v>
      </c>
      <c r="U34" s="59"/>
      <c r="V34" s="59"/>
      <c r="W34" s="59"/>
      <c r="X34" s="59"/>
      <c r="Y34" s="59"/>
    </row>
    <row r="35" spans="1:30" s="60" customFormat="1" ht="19.5" customHeight="1">
      <c r="A35" s="298"/>
      <c r="B35" s="299"/>
      <c r="C35" s="299"/>
      <c r="D35" s="299"/>
      <c r="E35" s="299"/>
      <c r="F35" s="299"/>
      <c r="G35" s="299"/>
      <c r="H35" s="299"/>
      <c r="I35" s="299"/>
      <c r="J35" s="299"/>
      <c r="K35" s="299"/>
      <c r="L35" s="299"/>
      <c r="M35" s="299"/>
      <c r="N35" s="299"/>
      <c r="O35" s="299"/>
      <c r="P35" s="299"/>
      <c r="Q35" s="299"/>
      <c r="R35" s="299"/>
      <c r="S35" s="313" t="s">
        <v>773</v>
      </c>
      <c r="T35" s="298"/>
      <c r="U35" s="59"/>
      <c r="V35" s="59"/>
      <c r="W35" s="59"/>
      <c r="X35" s="59"/>
      <c r="Y35" s="59"/>
    </row>
    <row r="36" spans="1:30" ht="15" hidden="1" customHeight="1">
      <c r="A36" s="59"/>
      <c r="B36" s="59"/>
      <c r="C36" s="59"/>
      <c r="D36" s="59"/>
      <c r="E36" s="59"/>
      <c r="F36" s="59"/>
      <c r="G36" s="59"/>
      <c r="H36" s="59"/>
      <c r="I36" s="59"/>
      <c r="J36" s="59"/>
      <c r="K36" s="59"/>
      <c r="L36" s="59"/>
      <c r="M36" s="59"/>
      <c r="N36" s="59"/>
      <c r="O36" s="59"/>
      <c r="P36" s="59"/>
      <c r="Q36" s="59"/>
      <c r="R36" s="59"/>
      <c r="S36" s="59"/>
      <c r="T36" s="59"/>
      <c r="U36" s="59"/>
      <c r="V36" s="59"/>
      <c r="W36" s="59"/>
      <c r="X36" s="59"/>
      <c r="Y36" s="59"/>
      <c r="Z36" s="59"/>
      <c r="AA36" s="59"/>
      <c r="AB36" s="59"/>
      <c r="AC36" s="59"/>
      <c r="AD36" s="59"/>
    </row>
    <row r="37" spans="1:30" hidden="1">
      <c r="A37" s="59">
        <v>0</v>
      </c>
      <c r="B37" s="59"/>
      <c r="C37" s="59"/>
      <c r="D37" s="59"/>
      <c r="E37" s="59"/>
      <c r="F37" s="59"/>
      <c r="G37" s="59"/>
      <c r="H37" s="59"/>
      <c r="I37" s="59"/>
      <c r="J37" s="59"/>
      <c r="K37" s="59"/>
      <c r="L37" s="59"/>
      <c r="M37" s="59"/>
      <c r="N37" s="59"/>
      <c r="O37" s="59"/>
      <c r="P37" s="59"/>
      <c r="Q37" s="59"/>
      <c r="R37" s="59"/>
      <c r="S37" s="59"/>
      <c r="T37" s="123"/>
      <c r="U37" s="59"/>
      <c r="V37" s="59"/>
      <c r="W37" s="59"/>
      <c r="X37" s="59"/>
      <c r="Y37" s="59"/>
    </row>
    <row r="38" spans="1:30" hidden="1">
      <c r="A38" s="59">
        <v>1</v>
      </c>
      <c r="B38" s="59"/>
      <c r="C38" s="59"/>
      <c r="D38" s="59"/>
      <c r="E38" s="59"/>
      <c r="F38" s="59"/>
      <c r="G38" s="59"/>
      <c r="H38" s="59"/>
      <c r="I38" s="59"/>
      <c r="J38" s="59"/>
      <c r="K38" s="59"/>
      <c r="L38" s="59"/>
      <c r="M38" s="59"/>
      <c r="N38" s="59"/>
      <c r="O38" s="59"/>
      <c r="P38" s="59"/>
      <c r="Q38" s="59"/>
      <c r="R38" s="59"/>
      <c r="S38" s="59"/>
      <c r="T38" s="123"/>
      <c r="U38" s="59"/>
      <c r="V38" s="59"/>
      <c r="W38" s="59"/>
      <c r="X38" s="59"/>
      <c r="Y38" s="59"/>
    </row>
    <row r="39" spans="1:30" hidden="1">
      <c r="A39" s="59">
        <v>2</v>
      </c>
      <c r="B39" s="59"/>
      <c r="C39" s="59"/>
      <c r="D39" s="59"/>
      <c r="E39" s="59"/>
      <c r="F39" s="59"/>
      <c r="G39" s="59"/>
      <c r="H39" s="59"/>
      <c r="I39" s="59"/>
      <c r="J39" s="59"/>
      <c r="K39" s="59"/>
      <c r="L39" s="59"/>
      <c r="M39" s="59"/>
      <c r="N39" s="59"/>
      <c r="O39" s="59"/>
      <c r="P39" s="59"/>
      <c r="Q39" s="59"/>
      <c r="R39" s="59"/>
      <c r="S39" s="59"/>
      <c r="T39" s="123"/>
      <c r="U39" s="59"/>
      <c r="V39" s="59"/>
      <c r="W39" s="59"/>
      <c r="X39" s="59"/>
      <c r="Y39" s="59"/>
    </row>
    <row r="40" spans="1:30" hidden="1">
      <c r="A40" s="59">
        <v>3</v>
      </c>
      <c r="B40" s="59"/>
      <c r="C40" s="59"/>
      <c r="D40" s="59"/>
      <c r="E40" s="59"/>
      <c r="F40" s="59"/>
      <c r="G40" s="59"/>
      <c r="H40" s="59"/>
      <c r="I40" s="59"/>
      <c r="J40" s="59"/>
      <c r="K40" s="59"/>
      <c r="L40" s="59"/>
      <c r="M40" s="59"/>
      <c r="N40" s="59"/>
      <c r="O40" s="59"/>
      <c r="P40" s="59"/>
      <c r="Q40" s="59"/>
      <c r="R40" s="59"/>
      <c r="S40" s="59"/>
      <c r="T40" s="123"/>
      <c r="U40" s="59"/>
      <c r="V40" s="59"/>
      <c r="W40" s="59"/>
      <c r="X40" s="59"/>
      <c r="Y40" s="59"/>
    </row>
    <row r="41" spans="1:30" hidden="1">
      <c r="A41" s="59">
        <v>4</v>
      </c>
      <c r="B41" s="59"/>
      <c r="C41" s="59"/>
      <c r="D41" s="59"/>
      <c r="E41" s="59"/>
      <c r="F41" s="59"/>
      <c r="G41" s="59"/>
      <c r="H41" s="59"/>
      <c r="I41" s="59"/>
      <c r="J41" s="59"/>
      <c r="K41" s="59"/>
      <c r="L41" s="59"/>
      <c r="M41" s="59"/>
      <c r="N41" s="59"/>
      <c r="O41" s="59"/>
      <c r="P41" s="59"/>
      <c r="Q41" s="59"/>
      <c r="R41" s="59"/>
      <c r="S41" s="59"/>
      <c r="T41" s="123"/>
      <c r="U41" s="59"/>
      <c r="V41" s="59"/>
      <c r="W41" s="59"/>
      <c r="X41" s="59"/>
      <c r="Y41" s="59"/>
    </row>
    <row r="42" spans="1:30" hidden="1">
      <c r="A42" s="59">
        <v>5</v>
      </c>
      <c r="B42" s="59"/>
      <c r="C42" s="59"/>
      <c r="D42" s="59"/>
      <c r="E42" s="59"/>
      <c r="F42" s="59"/>
      <c r="G42" s="59"/>
      <c r="H42" s="59"/>
      <c r="I42" s="59"/>
      <c r="J42" s="59"/>
      <c r="K42" s="59"/>
      <c r="L42" s="59"/>
      <c r="M42" s="59"/>
      <c r="N42" s="59"/>
      <c r="O42" s="59"/>
      <c r="P42" s="59"/>
      <c r="Q42" s="59"/>
      <c r="R42" s="59"/>
      <c r="S42" s="59"/>
      <c r="T42" s="123"/>
      <c r="U42" s="59"/>
      <c r="V42" s="59"/>
      <c r="W42" s="59"/>
      <c r="X42" s="59"/>
      <c r="Y42" s="59"/>
    </row>
    <row r="43" spans="1:30" hidden="1">
      <c r="A43" s="59">
        <v>6</v>
      </c>
      <c r="B43" s="59"/>
      <c r="C43" s="59"/>
      <c r="D43" s="59"/>
      <c r="E43" s="59"/>
      <c r="F43" s="59"/>
      <c r="G43" s="59"/>
      <c r="H43" s="59"/>
      <c r="I43" s="59"/>
      <c r="J43" s="59"/>
      <c r="K43" s="59"/>
      <c r="L43" s="59"/>
      <c r="M43" s="59"/>
      <c r="N43" s="59"/>
      <c r="O43" s="59"/>
      <c r="P43" s="59"/>
      <c r="Q43" s="59"/>
      <c r="R43" s="59"/>
      <c r="S43" s="59"/>
      <c r="T43" s="123"/>
      <c r="U43" s="59"/>
      <c r="V43" s="59"/>
      <c r="W43" s="59"/>
      <c r="X43" s="59"/>
      <c r="Y43" s="59"/>
    </row>
    <row r="44" spans="1:30" hidden="1">
      <c r="A44" s="59">
        <v>7</v>
      </c>
      <c r="B44" s="59"/>
      <c r="C44" s="59"/>
      <c r="D44" s="59"/>
      <c r="E44" s="59"/>
      <c r="F44" s="59"/>
      <c r="G44" s="59"/>
      <c r="H44" s="59"/>
      <c r="I44" s="59"/>
      <c r="J44" s="59"/>
      <c r="K44" s="59"/>
      <c r="L44" s="59"/>
      <c r="M44" s="59"/>
      <c r="N44" s="59"/>
      <c r="O44" s="59"/>
      <c r="P44" s="59"/>
      <c r="Q44" s="59"/>
      <c r="R44" s="59"/>
      <c r="S44" s="59"/>
      <c r="T44" s="123"/>
      <c r="U44" s="59"/>
      <c r="V44" s="59"/>
      <c r="W44" s="59"/>
      <c r="X44" s="59"/>
      <c r="Y44" s="59"/>
    </row>
    <row r="45" spans="1:30" hidden="1">
      <c r="A45" s="59">
        <v>8</v>
      </c>
      <c r="B45" s="59"/>
      <c r="C45" s="59"/>
      <c r="D45" s="59"/>
      <c r="E45" s="59"/>
      <c r="F45" s="59"/>
      <c r="G45" s="59"/>
      <c r="H45" s="59"/>
      <c r="I45" s="59"/>
      <c r="J45" s="59"/>
      <c r="K45" s="59"/>
      <c r="L45" s="59"/>
      <c r="M45" s="59"/>
      <c r="N45" s="59"/>
      <c r="O45" s="59"/>
      <c r="P45" s="59"/>
      <c r="Q45" s="59"/>
      <c r="R45" s="59"/>
      <c r="S45" s="59"/>
      <c r="T45" s="123"/>
      <c r="U45" s="59"/>
      <c r="V45" s="59"/>
      <c r="W45" s="59"/>
      <c r="X45" s="59"/>
      <c r="Y45" s="59"/>
    </row>
    <row r="46" spans="1:30" hidden="1">
      <c r="A46" s="59">
        <v>9</v>
      </c>
      <c r="B46" s="59"/>
      <c r="C46" s="59"/>
      <c r="D46" s="59"/>
      <c r="E46" s="59"/>
      <c r="F46" s="59"/>
      <c r="G46" s="59"/>
      <c r="H46" s="59"/>
      <c r="I46" s="59"/>
      <c r="J46" s="59"/>
      <c r="K46" s="59"/>
      <c r="L46" s="59"/>
      <c r="M46" s="59"/>
      <c r="N46" s="59"/>
      <c r="O46" s="59"/>
      <c r="P46" s="59"/>
      <c r="Q46" s="59"/>
      <c r="R46" s="59"/>
      <c r="S46" s="59"/>
      <c r="T46" s="123"/>
      <c r="U46" s="59"/>
      <c r="V46" s="59"/>
      <c r="W46" s="59"/>
      <c r="X46" s="59"/>
      <c r="Y46" s="59"/>
    </row>
    <row r="47" spans="1:30" hidden="1">
      <c r="A47" s="59">
        <v>10</v>
      </c>
      <c r="B47" s="59"/>
      <c r="C47" s="59"/>
      <c r="D47" s="59"/>
      <c r="E47" s="59"/>
      <c r="F47" s="59"/>
      <c r="G47" s="59"/>
      <c r="H47" s="59"/>
      <c r="I47" s="59"/>
      <c r="J47" s="59"/>
      <c r="K47" s="59"/>
      <c r="L47" s="59"/>
      <c r="M47" s="59"/>
      <c r="N47" s="59"/>
      <c r="O47" s="59"/>
      <c r="P47" s="59"/>
      <c r="Q47" s="59"/>
      <c r="R47" s="59"/>
      <c r="S47" s="59"/>
      <c r="T47" s="123"/>
      <c r="U47" s="59"/>
      <c r="V47" s="59"/>
      <c r="W47" s="59"/>
      <c r="X47" s="59"/>
      <c r="Y47" s="59"/>
    </row>
    <row r="48" spans="1:30" hidden="1">
      <c r="A48" s="59">
        <v>11</v>
      </c>
      <c r="B48" s="59"/>
      <c r="C48" s="59"/>
      <c r="D48" s="59"/>
      <c r="E48" s="59"/>
      <c r="F48" s="59"/>
      <c r="G48" s="59"/>
      <c r="H48" s="59"/>
      <c r="I48" s="59"/>
      <c r="J48" s="59"/>
      <c r="K48" s="59"/>
      <c r="L48" s="59"/>
      <c r="M48" s="59"/>
      <c r="N48" s="59"/>
      <c r="O48" s="59"/>
      <c r="P48" s="59"/>
      <c r="Q48" s="59"/>
      <c r="R48" s="59"/>
      <c r="S48" s="59"/>
      <c r="T48" s="123"/>
      <c r="U48" s="59"/>
      <c r="V48" s="59"/>
      <c r="W48" s="59"/>
      <c r="X48" s="59"/>
      <c r="Y48" s="59"/>
    </row>
    <row r="49" spans="1:25" hidden="1">
      <c r="A49" s="59">
        <v>12</v>
      </c>
      <c r="B49" s="59"/>
      <c r="C49" s="59"/>
      <c r="D49" s="59"/>
      <c r="E49" s="59"/>
      <c r="F49" s="59"/>
      <c r="G49" s="59"/>
      <c r="H49" s="59"/>
      <c r="I49" s="59"/>
      <c r="J49" s="59"/>
      <c r="K49" s="59"/>
      <c r="L49" s="59"/>
      <c r="M49" s="59"/>
      <c r="N49" s="59"/>
      <c r="O49" s="59"/>
      <c r="P49" s="59"/>
      <c r="Q49" s="59"/>
      <c r="R49" s="59"/>
      <c r="S49" s="59"/>
      <c r="T49" s="123"/>
      <c r="U49" s="59"/>
      <c r="V49" s="59"/>
      <c r="W49" s="59"/>
      <c r="X49" s="59"/>
      <c r="Y49" s="59"/>
    </row>
    <row r="50" spans="1:25" hidden="1">
      <c r="A50" s="59">
        <v>13</v>
      </c>
      <c r="B50" s="59"/>
      <c r="C50" s="59"/>
      <c r="D50" s="59"/>
      <c r="E50" s="59"/>
      <c r="F50" s="59"/>
      <c r="G50" s="59"/>
      <c r="H50" s="59"/>
      <c r="I50" s="59"/>
      <c r="J50" s="59"/>
      <c r="K50" s="59"/>
      <c r="L50" s="59"/>
      <c r="M50" s="59"/>
      <c r="N50" s="59"/>
      <c r="O50" s="59"/>
      <c r="P50" s="59"/>
      <c r="Q50" s="59"/>
      <c r="R50" s="59"/>
      <c r="S50" s="59"/>
      <c r="T50" s="123"/>
      <c r="U50" s="59"/>
      <c r="V50" s="59"/>
      <c r="W50" s="59"/>
      <c r="X50" s="59"/>
      <c r="Y50" s="59"/>
    </row>
    <row r="51" spans="1:25" hidden="1">
      <c r="A51" s="59">
        <v>14</v>
      </c>
      <c r="B51" s="59"/>
      <c r="C51" s="59"/>
      <c r="D51" s="59"/>
      <c r="E51" s="59"/>
      <c r="F51" s="59"/>
      <c r="G51" s="59"/>
      <c r="H51" s="59"/>
      <c r="I51" s="59"/>
      <c r="J51" s="59"/>
      <c r="K51" s="59"/>
      <c r="L51" s="59"/>
      <c r="M51" s="59"/>
      <c r="N51" s="59"/>
      <c r="O51" s="59"/>
      <c r="P51" s="59"/>
      <c r="Q51" s="59"/>
      <c r="R51" s="59"/>
      <c r="S51" s="59"/>
      <c r="T51" s="123"/>
      <c r="U51" s="59"/>
      <c r="V51" s="59"/>
      <c r="W51" s="59"/>
      <c r="X51" s="59"/>
      <c r="Y51" s="59"/>
    </row>
    <row r="52" spans="1:25" hidden="1">
      <c r="A52" s="59">
        <v>15</v>
      </c>
      <c r="B52" s="59"/>
      <c r="C52" s="59"/>
      <c r="D52" s="59"/>
      <c r="E52" s="59"/>
      <c r="F52" s="59"/>
      <c r="G52" s="59"/>
      <c r="H52" s="59"/>
      <c r="I52" s="59"/>
      <c r="J52" s="59"/>
      <c r="K52" s="59"/>
      <c r="L52" s="59"/>
      <c r="M52" s="59"/>
      <c r="N52" s="59"/>
      <c r="O52" s="59"/>
      <c r="P52" s="59"/>
      <c r="Q52" s="59"/>
      <c r="R52" s="59"/>
      <c r="S52" s="59"/>
      <c r="T52" s="123"/>
      <c r="U52" s="59"/>
      <c r="V52" s="59"/>
      <c r="W52" s="59"/>
      <c r="X52" s="59"/>
      <c r="Y52" s="59"/>
    </row>
    <row r="53" spans="1:25" hidden="1">
      <c r="A53" s="59">
        <v>16</v>
      </c>
      <c r="B53" s="59"/>
      <c r="C53" s="59"/>
      <c r="D53" s="59"/>
      <c r="E53" s="59"/>
      <c r="F53" s="59"/>
      <c r="G53" s="59"/>
      <c r="H53" s="59"/>
      <c r="I53" s="59"/>
      <c r="J53" s="59"/>
      <c r="K53" s="59"/>
      <c r="L53" s="59"/>
      <c r="M53" s="59"/>
      <c r="N53" s="59"/>
      <c r="O53" s="59"/>
      <c r="P53" s="59"/>
      <c r="Q53" s="59"/>
      <c r="R53" s="59"/>
      <c r="S53" s="59"/>
      <c r="T53" s="123"/>
      <c r="U53" s="59"/>
      <c r="V53" s="59"/>
      <c r="W53" s="59"/>
      <c r="X53" s="59"/>
      <c r="Y53" s="59"/>
    </row>
    <row r="54" spans="1:25" hidden="1">
      <c r="A54" s="59">
        <v>17</v>
      </c>
      <c r="B54" s="59"/>
      <c r="C54" s="59"/>
      <c r="D54" s="59"/>
      <c r="E54" s="59"/>
      <c r="F54" s="59"/>
      <c r="G54" s="59"/>
      <c r="H54" s="59"/>
      <c r="I54" s="59"/>
      <c r="J54" s="59"/>
      <c r="K54" s="59"/>
      <c r="L54" s="59"/>
      <c r="M54" s="59"/>
      <c r="N54" s="59"/>
      <c r="O54" s="59"/>
      <c r="P54" s="59"/>
      <c r="Q54" s="59"/>
      <c r="R54" s="59"/>
      <c r="S54" s="59"/>
      <c r="T54" s="123"/>
      <c r="U54" s="59"/>
      <c r="V54" s="59"/>
      <c r="W54" s="59"/>
      <c r="X54" s="59"/>
      <c r="Y54" s="59"/>
    </row>
    <row r="55" spans="1:25" hidden="1">
      <c r="A55" s="59">
        <v>18</v>
      </c>
      <c r="B55" s="59"/>
      <c r="C55" s="59"/>
      <c r="D55" s="59"/>
      <c r="E55" s="59"/>
      <c r="F55" s="59"/>
      <c r="G55" s="59"/>
      <c r="H55" s="59"/>
      <c r="I55" s="59"/>
      <c r="J55" s="59"/>
      <c r="K55" s="59"/>
      <c r="L55" s="59"/>
      <c r="M55" s="59"/>
      <c r="N55" s="59"/>
      <c r="O55" s="59"/>
      <c r="P55" s="59"/>
      <c r="Q55" s="59"/>
      <c r="R55" s="59"/>
      <c r="S55" s="59"/>
      <c r="T55" s="123"/>
      <c r="U55" s="59"/>
      <c r="V55" s="59"/>
      <c r="W55" s="59"/>
      <c r="X55" s="59"/>
      <c r="Y55" s="59"/>
    </row>
    <row r="56" spans="1:25" hidden="1">
      <c r="A56" s="59">
        <v>19</v>
      </c>
      <c r="B56" s="59"/>
      <c r="C56" s="59"/>
      <c r="D56" s="59"/>
      <c r="E56" s="59"/>
      <c r="F56" s="59"/>
      <c r="G56" s="59"/>
      <c r="H56" s="59"/>
      <c r="I56" s="59"/>
      <c r="J56" s="59"/>
      <c r="K56" s="59"/>
      <c r="L56" s="59"/>
      <c r="M56" s="59"/>
      <c r="N56" s="59"/>
      <c r="O56" s="59"/>
      <c r="P56" s="59"/>
      <c r="Q56" s="59"/>
      <c r="R56" s="59"/>
      <c r="S56" s="59"/>
      <c r="T56" s="123"/>
      <c r="U56" s="59"/>
      <c r="V56" s="59"/>
      <c r="W56" s="59"/>
      <c r="X56" s="59"/>
      <c r="Y56" s="59"/>
    </row>
    <row r="57" spans="1:25" hidden="1">
      <c r="A57" s="59">
        <v>20</v>
      </c>
      <c r="B57" s="59"/>
      <c r="C57" s="59"/>
      <c r="D57" s="59"/>
      <c r="E57" s="59"/>
      <c r="F57" s="59"/>
      <c r="G57" s="59"/>
      <c r="H57" s="59"/>
      <c r="I57" s="59"/>
      <c r="J57" s="59"/>
      <c r="K57" s="59"/>
      <c r="L57" s="59"/>
      <c r="M57" s="59"/>
      <c r="N57" s="59"/>
      <c r="O57" s="59"/>
      <c r="P57" s="59"/>
      <c r="Q57" s="59"/>
      <c r="R57" s="59"/>
      <c r="S57" s="59"/>
      <c r="T57" s="123"/>
      <c r="U57" s="59"/>
      <c r="V57" s="59"/>
      <c r="W57" s="59"/>
      <c r="X57" s="59"/>
      <c r="Y57" s="59"/>
    </row>
    <row r="58" spans="1:25" hidden="1">
      <c r="A58" s="59">
        <v>21</v>
      </c>
      <c r="B58" s="59"/>
      <c r="C58" s="59"/>
      <c r="D58" s="59"/>
      <c r="E58" s="59"/>
      <c r="F58" s="59"/>
      <c r="G58" s="59"/>
      <c r="H58" s="59"/>
      <c r="I58" s="59"/>
      <c r="J58" s="59"/>
      <c r="K58" s="59"/>
      <c r="L58" s="59"/>
      <c r="M58" s="59"/>
      <c r="N58" s="59"/>
      <c r="O58" s="59"/>
      <c r="P58" s="59"/>
      <c r="Q58" s="59"/>
      <c r="R58" s="59"/>
      <c r="S58" s="59"/>
      <c r="T58" s="123"/>
      <c r="U58" s="59"/>
      <c r="V58" s="59"/>
      <c r="W58" s="59"/>
      <c r="X58" s="59"/>
      <c r="Y58" s="59"/>
    </row>
    <row r="59" spans="1:25" hidden="1">
      <c r="A59" s="59">
        <v>22</v>
      </c>
      <c r="B59" s="59"/>
      <c r="C59" s="59"/>
      <c r="D59" s="59"/>
      <c r="E59" s="59"/>
      <c r="F59" s="59"/>
      <c r="G59" s="59"/>
      <c r="H59" s="59"/>
      <c r="I59" s="59"/>
      <c r="J59" s="59"/>
      <c r="K59" s="59"/>
      <c r="L59" s="59"/>
      <c r="M59" s="59"/>
      <c r="N59" s="59"/>
      <c r="O59" s="59"/>
      <c r="P59" s="59"/>
      <c r="Q59" s="59"/>
      <c r="R59" s="59"/>
      <c r="S59" s="59"/>
      <c r="T59" s="123"/>
      <c r="U59" s="59"/>
      <c r="V59" s="59"/>
      <c r="W59" s="59"/>
      <c r="X59" s="59"/>
      <c r="Y59" s="59"/>
    </row>
    <row r="60" spans="1:25" hidden="1">
      <c r="A60" s="59">
        <v>23</v>
      </c>
      <c r="B60" s="59"/>
      <c r="C60" s="59"/>
      <c r="D60" s="59"/>
      <c r="E60" s="59"/>
      <c r="F60" s="59"/>
      <c r="G60" s="59"/>
      <c r="H60" s="59"/>
      <c r="I60" s="59"/>
      <c r="J60" s="59"/>
      <c r="K60" s="59"/>
      <c r="L60" s="59"/>
      <c r="M60" s="59"/>
      <c r="N60" s="59"/>
      <c r="O60" s="59"/>
      <c r="P60" s="59"/>
      <c r="Q60" s="59"/>
      <c r="R60" s="59"/>
      <c r="S60" s="59"/>
      <c r="T60" s="123"/>
      <c r="U60" s="59"/>
      <c r="V60" s="59"/>
      <c r="W60" s="59"/>
      <c r="X60" s="59"/>
      <c r="Y60" s="59"/>
    </row>
    <row r="61" spans="1:25" hidden="1">
      <c r="A61" s="59">
        <v>24</v>
      </c>
      <c r="B61" s="59"/>
      <c r="C61" s="59"/>
      <c r="D61" s="59"/>
      <c r="E61" s="59"/>
      <c r="F61" s="59"/>
      <c r="G61" s="59"/>
      <c r="H61" s="59"/>
      <c r="I61" s="59"/>
      <c r="J61" s="59"/>
      <c r="K61" s="59"/>
      <c r="L61" s="59"/>
      <c r="M61" s="59"/>
      <c r="N61" s="59"/>
      <c r="O61" s="59"/>
      <c r="P61" s="59"/>
      <c r="Q61" s="59"/>
      <c r="R61" s="59"/>
      <c r="S61" s="59"/>
      <c r="T61" s="123"/>
      <c r="U61" s="59"/>
      <c r="V61" s="59"/>
      <c r="W61" s="59"/>
      <c r="X61" s="59"/>
      <c r="Y61" s="59"/>
    </row>
    <row r="62" spans="1:25" hidden="1">
      <c r="A62" s="59">
        <v>25</v>
      </c>
      <c r="B62" s="59"/>
      <c r="C62" s="59"/>
      <c r="D62" s="59"/>
      <c r="E62" s="59"/>
      <c r="F62" s="59"/>
      <c r="G62" s="59"/>
      <c r="H62" s="59"/>
      <c r="I62" s="59"/>
      <c r="J62" s="59"/>
      <c r="K62" s="59"/>
      <c r="L62" s="59"/>
      <c r="M62" s="59"/>
      <c r="N62" s="59"/>
      <c r="O62" s="59"/>
      <c r="P62" s="59"/>
      <c r="Q62" s="59"/>
      <c r="R62" s="59"/>
      <c r="S62" s="59"/>
      <c r="T62" s="123"/>
      <c r="U62" s="59"/>
      <c r="V62" s="59"/>
      <c r="W62" s="59"/>
      <c r="X62" s="59"/>
      <c r="Y62" s="59"/>
    </row>
    <row r="63" spans="1:25" hidden="1">
      <c r="A63" s="59">
        <v>26</v>
      </c>
      <c r="B63" s="59"/>
      <c r="C63" s="59"/>
      <c r="D63" s="59"/>
      <c r="E63" s="59"/>
      <c r="F63" s="59"/>
      <c r="G63" s="59"/>
      <c r="H63" s="59"/>
      <c r="I63" s="59"/>
      <c r="J63" s="59"/>
      <c r="K63" s="59"/>
      <c r="L63" s="59"/>
      <c r="M63" s="59"/>
      <c r="N63" s="59"/>
      <c r="O63" s="59"/>
      <c r="P63" s="59"/>
      <c r="Q63" s="59"/>
      <c r="R63" s="59"/>
      <c r="S63" s="59"/>
      <c r="T63" s="123"/>
      <c r="U63" s="59"/>
      <c r="V63" s="59"/>
      <c r="W63" s="59"/>
      <c r="X63" s="59"/>
      <c r="Y63" s="59"/>
    </row>
    <row r="64" spans="1:25" hidden="1">
      <c r="A64" s="59">
        <v>27</v>
      </c>
      <c r="B64" s="59"/>
      <c r="C64" s="59"/>
      <c r="D64" s="59"/>
      <c r="E64" s="59"/>
      <c r="F64" s="59"/>
      <c r="G64" s="59"/>
      <c r="H64" s="59"/>
      <c r="I64" s="59"/>
      <c r="J64" s="59"/>
      <c r="K64" s="59"/>
      <c r="L64" s="59"/>
      <c r="M64" s="59"/>
      <c r="N64" s="59"/>
      <c r="O64" s="59"/>
      <c r="P64" s="59"/>
      <c r="Q64" s="59"/>
      <c r="R64" s="59"/>
      <c r="S64" s="59"/>
      <c r="T64" s="123"/>
      <c r="U64" s="59"/>
      <c r="V64" s="59"/>
      <c r="W64" s="59"/>
      <c r="X64" s="59"/>
      <c r="Y64" s="59"/>
    </row>
    <row r="65" spans="1:30" hidden="1">
      <c r="A65" s="59">
        <v>28</v>
      </c>
      <c r="B65" s="59"/>
      <c r="C65" s="59"/>
      <c r="D65" s="59"/>
      <c r="E65" s="59"/>
      <c r="F65" s="59"/>
      <c r="G65" s="59"/>
      <c r="H65" s="59"/>
      <c r="I65" s="59"/>
      <c r="J65" s="59"/>
      <c r="K65" s="59"/>
      <c r="L65" s="59"/>
      <c r="M65" s="59"/>
      <c r="N65" s="59"/>
      <c r="O65" s="59"/>
      <c r="P65" s="59"/>
      <c r="Q65" s="59"/>
      <c r="R65" s="59"/>
      <c r="S65" s="59"/>
      <c r="T65" s="123"/>
      <c r="U65" s="59"/>
      <c r="V65" s="59"/>
      <c r="W65" s="59"/>
      <c r="X65" s="59"/>
      <c r="Y65" s="59"/>
    </row>
    <row r="66" spans="1:30" hidden="1">
      <c r="A66" s="59">
        <v>29</v>
      </c>
      <c r="B66" s="59"/>
      <c r="C66" s="59"/>
      <c r="D66" s="59"/>
      <c r="E66" s="59"/>
      <c r="F66" s="59"/>
      <c r="G66" s="59"/>
      <c r="H66" s="59"/>
      <c r="I66" s="59"/>
      <c r="J66" s="59"/>
      <c r="K66" s="59"/>
      <c r="L66" s="59"/>
      <c r="M66" s="59"/>
      <c r="N66" s="59"/>
      <c r="O66" s="59"/>
      <c r="P66" s="59"/>
      <c r="Q66" s="59"/>
      <c r="R66" s="59"/>
      <c r="S66" s="59"/>
      <c r="T66" s="123"/>
      <c r="U66" s="59"/>
      <c r="V66" s="59"/>
      <c r="W66" s="59"/>
      <c r="X66" s="59"/>
      <c r="Y66" s="59"/>
    </row>
    <row r="67" spans="1:30" hidden="1">
      <c r="A67" s="59">
        <v>30</v>
      </c>
      <c r="B67" s="59"/>
      <c r="C67" s="59"/>
      <c r="D67" s="59"/>
      <c r="E67" s="59"/>
      <c r="F67" s="59"/>
      <c r="G67" s="59"/>
      <c r="H67" s="59"/>
      <c r="I67" s="59"/>
      <c r="J67" s="59"/>
      <c r="K67" s="59"/>
      <c r="L67" s="59"/>
      <c r="M67" s="59"/>
      <c r="N67" s="59"/>
      <c r="O67" s="59"/>
      <c r="P67" s="59"/>
      <c r="Q67" s="59"/>
      <c r="R67" s="59"/>
      <c r="S67" s="59"/>
      <c r="T67" s="123"/>
      <c r="U67" s="59"/>
      <c r="V67" s="59"/>
      <c r="W67" s="59"/>
      <c r="X67" s="59"/>
      <c r="Y67" s="59"/>
    </row>
    <row r="68" spans="1:30" hidden="1">
      <c r="A68" s="59">
        <v>31</v>
      </c>
      <c r="B68" s="59"/>
      <c r="C68" s="59"/>
      <c r="D68" s="59"/>
      <c r="E68" s="59"/>
      <c r="F68" s="59"/>
      <c r="G68" s="59"/>
      <c r="H68" s="59"/>
      <c r="I68" s="59"/>
      <c r="J68" s="59"/>
      <c r="K68" s="59"/>
      <c r="L68" s="59"/>
      <c r="M68" s="59"/>
      <c r="N68" s="59"/>
      <c r="O68" s="59"/>
      <c r="P68" s="59"/>
      <c r="Q68" s="59"/>
      <c r="R68" s="59"/>
      <c r="S68" s="59"/>
      <c r="T68" s="123"/>
      <c r="U68" s="59"/>
      <c r="V68" s="59"/>
      <c r="W68" s="59"/>
      <c r="X68" s="59"/>
      <c r="Y68" s="59"/>
    </row>
    <row r="69" spans="1:30" hidden="1">
      <c r="A69" s="59">
        <v>32</v>
      </c>
      <c r="B69" s="59"/>
      <c r="C69" s="59"/>
      <c r="D69" s="59"/>
      <c r="E69" s="59"/>
      <c r="F69" s="59"/>
      <c r="G69" s="59"/>
      <c r="H69" s="59"/>
      <c r="I69" s="59"/>
      <c r="J69" s="59"/>
      <c r="K69" s="59"/>
      <c r="L69" s="59"/>
      <c r="M69" s="59"/>
      <c r="N69" s="59"/>
      <c r="O69" s="59"/>
      <c r="P69" s="59"/>
      <c r="Q69" s="59"/>
      <c r="R69" s="59"/>
      <c r="S69" s="59"/>
      <c r="T69" s="123"/>
      <c r="U69" s="59"/>
      <c r="V69" s="59"/>
      <c r="W69" s="59"/>
      <c r="X69" s="59"/>
      <c r="Y69" s="59"/>
    </row>
    <row r="70" spans="1:30" hidden="1">
      <c r="A70" s="59">
        <v>33</v>
      </c>
      <c r="B70" s="59"/>
      <c r="C70" s="59"/>
      <c r="D70" s="59"/>
      <c r="E70" s="59"/>
      <c r="F70" s="59"/>
      <c r="G70" s="59"/>
      <c r="H70" s="59"/>
      <c r="I70" s="59"/>
      <c r="J70" s="59"/>
      <c r="K70" s="59"/>
      <c r="L70" s="59"/>
      <c r="M70" s="59"/>
      <c r="N70" s="59"/>
      <c r="O70" s="59"/>
      <c r="P70" s="59"/>
      <c r="Q70" s="59"/>
      <c r="R70" s="59"/>
      <c r="S70" s="59"/>
      <c r="T70" s="59"/>
      <c r="U70" s="59"/>
      <c r="V70" s="59"/>
      <c r="W70" s="59"/>
      <c r="X70" s="59"/>
      <c r="Y70" s="59"/>
      <c r="Z70" s="59"/>
      <c r="AA70" s="59"/>
      <c r="AB70" s="59"/>
      <c r="AC70" s="59"/>
      <c r="AD70" s="59"/>
    </row>
    <row r="71" spans="1:30" hidden="1">
      <c r="A71" s="59">
        <v>34</v>
      </c>
      <c r="B71" s="59"/>
      <c r="C71" s="59"/>
      <c r="D71" s="59"/>
      <c r="E71" s="59"/>
      <c r="F71" s="59"/>
      <c r="G71" s="59"/>
      <c r="H71" s="59"/>
      <c r="I71" s="59"/>
      <c r="J71" s="59"/>
      <c r="K71" s="59"/>
      <c r="L71" s="59"/>
      <c r="M71" s="59"/>
      <c r="N71" s="59"/>
      <c r="O71" s="59"/>
      <c r="P71" s="59"/>
      <c r="Q71" s="59"/>
      <c r="R71" s="59"/>
      <c r="S71" s="59"/>
      <c r="T71" s="123"/>
      <c r="U71" s="59"/>
      <c r="V71" s="59"/>
      <c r="W71" s="59"/>
      <c r="X71" s="59"/>
      <c r="Y71" s="59"/>
    </row>
    <row r="72" spans="1:30" hidden="1">
      <c r="A72" s="59">
        <v>35</v>
      </c>
      <c r="B72" s="59"/>
      <c r="C72" s="59"/>
      <c r="D72" s="59"/>
      <c r="E72" s="59"/>
      <c r="F72" s="59"/>
      <c r="G72" s="59"/>
      <c r="H72" s="59"/>
      <c r="I72" s="59"/>
      <c r="J72" s="59"/>
      <c r="K72" s="59"/>
      <c r="L72" s="59"/>
      <c r="M72" s="59"/>
      <c r="N72" s="59"/>
      <c r="O72" s="59"/>
      <c r="P72" s="59"/>
      <c r="Q72" s="59"/>
      <c r="R72" s="59"/>
      <c r="S72" s="59"/>
      <c r="T72" s="123"/>
      <c r="U72" s="59"/>
      <c r="V72" s="59"/>
      <c r="W72" s="59"/>
      <c r="X72" s="59"/>
      <c r="Y72" s="59"/>
    </row>
    <row r="73" spans="1:30" hidden="1">
      <c r="A73" s="59">
        <v>36</v>
      </c>
      <c r="B73" s="59"/>
      <c r="C73" s="59"/>
      <c r="D73" s="59"/>
      <c r="E73" s="59"/>
      <c r="F73" s="59"/>
      <c r="G73" s="59"/>
      <c r="H73" s="59"/>
      <c r="I73" s="59"/>
      <c r="J73" s="59"/>
      <c r="K73" s="59"/>
      <c r="L73" s="59"/>
      <c r="M73" s="59"/>
      <c r="N73" s="59"/>
      <c r="O73" s="59"/>
      <c r="P73" s="59"/>
      <c r="Q73" s="59"/>
      <c r="R73" s="59"/>
      <c r="S73" s="59"/>
      <c r="T73" s="123"/>
      <c r="U73" s="59"/>
      <c r="V73" s="59"/>
      <c r="W73" s="59"/>
      <c r="X73" s="59"/>
      <c r="Y73" s="59"/>
    </row>
    <row r="74" spans="1:30" hidden="1">
      <c r="A74" s="59">
        <v>37</v>
      </c>
      <c r="B74" s="59"/>
      <c r="C74" s="59"/>
      <c r="D74" s="59"/>
      <c r="E74" s="59"/>
      <c r="F74" s="59"/>
      <c r="G74" s="59"/>
      <c r="H74" s="59"/>
      <c r="I74" s="59"/>
      <c r="J74" s="59"/>
      <c r="K74" s="59"/>
      <c r="L74" s="59"/>
      <c r="M74" s="59"/>
      <c r="N74" s="59"/>
      <c r="O74" s="59"/>
      <c r="P74" s="59"/>
      <c r="Q74" s="59"/>
      <c r="R74" s="59"/>
      <c r="S74" s="59"/>
      <c r="T74" s="123"/>
      <c r="U74" s="59"/>
      <c r="V74" s="59"/>
      <c r="W74" s="59"/>
      <c r="X74" s="59"/>
      <c r="Y74" s="59"/>
    </row>
    <row r="75" spans="1:30" hidden="1">
      <c r="A75" s="59">
        <v>38</v>
      </c>
      <c r="B75" s="59"/>
      <c r="C75" s="59"/>
      <c r="D75" s="59"/>
      <c r="E75" s="59"/>
      <c r="F75" s="59"/>
      <c r="G75" s="59"/>
      <c r="H75" s="59"/>
      <c r="I75" s="59"/>
      <c r="J75" s="59"/>
      <c r="K75" s="59"/>
      <c r="L75" s="59"/>
      <c r="M75" s="59"/>
      <c r="N75" s="59"/>
      <c r="O75" s="59"/>
      <c r="P75" s="59"/>
      <c r="Q75" s="59"/>
      <c r="R75" s="59"/>
      <c r="S75" s="59"/>
      <c r="T75" s="123"/>
      <c r="U75" s="59"/>
      <c r="V75" s="59"/>
      <c r="W75" s="59"/>
      <c r="X75" s="59"/>
      <c r="Y75" s="59"/>
    </row>
    <row r="76" spans="1:30" hidden="1">
      <c r="A76" s="59">
        <v>39</v>
      </c>
      <c r="B76" s="59"/>
      <c r="C76" s="59"/>
      <c r="D76" s="59"/>
      <c r="E76" s="59"/>
      <c r="F76" s="59"/>
      <c r="G76" s="59"/>
      <c r="H76" s="59"/>
      <c r="I76" s="59"/>
      <c r="J76" s="59"/>
      <c r="K76" s="59"/>
      <c r="L76" s="59"/>
      <c r="M76" s="59"/>
      <c r="N76" s="59"/>
      <c r="O76" s="59"/>
      <c r="P76" s="59"/>
      <c r="Q76" s="59"/>
      <c r="R76" s="59"/>
      <c r="S76" s="59"/>
      <c r="T76" s="123"/>
      <c r="U76" s="59"/>
      <c r="V76" s="59"/>
      <c r="W76" s="59"/>
      <c r="X76" s="59"/>
      <c r="Y76" s="59"/>
    </row>
    <row r="77" spans="1:30" hidden="1">
      <c r="A77" s="59">
        <v>40</v>
      </c>
      <c r="B77" s="59"/>
      <c r="C77" s="59"/>
      <c r="D77" s="59"/>
      <c r="E77" s="59"/>
      <c r="F77" s="59"/>
      <c r="G77" s="59"/>
      <c r="H77" s="59"/>
      <c r="I77" s="59"/>
      <c r="J77" s="59"/>
      <c r="K77" s="59"/>
      <c r="L77" s="59"/>
      <c r="M77" s="59"/>
      <c r="N77" s="59"/>
      <c r="O77" s="59"/>
      <c r="P77" s="59"/>
      <c r="Q77" s="59"/>
      <c r="R77" s="59"/>
      <c r="S77" s="59"/>
      <c r="T77" s="123"/>
      <c r="U77" s="59"/>
      <c r="V77" s="59"/>
      <c r="W77" s="59"/>
      <c r="X77" s="59"/>
      <c r="Y77" s="59"/>
    </row>
    <row r="78" spans="1:30" hidden="1"/>
  </sheetData>
  <sheetProtection algorithmName="SHA-512" hashValue="vlWwZIKAsxBwLXraID2Tm0Cg3QuesS07yWqhIwByaBpmAKMnKoTV5o7Vxk/HJCGeKC8vZaLsuRsh8/E0FTabNA==" saltValue="Zjuo4w6Urb2h/AmCLoR+og==" spinCount="100000" sheet="1" selectLockedCells="1"/>
  <protectedRanges>
    <protectedRange sqref="R7:T8 P8:Q9 T31 J8:M8 N7:N8 O7:Q7 T15:T16 E7:M7 P16 T13 T19 T9 C7:D10" name="Range1"/>
    <protectedRange sqref="T23:T26" name="Range3"/>
    <protectedRange sqref="H31:O31 T28:T30" name="Range5"/>
    <protectedRange sqref="K20" name="Range7"/>
    <protectedRange sqref="K35" name="Range8"/>
    <protectedRange sqref="P31" name="Range5_4"/>
    <protectedRange sqref="Q22:S30" name="Range5_1"/>
    <protectedRange sqref="N22:P30" name="Range5_2"/>
  </protectedRanges>
  <mergeCells count="56">
    <mergeCell ref="B10:S10"/>
    <mergeCell ref="B4:T4"/>
    <mergeCell ref="V5:X5"/>
    <mergeCell ref="B7:O7"/>
    <mergeCell ref="K8:M8"/>
    <mergeCell ref="Q8:S8"/>
    <mergeCell ref="C22:J22"/>
    <mergeCell ref="K22:M22"/>
    <mergeCell ref="N22:P22"/>
    <mergeCell ref="Q22:S22"/>
    <mergeCell ref="B13:G13"/>
    <mergeCell ref="Q13:S13"/>
    <mergeCell ref="B15:N15"/>
    <mergeCell ref="K16:M16"/>
    <mergeCell ref="Q16:S16"/>
    <mergeCell ref="B18:H18"/>
    <mergeCell ref="Q19:S19"/>
    <mergeCell ref="C21:J21"/>
    <mergeCell ref="K21:M21"/>
    <mergeCell ref="N21:P21"/>
    <mergeCell ref="Q21:S21"/>
    <mergeCell ref="C23:J23"/>
    <mergeCell ref="K23:M23"/>
    <mergeCell ref="N23:P23"/>
    <mergeCell ref="Q23:S23"/>
    <mergeCell ref="C24:J24"/>
    <mergeCell ref="K24:M24"/>
    <mergeCell ref="N24:P24"/>
    <mergeCell ref="Q24:S24"/>
    <mergeCell ref="C25:J25"/>
    <mergeCell ref="K25:M25"/>
    <mergeCell ref="N25:P25"/>
    <mergeCell ref="Q25:S25"/>
    <mergeCell ref="C26:J26"/>
    <mergeCell ref="K26:M26"/>
    <mergeCell ref="N26:P26"/>
    <mergeCell ref="Q26:S26"/>
    <mergeCell ref="C27:J27"/>
    <mergeCell ref="K27:M27"/>
    <mergeCell ref="N27:P27"/>
    <mergeCell ref="Q27:S27"/>
    <mergeCell ref="C28:J28"/>
    <mergeCell ref="K28:M28"/>
    <mergeCell ref="N28:P28"/>
    <mergeCell ref="Q28:S28"/>
    <mergeCell ref="Q31:S31"/>
    <mergeCell ref="B33:G33"/>
    <mergeCell ref="Q34:S34"/>
    <mergeCell ref="C29:J29"/>
    <mergeCell ref="K29:M29"/>
    <mergeCell ref="N29:P29"/>
    <mergeCell ref="Q29:S29"/>
    <mergeCell ref="C30:J30"/>
    <mergeCell ref="K30:M30"/>
    <mergeCell ref="N30:P30"/>
    <mergeCell ref="Q30:S30"/>
  </mergeCells>
  <dataValidations count="2">
    <dataValidation type="list" allowBlank="1" showErrorMessage="1" sqref="WVJ983062:WVJ983070 IX22:IX30 ST22:ST30 ACP22:ACP30 AML22:AML30 AWH22:AWH30 BGD22:BGD30 BPZ22:BPZ30 BZV22:BZV30 CJR22:CJR30 CTN22:CTN30 DDJ22:DDJ30 DNF22:DNF30 DXB22:DXB30 EGX22:EGX30 EQT22:EQT30 FAP22:FAP30 FKL22:FKL30 FUH22:FUH30 GED22:GED30 GNZ22:GNZ30 GXV22:GXV30 HHR22:HHR30 HRN22:HRN30 IBJ22:IBJ30 ILF22:ILF30 IVB22:IVB30 JEX22:JEX30 JOT22:JOT30 JYP22:JYP30 KIL22:KIL30 KSH22:KSH30 LCD22:LCD30 LLZ22:LLZ30 LVV22:LVV30 MFR22:MFR30 MPN22:MPN30 MZJ22:MZJ30 NJF22:NJF30 NTB22:NTB30 OCX22:OCX30 OMT22:OMT30 OWP22:OWP30 PGL22:PGL30 PQH22:PQH30 QAD22:QAD30 QJZ22:QJZ30 QTV22:QTV30 RDR22:RDR30 RNN22:RNN30 RXJ22:RXJ30 SHF22:SHF30 SRB22:SRB30 TAX22:TAX30 TKT22:TKT30 TUP22:TUP30 UEL22:UEL30 UOH22:UOH30 UYD22:UYD30 VHZ22:VHZ30 VRV22:VRV30 WBR22:WBR30 WLN22:WLN30 WVJ22:WVJ30 B65558:B65566 IX65558:IX65566 ST65558:ST65566 ACP65558:ACP65566 AML65558:AML65566 AWH65558:AWH65566 BGD65558:BGD65566 BPZ65558:BPZ65566 BZV65558:BZV65566 CJR65558:CJR65566 CTN65558:CTN65566 DDJ65558:DDJ65566 DNF65558:DNF65566 DXB65558:DXB65566 EGX65558:EGX65566 EQT65558:EQT65566 FAP65558:FAP65566 FKL65558:FKL65566 FUH65558:FUH65566 GED65558:GED65566 GNZ65558:GNZ65566 GXV65558:GXV65566 HHR65558:HHR65566 HRN65558:HRN65566 IBJ65558:IBJ65566 ILF65558:ILF65566 IVB65558:IVB65566 JEX65558:JEX65566 JOT65558:JOT65566 JYP65558:JYP65566 KIL65558:KIL65566 KSH65558:KSH65566 LCD65558:LCD65566 LLZ65558:LLZ65566 LVV65558:LVV65566 MFR65558:MFR65566 MPN65558:MPN65566 MZJ65558:MZJ65566 NJF65558:NJF65566 NTB65558:NTB65566 OCX65558:OCX65566 OMT65558:OMT65566 OWP65558:OWP65566 PGL65558:PGL65566 PQH65558:PQH65566 QAD65558:QAD65566 QJZ65558:QJZ65566 QTV65558:QTV65566 RDR65558:RDR65566 RNN65558:RNN65566 RXJ65558:RXJ65566 SHF65558:SHF65566 SRB65558:SRB65566 TAX65558:TAX65566 TKT65558:TKT65566 TUP65558:TUP65566 UEL65558:UEL65566 UOH65558:UOH65566 UYD65558:UYD65566 VHZ65558:VHZ65566 VRV65558:VRV65566 WBR65558:WBR65566 WLN65558:WLN65566 WVJ65558:WVJ65566 B131094:B131102 IX131094:IX131102 ST131094:ST131102 ACP131094:ACP131102 AML131094:AML131102 AWH131094:AWH131102 BGD131094:BGD131102 BPZ131094:BPZ131102 BZV131094:BZV131102 CJR131094:CJR131102 CTN131094:CTN131102 DDJ131094:DDJ131102 DNF131094:DNF131102 DXB131094:DXB131102 EGX131094:EGX131102 EQT131094:EQT131102 FAP131094:FAP131102 FKL131094:FKL131102 FUH131094:FUH131102 GED131094:GED131102 GNZ131094:GNZ131102 GXV131094:GXV131102 HHR131094:HHR131102 HRN131094:HRN131102 IBJ131094:IBJ131102 ILF131094:ILF131102 IVB131094:IVB131102 JEX131094:JEX131102 JOT131094:JOT131102 JYP131094:JYP131102 KIL131094:KIL131102 KSH131094:KSH131102 LCD131094:LCD131102 LLZ131094:LLZ131102 LVV131094:LVV131102 MFR131094:MFR131102 MPN131094:MPN131102 MZJ131094:MZJ131102 NJF131094:NJF131102 NTB131094:NTB131102 OCX131094:OCX131102 OMT131094:OMT131102 OWP131094:OWP131102 PGL131094:PGL131102 PQH131094:PQH131102 QAD131094:QAD131102 QJZ131094:QJZ131102 QTV131094:QTV131102 RDR131094:RDR131102 RNN131094:RNN131102 RXJ131094:RXJ131102 SHF131094:SHF131102 SRB131094:SRB131102 TAX131094:TAX131102 TKT131094:TKT131102 TUP131094:TUP131102 UEL131094:UEL131102 UOH131094:UOH131102 UYD131094:UYD131102 VHZ131094:VHZ131102 VRV131094:VRV131102 WBR131094:WBR131102 WLN131094:WLN131102 WVJ131094:WVJ131102 B196630:B196638 IX196630:IX196638 ST196630:ST196638 ACP196630:ACP196638 AML196630:AML196638 AWH196630:AWH196638 BGD196630:BGD196638 BPZ196630:BPZ196638 BZV196630:BZV196638 CJR196630:CJR196638 CTN196630:CTN196638 DDJ196630:DDJ196638 DNF196630:DNF196638 DXB196630:DXB196638 EGX196630:EGX196638 EQT196630:EQT196638 FAP196630:FAP196638 FKL196630:FKL196638 FUH196630:FUH196638 GED196630:GED196638 GNZ196630:GNZ196638 GXV196630:GXV196638 HHR196630:HHR196638 HRN196630:HRN196638 IBJ196630:IBJ196638 ILF196630:ILF196638 IVB196630:IVB196638 JEX196630:JEX196638 JOT196630:JOT196638 JYP196630:JYP196638 KIL196630:KIL196638 KSH196630:KSH196638 LCD196630:LCD196638 LLZ196630:LLZ196638 LVV196630:LVV196638 MFR196630:MFR196638 MPN196630:MPN196638 MZJ196630:MZJ196638 NJF196630:NJF196638 NTB196630:NTB196638 OCX196630:OCX196638 OMT196630:OMT196638 OWP196630:OWP196638 PGL196630:PGL196638 PQH196630:PQH196638 QAD196630:QAD196638 QJZ196630:QJZ196638 QTV196630:QTV196638 RDR196630:RDR196638 RNN196630:RNN196638 RXJ196630:RXJ196638 SHF196630:SHF196638 SRB196630:SRB196638 TAX196630:TAX196638 TKT196630:TKT196638 TUP196630:TUP196638 UEL196630:UEL196638 UOH196630:UOH196638 UYD196630:UYD196638 VHZ196630:VHZ196638 VRV196630:VRV196638 WBR196630:WBR196638 WLN196630:WLN196638 WVJ196630:WVJ196638 B262166:B262174 IX262166:IX262174 ST262166:ST262174 ACP262166:ACP262174 AML262166:AML262174 AWH262166:AWH262174 BGD262166:BGD262174 BPZ262166:BPZ262174 BZV262166:BZV262174 CJR262166:CJR262174 CTN262166:CTN262174 DDJ262166:DDJ262174 DNF262166:DNF262174 DXB262166:DXB262174 EGX262166:EGX262174 EQT262166:EQT262174 FAP262166:FAP262174 FKL262166:FKL262174 FUH262166:FUH262174 GED262166:GED262174 GNZ262166:GNZ262174 GXV262166:GXV262174 HHR262166:HHR262174 HRN262166:HRN262174 IBJ262166:IBJ262174 ILF262166:ILF262174 IVB262166:IVB262174 JEX262166:JEX262174 JOT262166:JOT262174 JYP262166:JYP262174 KIL262166:KIL262174 KSH262166:KSH262174 LCD262166:LCD262174 LLZ262166:LLZ262174 LVV262166:LVV262174 MFR262166:MFR262174 MPN262166:MPN262174 MZJ262166:MZJ262174 NJF262166:NJF262174 NTB262166:NTB262174 OCX262166:OCX262174 OMT262166:OMT262174 OWP262166:OWP262174 PGL262166:PGL262174 PQH262166:PQH262174 QAD262166:QAD262174 QJZ262166:QJZ262174 QTV262166:QTV262174 RDR262166:RDR262174 RNN262166:RNN262174 RXJ262166:RXJ262174 SHF262166:SHF262174 SRB262166:SRB262174 TAX262166:TAX262174 TKT262166:TKT262174 TUP262166:TUP262174 UEL262166:UEL262174 UOH262166:UOH262174 UYD262166:UYD262174 VHZ262166:VHZ262174 VRV262166:VRV262174 WBR262166:WBR262174 WLN262166:WLN262174 WVJ262166:WVJ262174 B327702:B327710 IX327702:IX327710 ST327702:ST327710 ACP327702:ACP327710 AML327702:AML327710 AWH327702:AWH327710 BGD327702:BGD327710 BPZ327702:BPZ327710 BZV327702:BZV327710 CJR327702:CJR327710 CTN327702:CTN327710 DDJ327702:DDJ327710 DNF327702:DNF327710 DXB327702:DXB327710 EGX327702:EGX327710 EQT327702:EQT327710 FAP327702:FAP327710 FKL327702:FKL327710 FUH327702:FUH327710 GED327702:GED327710 GNZ327702:GNZ327710 GXV327702:GXV327710 HHR327702:HHR327710 HRN327702:HRN327710 IBJ327702:IBJ327710 ILF327702:ILF327710 IVB327702:IVB327710 JEX327702:JEX327710 JOT327702:JOT327710 JYP327702:JYP327710 KIL327702:KIL327710 KSH327702:KSH327710 LCD327702:LCD327710 LLZ327702:LLZ327710 LVV327702:LVV327710 MFR327702:MFR327710 MPN327702:MPN327710 MZJ327702:MZJ327710 NJF327702:NJF327710 NTB327702:NTB327710 OCX327702:OCX327710 OMT327702:OMT327710 OWP327702:OWP327710 PGL327702:PGL327710 PQH327702:PQH327710 QAD327702:QAD327710 QJZ327702:QJZ327710 QTV327702:QTV327710 RDR327702:RDR327710 RNN327702:RNN327710 RXJ327702:RXJ327710 SHF327702:SHF327710 SRB327702:SRB327710 TAX327702:TAX327710 TKT327702:TKT327710 TUP327702:TUP327710 UEL327702:UEL327710 UOH327702:UOH327710 UYD327702:UYD327710 VHZ327702:VHZ327710 VRV327702:VRV327710 WBR327702:WBR327710 WLN327702:WLN327710 WVJ327702:WVJ327710 B393238:B393246 IX393238:IX393246 ST393238:ST393246 ACP393238:ACP393246 AML393238:AML393246 AWH393238:AWH393246 BGD393238:BGD393246 BPZ393238:BPZ393246 BZV393238:BZV393246 CJR393238:CJR393246 CTN393238:CTN393246 DDJ393238:DDJ393246 DNF393238:DNF393246 DXB393238:DXB393246 EGX393238:EGX393246 EQT393238:EQT393246 FAP393238:FAP393246 FKL393238:FKL393246 FUH393238:FUH393246 GED393238:GED393246 GNZ393238:GNZ393246 GXV393238:GXV393246 HHR393238:HHR393246 HRN393238:HRN393246 IBJ393238:IBJ393246 ILF393238:ILF393246 IVB393238:IVB393246 JEX393238:JEX393246 JOT393238:JOT393246 JYP393238:JYP393246 KIL393238:KIL393246 KSH393238:KSH393246 LCD393238:LCD393246 LLZ393238:LLZ393246 LVV393238:LVV393246 MFR393238:MFR393246 MPN393238:MPN393246 MZJ393238:MZJ393246 NJF393238:NJF393246 NTB393238:NTB393246 OCX393238:OCX393246 OMT393238:OMT393246 OWP393238:OWP393246 PGL393238:PGL393246 PQH393238:PQH393246 QAD393238:QAD393246 QJZ393238:QJZ393246 QTV393238:QTV393246 RDR393238:RDR393246 RNN393238:RNN393246 RXJ393238:RXJ393246 SHF393238:SHF393246 SRB393238:SRB393246 TAX393238:TAX393246 TKT393238:TKT393246 TUP393238:TUP393246 UEL393238:UEL393246 UOH393238:UOH393246 UYD393238:UYD393246 VHZ393238:VHZ393246 VRV393238:VRV393246 WBR393238:WBR393246 WLN393238:WLN393246 WVJ393238:WVJ393246 B458774:B458782 IX458774:IX458782 ST458774:ST458782 ACP458774:ACP458782 AML458774:AML458782 AWH458774:AWH458782 BGD458774:BGD458782 BPZ458774:BPZ458782 BZV458774:BZV458782 CJR458774:CJR458782 CTN458774:CTN458782 DDJ458774:DDJ458782 DNF458774:DNF458782 DXB458774:DXB458782 EGX458774:EGX458782 EQT458774:EQT458782 FAP458774:FAP458782 FKL458774:FKL458782 FUH458774:FUH458782 GED458774:GED458782 GNZ458774:GNZ458782 GXV458774:GXV458782 HHR458774:HHR458782 HRN458774:HRN458782 IBJ458774:IBJ458782 ILF458774:ILF458782 IVB458774:IVB458782 JEX458774:JEX458782 JOT458774:JOT458782 JYP458774:JYP458782 KIL458774:KIL458782 KSH458774:KSH458782 LCD458774:LCD458782 LLZ458774:LLZ458782 LVV458774:LVV458782 MFR458774:MFR458782 MPN458774:MPN458782 MZJ458774:MZJ458782 NJF458774:NJF458782 NTB458774:NTB458782 OCX458774:OCX458782 OMT458774:OMT458782 OWP458774:OWP458782 PGL458774:PGL458782 PQH458774:PQH458782 QAD458774:QAD458782 QJZ458774:QJZ458782 QTV458774:QTV458782 RDR458774:RDR458782 RNN458774:RNN458782 RXJ458774:RXJ458782 SHF458774:SHF458782 SRB458774:SRB458782 TAX458774:TAX458782 TKT458774:TKT458782 TUP458774:TUP458782 UEL458774:UEL458782 UOH458774:UOH458782 UYD458774:UYD458782 VHZ458774:VHZ458782 VRV458774:VRV458782 WBR458774:WBR458782 WLN458774:WLN458782 WVJ458774:WVJ458782 B524310:B524318 IX524310:IX524318 ST524310:ST524318 ACP524310:ACP524318 AML524310:AML524318 AWH524310:AWH524318 BGD524310:BGD524318 BPZ524310:BPZ524318 BZV524310:BZV524318 CJR524310:CJR524318 CTN524310:CTN524318 DDJ524310:DDJ524318 DNF524310:DNF524318 DXB524310:DXB524318 EGX524310:EGX524318 EQT524310:EQT524318 FAP524310:FAP524318 FKL524310:FKL524318 FUH524310:FUH524318 GED524310:GED524318 GNZ524310:GNZ524318 GXV524310:GXV524318 HHR524310:HHR524318 HRN524310:HRN524318 IBJ524310:IBJ524318 ILF524310:ILF524318 IVB524310:IVB524318 JEX524310:JEX524318 JOT524310:JOT524318 JYP524310:JYP524318 KIL524310:KIL524318 KSH524310:KSH524318 LCD524310:LCD524318 LLZ524310:LLZ524318 LVV524310:LVV524318 MFR524310:MFR524318 MPN524310:MPN524318 MZJ524310:MZJ524318 NJF524310:NJF524318 NTB524310:NTB524318 OCX524310:OCX524318 OMT524310:OMT524318 OWP524310:OWP524318 PGL524310:PGL524318 PQH524310:PQH524318 QAD524310:QAD524318 QJZ524310:QJZ524318 QTV524310:QTV524318 RDR524310:RDR524318 RNN524310:RNN524318 RXJ524310:RXJ524318 SHF524310:SHF524318 SRB524310:SRB524318 TAX524310:TAX524318 TKT524310:TKT524318 TUP524310:TUP524318 UEL524310:UEL524318 UOH524310:UOH524318 UYD524310:UYD524318 VHZ524310:VHZ524318 VRV524310:VRV524318 WBR524310:WBR524318 WLN524310:WLN524318 WVJ524310:WVJ524318 B589846:B589854 IX589846:IX589854 ST589846:ST589854 ACP589846:ACP589854 AML589846:AML589854 AWH589846:AWH589854 BGD589846:BGD589854 BPZ589846:BPZ589854 BZV589846:BZV589854 CJR589846:CJR589854 CTN589846:CTN589854 DDJ589846:DDJ589854 DNF589846:DNF589854 DXB589846:DXB589854 EGX589846:EGX589854 EQT589846:EQT589854 FAP589846:FAP589854 FKL589846:FKL589854 FUH589846:FUH589854 GED589846:GED589854 GNZ589846:GNZ589854 GXV589846:GXV589854 HHR589846:HHR589854 HRN589846:HRN589854 IBJ589846:IBJ589854 ILF589846:ILF589854 IVB589846:IVB589854 JEX589846:JEX589854 JOT589846:JOT589854 JYP589846:JYP589854 KIL589846:KIL589854 KSH589846:KSH589854 LCD589846:LCD589854 LLZ589846:LLZ589854 LVV589846:LVV589854 MFR589846:MFR589854 MPN589846:MPN589854 MZJ589846:MZJ589854 NJF589846:NJF589854 NTB589846:NTB589854 OCX589846:OCX589854 OMT589846:OMT589854 OWP589846:OWP589854 PGL589846:PGL589854 PQH589846:PQH589854 QAD589846:QAD589854 QJZ589846:QJZ589854 QTV589846:QTV589854 RDR589846:RDR589854 RNN589846:RNN589854 RXJ589846:RXJ589854 SHF589846:SHF589854 SRB589846:SRB589854 TAX589846:TAX589854 TKT589846:TKT589854 TUP589846:TUP589854 UEL589846:UEL589854 UOH589846:UOH589854 UYD589846:UYD589854 VHZ589846:VHZ589854 VRV589846:VRV589854 WBR589846:WBR589854 WLN589846:WLN589854 WVJ589846:WVJ589854 B655382:B655390 IX655382:IX655390 ST655382:ST655390 ACP655382:ACP655390 AML655382:AML655390 AWH655382:AWH655390 BGD655382:BGD655390 BPZ655382:BPZ655390 BZV655382:BZV655390 CJR655382:CJR655390 CTN655382:CTN655390 DDJ655382:DDJ655390 DNF655382:DNF655390 DXB655382:DXB655390 EGX655382:EGX655390 EQT655382:EQT655390 FAP655382:FAP655390 FKL655382:FKL655390 FUH655382:FUH655390 GED655382:GED655390 GNZ655382:GNZ655390 GXV655382:GXV655390 HHR655382:HHR655390 HRN655382:HRN655390 IBJ655382:IBJ655390 ILF655382:ILF655390 IVB655382:IVB655390 JEX655382:JEX655390 JOT655382:JOT655390 JYP655382:JYP655390 KIL655382:KIL655390 KSH655382:KSH655390 LCD655382:LCD655390 LLZ655382:LLZ655390 LVV655382:LVV655390 MFR655382:MFR655390 MPN655382:MPN655390 MZJ655382:MZJ655390 NJF655382:NJF655390 NTB655382:NTB655390 OCX655382:OCX655390 OMT655382:OMT655390 OWP655382:OWP655390 PGL655382:PGL655390 PQH655382:PQH655390 QAD655382:QAD655390 QJZ655382:QJZ655390 QTV655382:QTV655390 RDR655382:RDR655390 RNN655382:RNN655390 RXJ655382:RXJ655390 SHF655382:SHF655390 SRB655382:SRB655390 TAX655382:TAX655390 TKT655382:TKT655390 TUP655382:TUP655390 UEL655382:UEL655390 UOH655382:UOH655390 UYD655382:UYD655390 VHZ655382:VHZ655390 VRV655382:VRV655390 WBR655382:WBR655390 WLN655382:WLN655390 WVJ655382:WVJ655390 B720918:B720926 IX720918:IX720926 ST720918:ST720926 ACP720918:ACP720926 AML720918:AML720926 AWH720918:AWH720926 BGD720918:BGD720926 BPZ720918:BPZ720926 BZV720918:BZV720926 CJR720918:CJR720926 CTN720918:CTN720926 DDJ720918:DDJ720926 DNF720918:DNF720926 DXB720918:DXB720926 EGX720918:EGX720926 EQT720918:EQT720926 FAP720918:FAP720926 FKL720918:FKL720926 FUH720918:FUH720926 GED720918:GED720926 GNZ720918:GNZ720926 GXV720918:GXV720926 HHR720918:HHR720926 HRN720918:HRN720926 IBJ720918:IBJ720926 ILF720918:ILF720926 IVB720918:IVB720926 JEX720918:JEX720926 JOT720918:JOT720926 JYP720918:JYP720926 KIL720918:KIL720926 KSH720918:KSH720926 LCD720918:LCD720926 LLZ720918:LLZ720926 LVV720918:LVV720926 MFR720918:MFR720926 MPN720918:MPN720926 MZJ720918:MZJ720926 NJF720918:NJF720926 NTB720918:NTB720926 OCX720918:OCX720926 OMT720918:OMT720926 OWP720918:OWP720926 PGL720918:PGL720926 PQH720918:PQH720926 QAD720918:QAD720926 QJZ720918:QJZ720926 QTV720918:QTV720926 RDR720918:RDR720926 RNN720918:RNN720926 RXJ720918:RXJ720926 SHF720918:SHF720926 SRB720918:SRB720926 TAX720918:TAX720926 TKT720918:TKT720926 TUP720918:TUP720926 UEL720918:UEL720926 UOH720918:UOH720926 UYD720918:UYD720926 VHZ720918:VHZ720926 VRV720918:VRV720926 WBR720918:WBR720926 WLN720918:WLN720926 WVJ720918:WVJ720926 B786454:B786462 IX786454:IX786462 ST786454:ST786462 ACP786454:ACP786462 AML786454:AML786462 AWH786454:AWH786462 BGD786454:BGD786462 BPZ786454:BPZ786462 BZV786454:BZV786462 CJR786454:CJR786462 CTN786454:CTN786462 DDJ786454:DDJ786462 DNF786454:DNF786462 DXB786454:DXB786462 EGX786454:EGX786462 EQT786454:EQT786462 FAP786454:FAP786462 FKL786454:FKL786462 FUH786454:FUH786462 GED786454:GED786462 GNZ786454:GNZ786462 GXV786454:GXV786462 HHR786454:HHR786462 HRN786454:HRN786462 IBJ786454:IBJ786462 ILF786454:ILF786462 IVB786454:IVB786462 JEX786454:JEX786462 JOT786454:JOT786462 JYP786454:JYP786462 KIL786454:KIL786462 KSH786454:KSH786462 LCD786454:LCD786462 LLZ786454:LLZ786462 LVV786454:LVV786462 MFR786454:MFR786462 MPN786454:MPN786462 MZJ786454:MZJ786462 NJF786454:NJF786462 NTB786454:NTB786462 OCX786454:OCX786462 OMT786454:OMT786462 OWP786454:OWP786462 PGL786454:PGL786462 PQH786454:PQH786462 QAD786454:QAD786462 QJZ786454:QJZ786462 QTV786454:QTV786462 RDR786454:RDR786462 RNN786454:RNN786462 RXJ786454:RXJ786462 SHF786454:SHF786462 SRB786454:SRB786462 TAX786454:TAX786462 TKT786454:TKT786462 TUP786454:TUP786462 UEL786454:UEL786462 UOH786454:UOH786462 UYD786454:UYD786462 VHZ786454:VHZ786462 VRV786454:VRV786462 WBR786454:WBR786462 WLN786454:WLN786462 WVJ786454:WVJ786462 B851990:B851998 IX851990:IX851998 ST851990:ST851998 ACP851990:ACP851998 AML851990:AML851998 AWH851990:AWH851998 BGD851990:BGD851998 BPZ851990:BPZ851998 BZV851990:BZV851998 CJR851990:CJR851998 CTN851990:CTN851998 DDJ851990:DDJ851998 DNF851990:DNF851998 DXB851990:DXB851998 EGX851990:EGX851998 EQT851990:EQT851998 FAP851990:FAP851998 FKL851990:FKL851998 FUH851990:FUH851998 GED851990:GED851998 GNZ851990:GNZ851998 GXV851990:GXV851998 HHR851990:HHR851998 HRN851990:HRN851998 IBJ851990:IBJ851998 ILF851990:ILF851998 IVB851990:IVB851998 JEX851990:JEX851998 JOT851990:JOT851998 JYP851990:JYP851998 KIL851990:KIL851998 KSH851990:KSH851998 LCD851990:LCD851998 LLZ851990:LLZ851998 LVV851990:LVV851998 MFR851990:MFR851998 MPN851990:MPN851998 MZJ851990:MZJ851998 NJF851990:NJF851998 NTB851990:NTB851998 OCX851990:OCX851998 OMT851990:OMT851998 OWP851990:OWP851998 PGL851990:PGL851998 PQH851990:PQH851998 QAD851990:QAD851998 QJZ851990:QJZ851998 QTV851990:QTV851998 RDR851990:RDR851998 RNN851990:RNN851998 RXJ851990:RXJ851998 SHF851990:SHF851998 SRB851990:SRB851998 TAX851990:TAX851998 TKT851990:TKT851998 TUP851990:TUP851998 UEL851990:UEL851998 UOH851990:UOH851998 UYD851990:UYD851998 VHZ851990:VHZ851998 VRV851990:VRV851998 WBR851990:WBR851998 WLN851990:WLN851998 WVJ851990:WVJ851998 B917526:B917534 IX917526:IX917534 ST917526:ST917534 ACP917526:ACP917534 AML917526:AML917534 AWH917526:AWH917534 BGD917526:BGD917534 BPZ917526:BPZ917534 BZV917526:BZV917534 CJR917526:CJR917534 CTN917526:CTN917534 DDJ917526:DDJ917534 DNF917526:DNF917534 DXB917526:DXB917534 EGX917526:EGX917534 EQT917526:EQT917534 FAP917526:FAP917534 FKL917526:FKL917534 FUH917526:FUH917534 GED917526:GED917534 GNZ917526:GNZ917534 GXV917526:GXV917534 HHR917526:HHR917534 HRN917526:HRN917534 IBJ917526:IBJ917534 ILF917526:ILF917534 IVB917526:IVB917534 JEX917526:JEX917534 JOT917526:JOT917534 JYP917526:JYP917534 KIL917526:KIL917534 KSH917526:KSH917534 LCD917526:LCD917534 LLZ917526:LLZ917534 LVV917526:LVV917534 MFR917526:MFR917534 MPN917526:MPN917534 MZJ917526:MZJ917534 NJF917526:NJF917534 NTB917526:NTB917534 OCX917526:OCX917534 OMT917526:OMT917534 OWP917526:OWP917534 PGL917526:PGL917534 PQH917526:PQH917534 QAD917526:QAD917534 QJZ917526:QJZ917534 QTV917526:QTV917534 RDR917526:RDR917534 RNN917526:RNN917534 RXJ917526:RXJ917534 SHF917526:SHF917534 SRB917526:SRB917534 TAX917526:TAX917534 TKT917526:TKT917534 TUP917526:TUP917534 UEL917526:UEL917534 UOH917526:UOH917534 UYD917526:UYD917534 VHZ917526:VHZ917534 VRV917526:VRV917534 WBR917526:WBR917534 WLN917526:WLN917534 WVJ917526:WVJ917534 B983062:B983070 IX983062:IX983070 ST983062:ST983070 ACP983062:ACP983070 AML983062:AML983070 AWH983062:AWH983070 BGD983062:BGD983070 BPZ983062:BPZ983070 BZV983062:BZV983070 CJR983062:CJR983070 CTN983062:CTN983070 DDJ983062:DDJ983070 DNF983062:DNF983070 DXB983062:DXB983070 EGX983062:EGX983070 EQT983062:EQT983070 FAP983062:FAP983070 FKL983062:FKL983070 FUH983062:FUH983070 GED983062:GED983070 GNZ983062:GNZ983070 GXV983062:GXV983070 HHR983062:HHR983070 HRN983062:HRN983070 IBJ983062:IBJ983070 ILF983062:ILF983070 IVB983062:IVB983070 JEX983062:JEX983070 JOT983062:JOT983070 JYP983062:JYP983070 KIL983062:KIL983070 KSH983062:KSH983070 LCD983062:LCD983070 LLZ983062:LLZ983070 LVV983062:LVV983070 MFR983062:MFR983070 MPN983062:MPN983070 MZJ983062:MZJ983070 NJF983062:NJF983070 NTB983062:NTB983070 OCX983062:OCX983070 OMT983062:OMT983070 OWP983062:OWP983070 PGL983062:PGL983070 PQH983062:PQH983070 QAD983062:QAD983070 QJZ983062:QJZ983070 QTV983062:QTV983070 RDR983062:RDR983070 RNN983062:RNN983070 RXJ983062:RXJ983070 SHF983062:SHF983070 SRB983062:SRB983070 TAX983062:TAX983070 TKT983062:TKT983070 TUP983062:TUP983070 UEL983062:UEL983070 UOH983062:UOH983070 UYD983062:UYD983070 VHZ983062:VHZ983070 VRV983062:VRV983070 WBR983062:WBR983070 WLN983062:WLN983070 B22:B30" xr:uid="{0B301C4B-20E9-48BF-9C49-308416FF4B4C}">
      <formula1>$A$37:$A$77</formula1>
    </dataValidation>
    <dataValidation type="list" allowBlank="1" showInputMessage="1" showErrorMessage="1" sqref="AE36:IV70 KA36:SR70 TW36:ACN70 ADS36:AMJ70 ANO36:AWF70 AXK36:BGB70 BHG36:BPX70 BRC36:BZT70 CAY36:CJP70 CKU36:CTL70 CUQ36:DDH70 DEM36:DND70 DOI36:DWZ70 DYE36:EGV70 EIA36:EQR70 ERW36:FAN70 FBS36:FKJ70 FLO36:FUF70 FVK36:GEB70 GFG36:GNX70 GPC36:GXT70 GYY36:HHP70 HIU36:HRL70 HSQ36:IBH70 ICM36:ILD70 IMI36:IUZ70 IWE36:JEV70 JGA36:JOR70 JPW36:JYN70 JZS36:KIJ70 KJO36:KSF70 KTK36:LCB70 LDG36:LLX70 LNC36:LVT70 LWY36:MFP70 MGU36:MPL70 MQQ36:MZH70 NAM36:NJD70 NKI36:NSZ70 NUE36:OCV70 OEA36:OMR70 ONW36:OWN70 OXS36:PGJ70 PHO36:PQF70 PRK36:QAB70 QBG36:QJX70 QLC36:QTT70 QUY36:RDP70 REU36:RNL70 ROQ36:RXH70 RYM36:SHD70 SII36:SQZ70 SSE36:TAV70 TCA36:TKR70 TLW36:TUN70 TVS36:UEJ70 UFO36:UOF70 UPK36:UYB70 UZG36:VHX70 VJC36:VRT70 VSY36:WBP70 WCU36:WLL70 WMQ36:WVH70 WWM36:XFD70 AE65572:IV65606 KA65572:SR65606 TW65572:ACN65606 ADS65572:AMJ65606 ANO65572:AWF65606 AXK65572:BGB65606 BHG65572:BPX65606 BRC65572:BZT65606 CAY65572:CJP65606 CKU65572:CTL65606 CUQ65572:DDH65606 DEM65572:DND65606 DOI65572:DWZ65606 DYE65572:EGV65606 EIA65572:EQR65606 ERW65572:FAN65606 FBS65572:FKJ65606 FLO65572:FUF65606 FVK65572:GEB65606 GFG65572:GNX65606 GPC65572:GXT65606 GYY65572:HHP65606 HIU65572:HRL65606 HSQ65572:IBH65606 ICM65572:ILD65606 IMI65572:IUZ65606 IWE65572:JEV65606 JGA65572:JOR65606 JPW65572:JYN65606 JZS65572:KIJ65606 KJO65572:KSF65606 KTK65572:LCB65606 LDG65572:LLX65606 LNC65572:LVT65606 LWY65572:MFP65606 MGU65572:MPL65606 MQQ65572:MZH65606 NAM65572:NJD65606 NKI65572:NSZ65606 NUE65572:OCV65606 OEA65572:OMR65606 ONW65572:OWN65606 OXS65572:PGJ65606 PHO65572:PQF65606 PRK65572:QAB65606 QBG65572:QJX65606 QLC65572:QTT65606 QUY65572:RDP65606 REU65572:RNL65606 ROQ65572:RXH65606 RYM65572:SHD65606 SII65572:SQZ65606 SSE65572:TAV65606 TCA65572:TKR65606 TLW65572:TUN65606 TVS65572:UEJ65606 UFO65572:UOF65606 UPK65572:UYB65606 UZG65572:VHX65606 VJC65572:VRT65606 VSY65572:WBP65606 WCU65572:WLL65606 WMQ65572:WVH65606 WWM65572:XFD65606 AE131108:IV131142 KA131108:SR131142 TW131108:ACN131142 ADS131108:AMJ131142 ANO131108:AWF131142 AXK131108:BGB131142 BHG131108:BPX131142 BRC131108:BZT131142 CAY131108:CJP131142 CKU131108:CTL131142 CUQ131108:DDH131142 DEM131108:DND131142 DOI131108:DWZ131142 DYE131108:EGV131142 EIA131108:EQR131142 ERW131108:FAN131142 FBS131108:FKJ131142 FLO131108:FUF131142 FVK131108:GEB131142 GFG131108:GNX131142 GPC131108:GXT131142 GYY131108:HHP131142 HIU131108:HRL131142 HSQ131108:IBH131142 ICM131108:ILD131142 IMI131108:IUZ131142 IWE131108:JEV131142 JGA131108:JOR131142 JPW131108:JYN131142 JZS131108:KIJ131142 KJO131108:KSF131142 KTK131108:LCB131142 LDG131108:LLX131142 LNC131108:LVT131142 LWY131108:MFP131142 MGU131108:MPL131142 MQQ131108:MZH131142 NAM131108:NJD131142 NKI131108:NSZ131142 NUE131108:OCV131142 OEA131108:OMR131142 ONW131108:OWN131142 OXS131108:PGJ131142 PHO131108:PQF131142 PRK131108:QAB131142 QBG131108:QJX131142 QLC131108:QTT131142 QUY131108:RDP131142 REU131108:RNL131142 ROQ131108:RXH131142 RYM131108:SHD131142 SII131108:SQZ131142 SSE131108:TAV131142 TCA131108:TKR131142 TLW131108:TUN131142 TVS131108:UEJ131142 UFO131108:UOF131142 UPK131108:UYB131142 UZG131108:VHX131142 VJC131108:VRT131142 VSY131108:WBP131142 WCU131108:WLL131142 WMQ131108:WVH131142 WWM131108:XFD131142 AE196644:IV196678 KA196644:SR196678 TW196644:ACN196678 ADS196644:AMJ196678 ANO196644:AWF196678 AXK196644:BGB196678 BHG196644:BPX196678 BRC196644:BZT196678 CAY196644:CJP196678 CKU196644:CTL196678 CUQ196644:DDH196678 DEM196644:DND196678 DOI196644:DWZ196678 DYE196644:EGV196678 EIA196644:EQR196678 ERW196644:FAN196678 FBS196644:FKJ196678 FLO196644:FUF196678 FVK196644:GEB196678 GFG196644:GNX196678 GPC196644:GXT196678 GYY196644:HHP196678 HIU196644:HRL196678 HSQ196644:IBH196678 ICM196644:ILD196678 IMI196644:IUZ196678 IWE196644:JEV196678 JGA196644:JOR196678 JPW196644:JYN196678 JZS196644:KIJ196678 KJO196644:KSF196678 KTK196644:LCB196678 LDG196644:LLX196678 LNC196644:LVT196678 LWY196644:MFP196678 MGU196644:MPL196678 MQQ196644:MZH196678 NAM196644:NJD196678 NKI196644:NSZ196678 NUE196644:OCV196678 OEA196644:OMR196678 ONW196644:OWN196678 OXS196644:PGJ196678 PHO196644:PQF196678 PRK196644:QAB196678 QBG196644:QJX196678 QLC196644:QTT196678 QUY196644:RDP196678 REU196644:RNL196678 ROQ196644:RXH196678 RYM196644:SHD196678 SII196644:SQZ196678 SSE196644:TAV196678 TCA196644:TKR196678 TLW196644:TUN196678 TVS196644:UEJ196678 UFO196644:UOF196678 UPK196644:UYB196678 UZG196644:VHX196678 VJC196644:VRT196678 VSY196644:WBP196678 WCU196644:WLL196678 WMQ196644:WVH196678 WWM196644:XFD196678 AE262180:IV262214 KA262180:SR262214 TW262180:ACN262214 ADS262180:AMJ262214 ANO262180:AWF262214 AXK262180:BGB262214 BHG262180:BPX262214 BRC262180:BZT262214 CAY262180:CJP262214 CKU262180:CTL262214 CUQ262180:DDH262214 DEM262180:DND262214 DOI262180:DWZ262214 DYE262180:EGV262214 EIA262180:EQR262214 ERW262180:FAN262214 FBS262180:FKJ262214 FLO262180:FUF262214 FVK262180:GEB262214 GFG262180:GNX262214 GPC262180:GXT262214 GYY262180:HHP262214 HIU262180:HRL262214 HSQ262180:IBH262214 ICM262180:ILD262214 IMI262180:IUZ262214 IWE262180:JEV262214 JGA262180:JOR262214 JPW262180:JYN262214 JZS262180:KIJ262214 KJO262180:KSF262214 KTK262180:LCB262214 LDG262180:LLX262214 LNC262180:LVT262214 LWY262180:MFP262214 MGU262180:MPL262214 MQQ262180:MZH262214 NAM262180:NJD262214 NKI262180:NSZ262214 NUE262180:OCV262214 OEA262180:OMR262214 ONW262180:OWN262214 OXS262180:PGJ262214 PHO262180:PQF262214 PRK262180:QAB262214 QBG262180:QJX262214 QLC262180:QTT262214 QUY262180:RDP262214 REU262180:RNL262214 ROQ262180:RXH262214 RYM262180:SHD262214 SII262180:SQZ262214 SSE262180:TAV262214 TCA262180:TKR262214 TLW262180:TUN262214 TVS262180:UEJ262214 UFO262180:UOF262214 UPK262180:UYB262214 UZG262180:VHX262214 VJC262180:VRT262214 VSY262180:WBP262214 WCU262180:WLL262214 WMQ262180:WVH262214 WWM262180:XFD262214 AE327716:IV327750 KA327716:SR327750 TW327716:ACN327750 ADS327716:AMJ327750 ANO327716:AWF327750 AXK327716:BGB327750 BHG327716:BPX327750 BRC327716:BZT327750 CAY327716:CJP327750 CKU327716:CTL327750 CUQ327716:DDH327750 DEM327716:DND327750 DOI327716:DWZ327750 DYE327716:EGV327750 EIA327716:EQR327750 ERW327716:FAN327750 FBS327716:FKJ327750 FLO327716:FUF327750 FVK327716:GEB327750 GFG327716:GNX327750 GPC327716:GXT327750 GYY327716:HHP327750 HIU327716:HRL327750 HSQ327716:IBH327750 ICM327716:ILD327750 IMI327716:IUZ327750 IWE327716:JEV327750 JGA327716:JOR327750 JPW327716:JYN327750 JZS327716:KIJ327750 KJO327716:KSF327750 KTK327716:LCB327750 LDG327716:LLX327750 LNC327716:LVT327750 LWY327716:MFP327750 MGU327716:MPL327750 MQQ327716:MZH327750 NAM327716:NJD327750 NKI327716:NSZ327750 NUE327716:OCV327750 OEA327716:OMR327750 ONW327716:OWN327750 OXS327716:PGJ327750 PHO327716:PQF327750 PRK327716:QAB327750 QBG327716:QJX327750 QLC327716:QTT327750 QUY327716:RDP327750 REU327716:RNL327750 ROQ327716:RXH327750 RYM327716:SHD327750 SII327716:SQZ327750 SSE327716:TAV327750 TCA327716:TKR327750 TLW327716:TUN327750 TVS327716:UEJ327750 UFO327716:UOF327750 UPK327716:UYB327750 UZG327716:VHX327750 VJC327716:VRT327750 VSY327716:WBP327750 WCU327716:WLL327750 WMQ327716:WVH327750 WWM327716:XFD327750 AE393252:IV393286 KA393252:SR393286 TW393252:ACN393286 ADS393252:AMJ393286 ANO393252:AWF393286 AXK393252:BGB393286 BHG393252:BPX393286 BRC393252:BZT393286 CAY393252:CJP393286 CKU393252:CTL393286 CUQ393252:DDH393286 DEM393252:DND393286 DOI393252:DWZ393286 DYE393252:EGV393286 EIA393252:EQR393286 ERW393252:FAN393286 FBS393252:FKJ393286 FLO393252:FUF393286 FVK393252:GEB393286 GFG393252:GNX393286 GPC393252:GXT393286 GYY393252:HHP393286 HIU393252:HRL393286 HSQ393252:IBH393286 ICM393252:ILD393286 IMI393252:IUZ393286 IWE393252:JEV393286 JGA393252:JOR393286 JPW393252:JYN393286 JZS393252:KIJ393286 KJO393252:KSF393286 KTK393252:LCB393286 LDG393252:LLX393286 LNC393252:LVT393286 LWY393252:MFP393286 MGU393252:MPL393286 MQQ393252:MZH393286 NAM393252:NJD393286 NKI393252:NSZ393286 NUE393252:OCV393286 OEA393252:OMR393286 ONW393252:OWN393286 OXS393252:PGJ393286 PHO393252:PQF393286 PRK393252:QAB393286 QBG393252:QJX393286 QLC393252:QTT393286 QUY393252:RDP393286 REU393252:RNL393286 ROQ393252:RXH393286 RYM393252:SHD393286 SII393252:SQZ393286 SSE393252:TAV393286 TCA393252:TKR393286 TLW393252:TUN393286 TVS393252:UEJ393286 UFO393252:UOF393286 UPK393252:UYB393286 UZG393252:VHX393286 VJC393252:VRT393286 VSY393252:WBP393286 WCU393252:WLL393286 WMQ393252:WVH393286 WWM393252:XFD393286 AE458788:IV458822 KA458788:SR458822 TW458788:ACN458822 ADS458788:AMJ458822 ANO458788:AWF458822 AXK458788:BGB458822 BHG458788:BPX458822 BRC458788:BZT458822 CAY458788:CJP458822 CKU458788:CTL458822 CUQ458788:DDH458822 DEM458788:DND458822 DOI458788:DWZ458822 DYE458788:EGV458822 EIA458788:EQR458822 ERW458788:FAN458822 FBS458788:FKJ458822 FLO458788:FUF458822 FVK458788:GEB458822 GFG458788:GNX458822 GPC458788:GXT458822 GYY458788:HHP458822 HIU458788:HRL458822 HSQ458788:IBH458822 ICM458788:ILD458822 IMI458788:IUZ458822 IWE458788:JEV458822 JGA458788:JOR458822 JPW458788:JYN458822 JZS458788:KIJ458822 KJO458788:KSF458822 KTK458788:LCB458822 LDG458788:LLX458822 LNC458788:LVT458822 LWY458788:MFP458822 MGU458788:MPL458822 MQQ458788:MZH458822 NAM458788:NJD458822 NKI458788:NSZ458822 NUE458788:OCV458822 OEA458788:OMR458822 ONW458788:OWN458822 OXS458788:PGJ458822 PHO458788:PQF458822 PRK458788:QAB458822 QBG458788:QJX458822 QLC458788:QTT458822 QUY458788:RDP458822 REU458788:RNL458822 ROQ458788:RXH458822 RYM458788:SHD458822 SII458788:SQZ458822 SSE458788:TAV458822 TCA458788:TKR458822 TLW458788:TUN458822 TVS458788:UEJ458822 UFO458788:UOF458822 UPK458788:UYB458822 UZG458788:VHX458822 VJC458788:VRT458822 VSY458788:WBP458822 WCU458788:WLL458822 WMQ458788:WVH458822 WWM458788:XFD458822 AE524324:IV524358 KA524324:SR524358 TW524324:ACN524358 ADS524324:AMJ524358 ANO524324:AWF524358 AXK524324:BGB524358 BHG524324:BPX524358 BRC524324:BZT524358 CAY524324:CJP524358 CKU524324:CTL524358 CUQ524324:DDH524358 DEM524324:DND524358 DOI524324:DWZ524358 DYE524324:EGV524358 EIA524324:EQR524358 ERW524324:FAN524358 FBS524324:FKJ524358 FLO524324:FUF524358 FVK524324:GEB524358 GFG524324:GNX524358 GPC524324:GXT524358 GYY524324:HHP524358 HIU524324:HRL524358 HSQ524324:IBH524358 ICM524324:ILD524358 IMI524324:IUZ524358 IWE524324:JEV524358 JGA524324:JOR524358 JPW524324:JYN524358 JZS524324:KIJ524358 KJO524324:KSF524358 KTK524324:LCB524358 LDG524324:LLX524358 LNC524324:LVT524358 LWY524324:MFP524358 MGU524324:MPL524358 MQQ524324:MZH524358 NAM524324:NJD524358 NKI524324:NSZ524358 NUE524324:OCV524358 OEA524324:OMR524358 ONW524324:OWN524358 OXS524324:PGJ524358 PHO524324:PQF524358 PRK524324:QAB524358 QBG524324:QJX524358 QLC524324:QTT524358 QUY524324:RDP524358 REU524324:RNL524358 ROQ524324:RXH524358 RYM524324:SHD524358 SII524324:SQZ524358 SSE524324:TAV524358 TCA524324:TKR524358 TLW524324:TUN524358 TVS524324:UEJ524358 UFO524324:UOF524358 UPK524324:UYB524358 UZG524324:VHX524358 VJC524324:VRT524358 VSY524324:WBP524358 WCU524324:WLL524358 WMQ524324:WVH524358 WWM524324:XFD524358 AE589860:IV589894 KA589860:SR589894 TW589860:ACN589894 ADS589860:AMJ589894 ANO589860:AWF589894 AXK589860:BGB589894 BHG589860:BPX589894 BRC589860:BZT589894 CAY589860:CJP589894 CKU589860:CTL589894 CUQ589860:DDH589894 DEM589860:DND589894 DOI589860:DWZ589894 DYE589860:EGV589894 EIA589860:EQR589894 ERW589860:FAN589894 FBS589860:FKJ589894 FLO589860:FUF589894 FVK589860:GEB589894 GFG589860:GNX589894 GPC589860:GXT589894 GYY589860:HHP589894 HIU589860:HRL589894 HSQ589860:IBH589894 ICM589860:ILD589894 IMI589860:IUZ589894 IWE589860:JEV589894 JGA589860:JOR589894 JPW589860:JYN589894 JZS589860:KIJ589894 KJO589860:KSF589894 KTK589860:LCB589894 LDG589860:LLX589894 LNC589860:LVT589894 LWY589860:MFP589894 MGU589860:MPL589894 MQQ589860:MZH589894 NAM589860:NJD589894 NKI589860:NSZ589894 NUE589860:OCV589894 OEA589860:OMR589894 ONW589860:OWN589894 OXS589860:PGJ589894 PHO589860:PQF589894 PRK589860:QAB589894 QBG589860:QJX589894 QLC589860:QTT589894 QUY589860:RDP589894 REU589860:RNL589894 ROQ589860:RXH589894 RYM589860:SHD589894 SII589860:SQZ589894 SSE589860:TAV589894 TCA589860:TKR589894 TLW589860:TUN589894 TVS589860:UEJ589894 UFO589860:UOF589894 UPK589860:UYB589894 UZG589860:VHX589894 VJC589860:VRT589894 VSY589860:WBP589894 WCU589860:WLL589894 WMQ589860:WVH589894 WWM589860:XFD589894 AE655396:IV655430 KA655396:SR655430 TW655396:ACN655430 ADS655396:AMJ655430 ANO655396:AWF655430 AXK655396:BGB655430 BHG655396:BPX655430 BRC655396:BZT655430 CAY655396:CJP655430 CKU655396:CTL655430 CUQ655396:DDH655430 DEM655396:DND655430 DOI655396:DWZ655430 DYE655396:EGV655430 EIA655396:EQR655430 ERW655396:FAN655430 FBS655396:FKJ655430 FLO655396:FUF655430 FVK655396:GEB655430 GFG655396:GNX655430 GPC655396:GXT655430 GYY655396:HHP655430 HIU655396:HRL655430 HSQ655396:IBH655430 ICM655396:ILD655430 IMI655396:IUZ655430 IWE655396:JEV655430 JGA655396:JOR655430 JPW655396:JYN655430 JZS655396:KIJ655430 KJO655396:KSF655430 KTK655396:LCB655430 LDG655396:LLX655430 LNC655396:LVT655430 LWY655396:MFP655430 MGU655396:MPL655430 MQQ655396:MZH655430 NAM655396:NJD655430 NKI655396:NSZ655430 NUE655396:OCV655430 OEA655396:OMR655430 ONW655396:OWN655430 OXS655396:PGJ655430 PHO655396:PQF655430 PRK655396:QAB655430 QBG655396:QJX655430 QLC655396:QTT655430 QUY655396:RDP655430 REU655396:RNL655430 ROQ655396:RXH655430 RYM655396:SHD655430 SII655396:SQZ655430 SSE655396:TAV655430 TCA655396:TKR655430 TLW655396:TUN655430 TVS655396:UEJ655430 UFO655396:UOF655430 UPK655396:UYB655430 UZG655396:VHX655430 VJC655396:VRT655430 VSY655396:WBP655430 WCU655396:WLL655430 WMQ655396:WVH655430 WWM655396:XFD655430 AE720932:IV720966 KA720932:SR720966 TW720932:ACN720966 ADS720932:AMJ720966 ANO720932:AWF720966 AXK720932:BGB720966 BHG720932:BPX720966 BRC720932:BZT720966 CAY720932:CJP720966 CKU720932:CTL720966 CUQ720932:DDH720966 DEM720932:DND720966 DOI720932:DWZ720966 DYE720932:EGV720966 EIA720932:EQR720966 ERW720932:FAN720966 FBS720932:FKJ720966 FLO720932:FUF720966 FVK720932:GEB720966 GFG720932:GNX720966 GPC720932:GXT720966 GYY720932:HHP720966 HIU720932:HRL720966 HSQ720932:IBH720966 ICM720932:ILD720966 IMI720932:IUZ720966 IWE720932:JEV720966 JGA720932:JOR720966 JPW720932:JYN720966 JZS720932:KIJ720966 KJO720932:KSF720966 KTK720932:LCB720966 LDG720932:LLX720966 LNC720932:LVT720966 LWY720932:MFP720966 MGU720932:MPL720966 MQQ720932:MZH720966 NAM720932:NJD720966 NKI720932:NSZ720966 NUE720932:OCV720966 OEA720932:OMR720966 ONW720932:OWN720966 OXS720932:PGJ720966 PHO720932:PQF720966 PRK720932:QAB720966 QBG720932:QJX720966 QLC720932:QTT720966 QUY720932:RDP720966 REU720932:RNL720966 ROQ720932:RXH720966 RYM720932:SHD720966 SII720932:SQZ720966 SSE720932:TAV720966 TCA720932:TKR720966 TLW720932:TUN720966 TVS720932:UEJ720966 UFO720932:UOF720966 UPK720932:UYB720966 UZG720932:VHX720966 VJC720932:VRT720966 VSY720932:WBP720966 WCU720932:WLL720966 WMQ720932:WVH720966 WWM720932:XFD720966 AE786468:IV786502 KA786468:SR786502 TW786468:ACN786502 ADS786468:AMJ786502 ANO786468:AWF786502 AXK786468:BGB786502 BHG786468:BPX786502 BRC786468:BZT786502 CAY786468:CJP786502 CKU786468:CTL786502 CUQ786468:DDH786502 DEM786468:DND786502 DOI786468:DWZ786502 DYE786468:EGV786502 EIA786468:EQR786502 ERW786468:FAN786502 FBS786468:FKJ786502 FLO786468:FUF786502 FVK786468:GEB786502 GFG786468:GNX786502 GPC786468:GXT786502 GYY786468:HHP786502 HIU786468:HRL786502 HSQ786468:IBH786502 ICM786468:ILD786502 IMI786468:IUZ786502 IWE786468:JEV786502 JGA786468:JOR786502 JPW786468:JYN786502 JZS786468:KIJ786502 KJO786468:KSF786502 KTK786468:LCB786502 LDG786468:LLX786502 LNC786468:LVT786502 LWY786468:MFP786502 MGU786468:MPL786502 MQQ786468:MZH786502 NAM786468:NJD786502 NKI786468:NSZ786502 NUE786468:OCV786502 OEA786468:OMR786502 ONW786468:OWN786502 OXS786468:PGJ786502 PHO786468:PQF786502 PRK786468:QAB786502 QBG786468:QJX786502 QLC786468:QTT786502 QUY786468:RDP786502 REU786468:RNL786502 ROQ786468:RXH786502 RYM786468:SHD786502 SII786468:SQZ786502 SSE786468:TAV786502 TCA786468:TKR786502 TLW786468:TUN786502 TVS786468:UEJ786502 UFO786468:UOF786502 UPK786468:UYB786502 UZG786468:VHX786502 VJC786468:VRT786502 VSY786468:WBP786502 WCU786468:WLL786502 WMQ786468:WVH786502 WWM786468:XFD786502 AE852004:IV852038 KA852004:SR852038 TW852004:ACN852038 ADS852004:AMJ852038 ANO852004:AWF852038 AXK852004:BGB852038 BHG852004:BPX852038 BRC852004:BZT852038 CAY852004:CJP852038 CKU852004:CTL852038 CUQ852004:DDH852038 DEM852004:DND852038 DOI852004:DWZ852038 DYE852004:EGV852038 EIA852004:EQR852038 ERW852004:FAN852038 FBS852004:FKJ852038 FLO852004:FUF852038 FVK852004:GEB852038 GFG852004:GNX852038 GPC852004:GXT852038 GYY852004:HHP852038 HIU852004:HRL852038 HSQ852004:IBH852038 ICM852004:ILD852038 IMI852004:IUZ852038 IWE852004:JEV852038 JGA852004:JOR852038 JPW852004:JYN852038 JZS852004:KIJ852038 KJO852004:KSF852038 KTK852004:LCB852038 LDG852004:LLX852038 LNC852004:LVT852038 LWY852004:MFP852038 MGU852004:MPL852038 MQQ852004:MZH852038 NAM852004:NJD852038 NKI852004:NSZ852038 NUE852004:OCV852038 OEA852004:OMR852038 ONW852004:OWN852038 OXS852004:PGJ852038 PHO852004:PQF852038 PRK852004:QAB852038 QBG852004:QJX852038 QLC852004:QTT852038 QUY852004:RDP852038 REU852004:RNL852038 ROQ852004:RXH852038 RYM852004:SHD852038 SII852004:SQZ852038 SSE852004:TAV852038 TCA852004:TKR852038 TLW852004:TUN852038 TVS852004:UEJ852038 UFO852004:UOF852038 UPK852004:UYB852038 UZG852004:VHX852038 VJC852004:VRT852038 VSY852004:WBP852038 WCU852004:WLL852038 WMQ852004:WVH852038 WWM852004:XFD852038 AE917540:IV917574 KA917540:SR917574 TW917540:ACN917574 ADS917540:AMJ917574 ANO917540:AWF917574 AXK917540:BGB917574 BHG917540:BPX917574 BRC917540:BZT917574 CAY917540:CJP917574 CKU917540:CTL917574 CUQ917540:DDH917574 DEM917540:DND917574 DOI917540:DWZ917574 DYE917540:EGV917574 EIA917540:EQR917574 ERW917540:FAN917574 FBS917540:FKJ917574 FLO917540:FUF917574 FVK917540:GEB917574 GFG917540:GNX917574 GPC917540:GXT917574 GYY917540:HHP917574 HIU917540:HRL917574 HSQ917540:IBH917574 ICM917540:ILD917574 IMI917540:IUZ917574 IWE917540:JEV917574 JGA917540:JOR917574 JPW917540:JYN917574 JZS917540:KIJ917574 KJO917540:KSF917574 KTK917540:LCB917574 LDG917540:LLX917574 LNC917540:LVT917574 LWY917540:MFP917574 MGU917540:MPL917574 MQQ917540:MZH917574 NAM917540:NJD917574 NKI917540:NSZ917574 NUE917540:OCV917574 OEA917540:OMR917574 ONW917540:OWN917574 OXS917540:PGJ917574 PHO917540:PQF917574 PRK917540:QAB917574 QBG917540:QJX917574 QLC917540:QTT917574 QUY917540:RDP917574 REU917540:RNL917574 ROQ917540:RXH917574 RYM917540:SHD917574 SII917540:SQZ917574 SSE917540:TAV917574 TCA917540:TKR917574 TLW917540:TUN917574 TVS917540:UEJ917574 UFO917540:UOF917574 UPK917540:UYB917574 UZG917540:VHX917574 VJC917540:VRT917574 VSY917540:WBP917574 WCU917540:WLL917574 WMQ917540:WVH917574 WWM917540:XFD917574 AE983076:IV983110 KA983076:SR983110 TW983076:ACN983110 ADS983076:AMJ983110 ANO983076:AWF983110 AXK983076:BGB983110 BHG983076:BPX983110 BRC983076:BZT983110 CAY983076:CJP983110 CKU983076:CTL983110 CUQ983076:DDH983110 DEM983076:DND983110 DOI983076:DWZ983110 DYE983076:EGV983110 EIA983076:EQR983110 ERW983076:FAN983110 FBS983076:FKJ983110 FLO983076:FUF983110 FVK983076:GEB983110 GFG983076:GNX983110 GPC983076:GXT983110 GYY983076:HHP983110 HIU983076:HRL983110 HSQ983076:IBH983110 ICM983076:ILD983110 IMI983076:IUZ983110 IWE983076:JEV983110 JGA983076:JOR983110 JPW983076:JYN983110 JZS983076:KIJ983110 KJO983076:KSF983110 KTK983076:LCB983110 LDG983076:LLX983110 LNC983076:LVT983110 LWY983076:MFP983110 MGU983076:MPL983110 MQQ983076:MZH983110 NAM983076:NJD983110 NKI983076:NSZ983110 NUE983076:OCV983110 OEA983076:OMR983110 ONW983076:OWN983110 OXS983076:PGJ983110 PHO983076:PQF983110 PRK983076:QAB983110 QBG983076:QJX983110 QLC983076:QTT983110 QUY983076:RDP983110 REU983076:RNL983110 ROQ983076:RXH983110 RYM983076:SHD983110 SII983076:SQZ983110 SSE983076:TAV983110 TCA983076:TKR983110 TLW983076:TUN983110 TVS983076:UEJ983110 UFO983076:UOF983110 UPK983076:UYB983110 UZG983076:VHX983110 VJC983076:VRT983110 VSY983076:WBP983110 WCU983076:WLL983110 WMQ983076:WVH983110 WWM983076:XFD983110 B37:AD69 IX37:JZ69 ST37:TV69 ACP37:ADR69 AML37:ANN69 AWH37:AXJ69 BGD37:BHF69 BPZ37:BRB69 BZV37:CAX69 CJR37:CKT69 CTN37:CUP69 DDJ37:DEL69 DNF37:DOH69 DXB37:DYD69 EGX37:EHZ69 EQT37:ERV69 FAP37:FBR69 FKL37:FLN69 FUH37:FVJ69 GED37:GFF69 GNZ37:GPB69 GXV37:GYX69 HHR37:HIT69 HRN37:HSP69 IBJ37:ICL69 ILF37:IMH69 IVB37:IWD69 JEX37:JFZ69 JOT37:JPV69 JYP37:JZR69 KIL37:KJN69 KSH37:KTJ69 LCD37:LDF69 LLZ37:LNB69 LVV37:LWX69 MFR37:MGT69 MPN37:MQP69 MZJ37:NAL69 NJF37:NKH69 NTB37:NUD69 OCX37:ODZ69 OMT37:ONV69 OWP37:OXR69 PGL37:PHN69 PQH37:PRJ69 QAD37:QBF69 QJZ37:QLB69 QTV37:QUX69 RDR37:RET69 RNN37:ROP69 RXJ37:RYL69 SHF37:SIH69 SRB37:SSD69 TAX37:TBZ69 TKT37:TLV69 TUP37:TVR69 UEL37:UFN69 UOH37:UPJ69 UYD37:UZF69 VHZ37:VJB69 VRV37:VSX69 WBR37:WCT69 WLN37:WMP69 WVJ37:WWL69 B65573:AD65605 IX65573:JZ65605 ST65573:TV65605 ACP65573:ADR65605 AML65573:ANN65605 AWH65573:AXJ65605 BGD65573:BHF65605 BPZ65573:BRB65605 BZV65573:CAX65605 CJR65573:CKT65605 CTN65573:CUP65605 DDJ65573:DEL65605 DNF65573:DOH65605 DXB65573:DYD65605 EGX65573:EHZ65605 EQT65573:ERV65605 FAP65573:FBR65605 FKL65573:FLN65605 FUH65573:FVJ65605 GED65573:GFF65605 GNZ65573:GPB65605 GXV65573:GYX65605 HHR65573:HIT65605 HRN65573:HSP65605 IBJ65573:ICL65605 ILF65573:IMH65605 IVB65573:IWD65605 JEX65573:JFZ65605 JOT65573:JPV65605 JYP65573:JZR65605 KIL65573:KJN65605 KSH65573:KTJ65605 LCD65573:LDF65605 LLZ65573:LNB65605 LVV65573:LWX65605 MFR65573:MGT65605 MPN65573:MQP65605 MZJ65573:NAL65605 NJF65573:NKH65605 NTB65573:NUD65605 OCX65573:ODZ65605 OMT65573:ONV65605 OWP65573:OXR65605 PGL65573:PHN65605 PQH65573:PRJ65605 QAD65573:QBF65605 QJZ65573:QLB65605 QTV65573:QUX65605 RDR65573:RET65605 RNN65573:ROP65605 RXJ65573:RYL65605 SHF65573:SIH65605 SRB65573:SSD65605 TAX65573:TBZ65605 TKT65573:TLV65605 TUP65573:TVR65605 UEL65573:UFN65605 UOH65573:UPJ65605 UYD65573:UZF65605 VHZ65573:VJB65605 VRV65573:VSX65605 WBR65573:WCT65605 WLN65573:WMP65605 WVJ65573:WWL65605 B131109:AD131141 IX131109:JZ131141 ST131109:TV131141 ACP131109:ADR131141 AML131109:ANN131141 AWH131109:AXJ131141 BGD131109:BHF131141 BPZ131109:BRB131141 BZV131109:CAX131141 CJR131109:CKT131141 CTN131109:CUP131141 DDJ131109:DEL131141 DNF131109:DOH131141 DXB131109:DYD131141 EGX131109:EHZ131141 EQT131109:ERV131141 FAP131109:FBR131141 FKL131109:FLN131141 FUH131109:FVJ131141 GED131109:GFF131141 GNZ131109:GPB131141 GXV131109:GYX131141 HHR131109:HIT131141 HRN131109:HSP131141 IBJ131109:ICL131141 ILF131109:IMH131141 IVB131109:IWD131141 JEX131109:JFZ131141 JOT131109:JPV131141 JYP131109:JZR131141 KIL131109:KJN131141 KSH131109:KTJ131141 LCD131109:LDF131141 LLZ131109:LNB131141 LVV131109:LWX131141 MFR131109:MGT131141 MPN131109:MQP131141 MZJ131109:NAL131141 NJF131109:NKH131141 NTB131109:NUD131141 OCX131109:ODZ131141 OMT131109:ONV131141 OWP131109:OXR131141 PGL131109:PHN131141 PQH131109:PRJ131141 QAD131109:QBF131141 QJZ131109:QLB131141 QTV131109:QUX131141 RDR131109:RET131141 RNN131109:ROP131141 RXJ131109:RYL131141 SHF131109:SIH131141 SRB131109:SSD131141 TAX131109:TBZ131141 TKT131109:TLV131141 TUP131109:TVR131141 UEL131109:UFN131141 UOH131109:UPJ131141 UYD131109:UZF131141 VHZ131109:VJB131141 VRV131109:VSX131141 WBR131109:WCT131141 WLN131109:WMP131141 WVJ131109:WWL131141 B196645:AD196677 IX196645:JZ196677 ST196645:TV196677 ACP196645:ADR196677 AML196645:ANN196677 AWH196645:AXJ196677 BGD196645:BHF196677 BPZ196645:BRB196677 BZV196645:CAX196677 CJR196645:CKT196677 CTN196645:CUP196677 DDJ196645:DEL196677 DNF196645:DOH196677 DXB196645:DYD196677 EGX196645:EHZ196677 EQT196645:ERV196677 FAP196645:FBR196677 FKL196645:FLN196677 FUH196645:FVJ196677 GED196645:GFF196677 GNZ196645:GPB196677 GXV196645:GYX196677 HHR196645:HIT196677 HRN196645:HSP196677 IBJ196645:ICL196677 ILF196645:IMH196677 IVB196645:IWD196677 JEX196645:JFZ196677 JOT196645:JPV196677 JYP196645:JZR196677 KIL196645:KJN196677 KSH196645:KTJ196677 LCD196645:LDF196677 LLZ196645:LNB196677 LVV196645:LWX196677 MFR196645:MGT196677 MPN196645:MQP196677 MZJ196645:NAL196677 NJF196645:NKH196677 NTB196645:NUD196677 OCX196645:ODZ196677 OMT196645:ONV196677 OWP196645:OXR196677 PGL196645:PHN196677 PQH196645:PRJ196677 QAD196645:QBF196677 QJZ196645:QLB196677 QTV196645:QUX196677 RDR196645:RET196677 RNN196645:ROP196677 RXJ196645:RYL196677 SHF196645:SIH196677 SRB196645:SSD196677 TAX196645:TBZ196677 TKT196645:TLV196677 TUP196645:TVR196677 UEL196645:UFN196677 UOH196645:UPJ196677 UYD196645:UZF196677 VHZ196645:VJB196677 VRV196645:VSX196677 WBR196645:WCT196677 WLN196645:WMP196677 WVJ196645:WWL196677 B262181:AD262213 IX262181:JZ262213 ST262181:TV262213 ACP262181:ADR262213 AML262181:ANN262213 AWH262181:AXJ262213 BGD262181:BHF262213 BPZ262181:BRB262213 BZV262181:CAX262213 CJR262181:CKT262213 CTN262181:CUP262213 DDJ262181:DEL262213 DNF262181:DOH262213 DXB262181:DYD262213 EGX262181:EHZ262213 EQT262181:ERV262213 FAP262181:FBR262213 FKL262181:FLN262213 FUH262181:FVJ262213 GED262181:GFF262213 GNZ262181:GPB262213 GXV262181:GYX262213 HHR262181:HIT262213 HRN262181:HSP262213 IBJ262181:ICL262213 ILF262181:IMH262213 IVB262181:IWD262213 JEX262181:JFZ262213 JOT262181:JPV262213 JYP262181:JZR262213 KIL262181:KJN262213 KSH262181:KTJ262213 LCD262181:LDF262213 LLZ262181:LNB262213 LVV262181:LWX262213 MFR262181:MGT262213 MPN262181:MQP262213 MZJ262181:NAL262213 NJF262181:NKH262213 NTB262181:NUD262213 OCX262181:ODZ262213 OMT262181:ONV262213 OWP262181:OXR262213 PGL262181:PHN262213 PQH262181:PRJ262213 QAD262181:QBF262213 QJZ262181:QLB262213 QTV262181:QUX262213 RDR262181:RET262213 RNN262181:ROP262213 RXJ262181:RYL262213 SHF262181:SIH262213 SRB262181:SSD262213 TAX262181:TBZ262213 TKT262181:TLV262213 TUP262181:TVR262213 UEL262181:UFN262213 UOH262181:UPJ262213 UYD262181:UZF262213 VHZ262181:VJB262213 VRV262181:VSX262213 WBR262181:WCT262213 WLN262181:WMP262213 WVJ262181:WWL262213 B327717:AD327749 IX327717:JZ327749 ST327717:TV327749 ACP327717:ADR327749 AML327717:ANN327749 AWH327717:AXJ327749 BGD327717:BHF327749 BPZ327717:BRB327749 BZV327717:CAX327749 CJR327717:CKT327749 CTN327717:CUP327749 DDJ327717:DEL327749 DNF327717:DOH327749 DXB327717:DYD327749 EGX327717:EHZ327749 EQT327717:ERV327749 FAP327717:FBR327749 FKL327717:FLN327749 FUH327717:FVJ327749 GED327717:GFF327749 GNZ327717:GPB327749 GXV327717:GYX327749 HHR327717:HIT327749 HRN327717:HSP327749 IBJ327717:ICL327749 ILF327717:IMH327749 IVB327717:IWD327749 JEX327717:JFZ327749 JOT327717:JPV327749 JYP327717:JZR327749 KIL327717:KJN327749 KSH327717:KTJ327749 LCD327717:LDF327749 LLZ327717:LNB327749 LVV327717:LWX327749 MFR327717:MGT327749 MPN327717:MQP327749 MZJ327717:NAL327749 NJF327717:NKH327749 NTB327717:NUD327749 OCX327717:ODZ327749 OMT327717:ONV327749 OWP327717:OXR327749 PGL327717:PHN327749 PQH327717:PRJ327749 QAD327717:QBF327749 QJZ327717:QLB327749 QTV327717:QUX327749 RDR327717:RET327749 RNN327717:ROP327749 RXJ327717:RYL327749 SHF327717:SIH327749 SRB327717:SSD327749 TAX327717:TBZ327749 TKT327717:TLV327749 TUP327717:TVR327749 UEL327717:UFN327749 UOH327717:UPJ327749 UYD327717:UZF327749 VHZ327717:VJB327749 VRV327717:VSX327749 WBR327717:WCT327749 WLN327717:WMP327749 WVJ327717:WWL327749 B393253:AD393285 IX393253:JZ393285 ST393253:TV393285 ACP393253:ADR393285 AML393253:ANN393285 AWH393253:AXJ393285 BGD393253:BHF393285 BPZ393253:BRB393285 BZV393253:CAX393285 CJR393253:CKT393285 CTN393253:CUP393285 DDJ393253:DEL393285 DNF393253:DOH393285 DXB393253:DYD393285 EGX393253:EHZ393285 EQT393253:ERV393285 FAP393253:FBR393285 FKL393253:FLN393285 FUH393253:FVJ393285 GED393253:GFF393285 GNZ393253:GPB393285 GXV393253:GYX393285 HHR393253:HIT393285 HRN393253:HSP393285 IBJ393253:ICL393285 ILF393253:IMH393285 IVB393253:IWD393285 JEX393253:JFZ393285 JOT393253:JPV393285 JYP393253:JZR393285 KIL393253:KJN393285 KSH393253:KTJ393285 LCD393253:LDF393285 LLZ393253:LNB393285 LVV393253:LWX393285 MFR393253:MGT393285 MPN393253:MQP393285 MZJ393253:NAL393285 NJF393253:NKH393285 NTB393253:NUD393285 OCX393253:ODZ393285 OMT393253:ONV393285 OWP393253:OXR393285 PGL393253:PHN393285 PQH393253:PRJ393285 QAD393253:QBF393285 QJZ393253:QLB393285 QTV393253:QUX393285 RDR393253:RET393285 RNN393253:ROP393285 RXJ393253:RYL393285 SHF393253:SIH393285 SRB393253:SSD393285 TAX393253:TBZ393285 TKT393253:TLV393285 TUP393253:TVR393285 UEL393253:UFN393285 UOH393253:UPJ393285 UYD393253:UZF393285 VHZ393253:VJB393285 VRV393253:VSX393285 WBR393253:WCT393285 WLN393253:WMP393285 WVJ393253:WWL393285 B458789:AD458821 IX458789:JZ458821 ST458789:TV458821 ACP458789:ADR458821 AML458789:ANN458821 AWH458789:AXJ458821 BGD458789:BHF458821 BPZ458789:BRB458821 BZV458789:CAX458821 CJR458789:CKT458821 CTN458789:CUP458821 DDJ458789:DEL458821 DNF458789:DOH458821 DXB458789:DYD458821 EGX458789:EHZ458821 EQT458789:ERV458821 FAP458789:FBR458821 FKL458789:FLN458821 FUH458789:FVJ458821 GED458789:GFF458821 GNZ458789:GPB458821 GXV458789:GYX458821 HHR458789:HIT458821 HRN458789:HSP458821 IBJ458789:ICL458821 ILF458789:IMH458821 IVB458789:IWD458821 JEX458789:JFZ458821 JOT458789:JPV458821 JYP458789:JZR458821 KIL458789:KJN458821 KSH458789:KTJ458821 LCD458789:LDF458821 LLZ458789:LNB458821 LVV458789:LWX458821 MFR458789:MGT458821 MPN458789:MQP458821 MZJ458789:NAL458821 NJF458789:NKH458821 NTB458789:NUD458821 OCX458789:ODZ458821 OMT458789:ONV458821 OWP458789:OXR458821 PGL458789:PHN458821 PQH458789:PRJ458821 QAD458789:QBF458821 QJZ458789:QLB458821 QTV458789:QUX458821 RDR458789:RET458821 RNN458789:ROP458821 RXJ458789:RYL458821 SHF458789:SIH458821 SRB458789:SSD458821 TAX458789:TBZ458821 TKT458789:TLV458821 TUP458789:TVR458821 UEL458789:UFN458821 UOH458789:UPJ458821 UYD458789:UZF458821 VHZ458789:VJB458821 VRV458789:VSX458821 WBR458789:WCT458821 WLN458789:WMP458821 WVJ458789:WWL458821 B524325:AD524357 IX524325:JZ524357 ST524325:TV524357 ACP524325:ADR524357 AML524325:ANN524357 AWH524325:AXJ524357 BGD524325:BHF524357 BPZ524325:BRB524357 BZV524325:CAX524357 CJR524325:CKT524357 CTN524325:CUP524357 DDJ524325:DEL524357 DNF524325:DOH524357 DXB524325:DYD524357 EGX524325:EHZ524357 EQT524325:ERV524357 FAP524325:FBR524357 FKL524325:FLN524357 FUH524325:FVJ524357 GED524325:GFF524357 GNZ524325:GPB524357 GXV524325:GYX524357 HHR524325:HIT524357 HRN524325:HSP524357 IBJ524325:ICL524357 ILF524325:IMH524357 IVB524325:IWD524357 JEX524325:JFZ524357 JOT524325:JPV524357 JYP524325:JZR524357 KIL524325:KJN524357 KSH524325:KTJ524357 LCD524325:LDF524357 LLZ524325:LNB524357 LVV524325:LWX524357 MFR524325:MGT524357 MPN524325:MQP524357 MZJ524325:NAL524357 NJF524325:NKH524357 NTB524325:NUD524357 OCX524325:ODZ524357 OMT524325:ONV524357 OWP524325:OXR524357 PGL524325:PHN524357 PQH524325:PRJ524357 QAD524325:QBF524357 QJZ524325:QLB524357 QTV524325:QUX524357 RDR524325:RET524357 RNN524325:ROP524357 RXJ524325:RYL524357 SHF524325:SIH524357 SRB524325:SSD524357 TAX524325:TBZ524357 TKT524325:TLV524357 TUP524325:TVR524357 UEL524325:UFN524357 UOH524325:UPJ524357 UYD524325:UZF524357 VHZ524325:VJB524357 VRV524325:VSX524357 WBR524325:WCT524357 WLN524325:WMP524357 WVJ524325:WWL524357 B589861:AD589893 IX589861:JZ589893 ST589861:TV589893 ACP589861:ADR589893 AML589861:ANN589893 AWH589861:AXJ589893 BGD589861:BHF589893 BPZ589861:BRB589893 BZV589861:CAX589893 CJR589861:CKT589893 CTN589861:CUP589893 DDJ589861:DEL589893 DNF589861:DOH589893 DXB589861:DYD589893 EGX589861:EHZ589893 EQT589861:ERV589893 FAP589861:FBR589893 FKL589861:FLN589893 FUH589861:FVJ589893 GED589861:GFF589893 GNZ589861:GPB589893 GXV589861:GYX589893 HHR589861:HIT589893 HRN589861:HSP589893 IBJ589861:ICL589893 ILF589861:IMH589893 IVB589861:IWD589893 JEX589861:JFZ589893 JOT589861:JPV589893 JYP589861:JZR589893 KIL589861:KJN589893 KSH589861:KTJ589893 LCD589861:LDF589893 LLZ589861:LNB589893 LVV589861:LWX589893 MFR589861:MGT589893 MPN589861:MQP589893 MZJ589861:NAL589893 NJF589861:NKH589893 NTB589861:NUD589893 OCX589861:ODZ589893 OMT589861:ONV589893 OWP589861:OXR589893 PGL589861:PHN589893 PQH589861:PRJ589893 QAD589861:QBF589893 QJZ589861:QLB589893 QTV589861:QUX589893 RDR589861:RET589893 RNN589861:ROP589893 RXJ589861:RYL589893 SHF589861:SIH589893 SRB589861:SSD589893 TAX589861:TBZ589893 TKT589861:TLV589893 TUP589861:TVR589893 UEL589861:UFN589893 UOH589861:UPJ589893 UYD589861:UZF589893 VHZ589861:VJB589893 VRV589861:VSX589893 WBR589861:WCT589893 WLN589861:WMP589893 WVJ589861:WWL589893 B655397:AD655429 IX655397:JZ655429 ST655397:TV655429 ACP655397:ADR655429 AML655397:ANN655429 AWH655397:AXJ655429 BGD655397:BHF655429 BPZ655397:BRB655429 BZV655397:CAX655429 CJR655397:CKT655429 CTN655397:CUP655429 DDJ655397:DEL655429 DNF655397:DOH655429 DXB655397:DYD655429 EGX655397:EHZ655429 EQT655397:ERV655429 FAP655397:FBR655429 FKL655397:FLN655429 FUH655397:FVJ655429 GED655397:GFF655429 GNZ655397:GPB655429 GXV655397:GYX655429 HHR655397:HIT655429 HRN655397:HSP655429 IBJ655397:ICL655429 ILF655397:IMH655429 IVB655397:IWD655429 JEX655397:JFZ655429 JOT655397:JPV655429 JYP655397:JZR655429 KIL655397:KJN655429 KSH655397:KTJ655429 LCD655397:LDF655429 LLZ655397:LNB655429 LVV655397:LWX655429 MFR655397:MGT655429 MPN655397:MQP655429 MZJ655397:NAL655429 NJF655397:NKH655429 NTB655397:NUD655429 OCX655397:ODZ655429 OMT655397:ONV655429 OWP655397:OXR655429 PGL655397:PHN655429 PQH655397:PRJ655429 QAD655397:QBF655429 QJZ655397:QLB655429 QTV655397:QUX655429 RDR655397:RET655429 RNN655397:ROP655429 RXJ655397:RYL655429 SHF655397:SIH655429 SRB655397:SSD655429 TAX655397:TBZ655429 TKT655397:TLV655429 TUP655397:TVR655429 UEL655397:UFN655429 UOH655397:UPJ655429 UYD655397:UZF655429 VHZ655397:VJB655429 VRV655397:VSX655429 WBR655397:WCT655429 WLN655397:WMP655429 WVJ655397:WWL655429 B720933:AD720965 IX720933:JZ720965 ST720933:TV720965 ACP720933:ADR720965 AML720933:ANN720965 AWH720933:AXJ720965 BGD720933:BHF720965 BPZ720933:BRB720965 BZV720933:CAX720965 CJR720933:CKT720965 CTN720933:CUP720965 DDJ720933:DEL720965 DNF720933:DOH720965 DXB720933:DYD720965 EGX720933:EHZ720965 EQT720933:ERV720965 FAP720933:FBR720965 FKL720933:FLN720965 FUH720933:FVJ720965 GED720933:GFF720965 GNZ720933:GPB720965 GXV720933:GYX720965 HHR720933:HIT720965 HRN720933:HSP720965 IBJ720933:ICL720965 ILF720933:IMH720965 IVB720933:IWD720965 JEX720933:JFZ720965 JOT720933:JPV720965 JYP720933:JZR720965 KIL720933:KJN720965 KSH720933:KTJ720965 LCD720933:LDF720965 LLZ720933:LNB720965 LVV720933:LWX720965 MFR720933:MGT720965 MPN720933:MQP720965 MZJ720933:NAL720965 NJF720933:NKH720965 NTB720933:NUD720965 OCX720933:ODZ720965 OMT720933:ONV720965 OWP720933:OXR720965 PGL720933:PHN720965 PQH720933:PRJ720965 QAD720933:QBF720965 QJZ720933:QLB720965 QTV720933:QUX720965 RDR720933:RET720965 RNN720933:ROP720965 RXJ720933:RYL720965 SHF720933:SIH720965 SRB720933:SSD720965 TAX720933:TBZ720965 TKT720933:TLV720965 TUP720933:TVR720965 UEL720933:UFN720965 UOH720933:UPJ720965 UYD720933:UZF720965 VHZ720933:VJB720965 VRV720933:VSX720965 WBR720933:WCT720965 WLN720933:WMP720965 WVJ720933:WWL720965 B786469:AD786501 IX786469:JZ786501 ST786469:TV786501 ACP786469:ADR786501 AML786469:ANN786501 AWH786469:AXJ786501 BGD786469:BHF786501 BPZ786469:BRB786501 BZV786469:CAX786501 CJR786469:CKT786501 CTN786469:CUP786501 DDJ786469:DEL786501 DNF786469:DOH786501 DXB786469:DYD786501 EGX786469:EHZ786501 EQT786469:ERV786501 FAP786469:FBR786501 FKL786469:FLN786501 FUH786469:FVJ786501 GED786469:GFF786501 GNZ786469:GPB786501 GXV786469:GYX786501 HHR786469:HIT786501 HRN786469:HSP786501 IBJ786469:ICL786501 ILF786469:IMH786501 IVB786469:IWD786501 JEX786469:JFZ786501 JOT786469:JPV786501 JYP786469:JZR786501 KIL786469:KJN786501 KSH786469:KTJ786501 LCD786469:LDF786501 LLZ786469:LNB786501 LVV786469:LWX786501 MFR786469:MGT786501 MPN786469:MQP786501 MZJ786469:NAL786501 NJF786469:NKH786501 NTB786469:NUD786501 OCX786469:ODZ786501 OMT786469:ONV786501 OWP786469:OXR786501 PGL786469:PHN786501 PQH786469:PRJ786501 QAD786469:QBF786501 QJZ786469:QLB786501 QTV786469:QUX786501 RDR786469:RET786501 RNN786469:ROP786501 RXJ786469:RYL786501 SHF786469:SIH786501 SRB786469:SSD786501 TAX786469:TBZ786501 TKT786469:TLV786501 TUP786469:TVR786501 UEL786469:UFN786501 UOH786469:UPJ786501 UYD786469:UZF786501 VHZ786469:VJB786501 VRV786469:VSX786501 WBR786469:WCT786501 WLN786469:WMP786501 WVJ786469:WWL786501 B852005:AD852037 IX852005:JZ852037 ST852005:TV852037 ACP852005:ADR852037 AML852005:ANN852037 AWH852005:AXJ852037 BGD852005:BHF852037 BPZ852005:BRB852037 BZV852005:CAX852037 CJR852005:CKT852037 CTN852005:CUP852037 DDJ852005:DEL852037 DNF852005:DOH852037 DXB852005:DYD852037 EGX852005:EHZ852037 EQT852005:ERV852037 FAP852005:FBR852037 FKL852005:FLN852037 FUH852005:FVJ852037 GED852005:GFF852037 GNZ852005:GPB852037 GXV852005:GYX852037 HHR852005:HIT852037 HRN852005:HSP852037 IBJ852005:ICL852037 ILF852005:IMH852037 IVB852005:IWD852037 JEX852005:JFZ852037 JOT852005:JPV852037 JYP852005:JZR852037 KIL852005:KJN852037 KSH852005:KTJ852037 LCD852005:LDF852037 LLZ852005:LNB852037 LVV852005:LWX852037 MFR852005:MGT852037 MPN852005:MQP852037 MZJ852005:NAL852037 NJF852005:NKH852037 NTB852005:NUD852037 OCX852005:ODZ852037 OMT852005:ONV852037 OWP852005:OXR852037 PGL852005:PHN852037 PQH852005:PRJ852037 QAD852005:QBF852037 QJZ852005:QLB852037 QTV852005:QUX852037 RDR852005:RET852037 RNN852005:ROP852037 RXJ852005:RYL852037 SHF852005:SIH852037 SRB852005:SSD852037 TAX852005:TBZ852037 TKT852005:TLV852037 TUP852005:TVR852037 UEL852005:UFN852037 UOH852005:UPJ852037 UYD852005:UZF852037 VHZ852005:VJB852037 VRV852005:VSX852037 WBR852005:WCT852037 WLN852005:WMP852037 WVJ852005:WWL852037 B917541:AD917573 IX917541:JZ917573 ST917541:TV917573 ACP917541:ADR917573 AML917541:ANN917573 AWH917541:AXJ917573 BGD917541:BHF917573 BPZ917541:BRB917573 BZV917541:CAX917573 CJR917541:CKT917573 CTN917541:CUP917573 DDJ917541:DEL917573 DNF917541:DOH917573 DXB917541:DYD917573 EGX917541:EHZ917573 EQT917541:ERV917573 FAP917541:FBR917573 FKL917541:FLN917573 FUH917541:FVJ917573 GED917541:GFF917573 GNZ917541:GPB917573 GXV917541:GYX917573 HHR917541:HIT917573 HRN917541:HSP917573 IBJ917541:ICL917573 ILF917541:IMH917573 IVB917541:IWD917573 JEX917541:JFZ917573 JOT917541:JPV917573 JYP917541:JZR917573 KIL917541:KJN917573 KSH917541:KTJ917573 LCD917541:LDF917573 LLZ917541:LNB917573 LVV917541:LWX917573 MFR917541:MGT917573 MPN917541:MQP917573 MZJ917541:NAL917573 NJF917541:NKH917573 NTB917541:NUD917573 OCX917541:ODZ917573 OMT917541:ONV917573 OWP917541:OXR917573 PGL917541:PHN917573 PQH917541:PRJ917573 QAD917541:QBF917573 QJZ917541:QLB917573 QTV917541:QUX917573 RDR917541:RET917573 RNN917541:ROP917573 RXJ917541:RYL917573 SHF917541:SIH917573 SRB917541:SSD917573 TAX917541:TBZ917573 TKT917541:TLV917573 TUP917541:TVR917573 UEL917541:UFN917573 UOH917541:UPJ917573 UYD917541:UZF917573 VHZ917541:VJB917573 VRV917541:VSX917573 WBR917541:WCT917573 WLN917541:WMP917573 WVJ917541:WWL917573 B983077:AD983109 IX983077:JZ983109 ST983077:TV983109 ACP983077:ADR983109 AML983077:ANN983109 AWH983077:AXJ983109 BGD983077:BHF983109 BPZ983077:BRB983109 BZV983077:CAX983109 CJR983077:CKT983109 CTN983077:CUP983109 DDJ983077:DEL983109 DNF983077:DOH983109 DXB983077:DYD983109 EGX983077:EHZ983109 EQT983077:ERV983109 FAP983077:FBR983109 FKL983077:FLN983109 FUH983077:FVJ983109 GED983077:GFF983109 GNZ983077:GPB983109 GXV983077:GYX983109 HHR983077:HIT983109 HRN983077:HSP983109 IBJ983077:ICL983109 ILF983077:IMH983109 IVB983077:IWD983109 JEX983077:JFZ983109 JOT983077:JPV983109 JYP983077:JZR983109 KIL983077:KJN983109 KSH983077:KTJ983109 LCD983077:LDF983109 LLZ983077:LNB983109 LVV983077:LWX983109 MFR983077:MGT983109 MPN983077:MQP983109 MZJ983077:NAL983109 NJF983077:NKH983109 NTB983077:NUD983109 OCX983077:ODZ983109 OMT983077:ONV983109 OWP983077:OXR983109 PGL983077:PHN983109 PQH983077:PRJ983109 QAD983077:QBF983109 QJZ983077:QLB983109 QTV983077:QUX983109 RDR983077:RET983109 RNN983077:ROP983109 RXJ983077:RYL983109 SHF983077:SIH983109 SRB983077:SSD983109 TAX983077:TBZ983109 TKT983077:TLV983109 TUP983077:TVR983109 UEL983077:UFN983109 UOH983077:UPJ983109 UYD983077:UZF983109 VHZ983077:VJB983109 VRV983077:VSX983109 WBR983077:WCT983109 WLN983077:WMP983109 WVJ983077:WWL983109" xr:uid="{9FF22190-3A9A-4A35-BB49-40F66BF3B4B2}">
      <formula1>$A$37:$A$69</formula1>
    </dataValidation>
  </dataValidations>
  <printOptions horizontalCentered="1"/>
  <pageMargins left="0.74803149606299213" right="0.70866141732283472" top="0.74803149606299213" bottom="0.9055118110236221" header="0.39370078740157483" footer="0.39370078740157483"/>
  <pageSetup paperSize="9" scale="95" orientation="portrait" r:id="rId1"/>
  <headerFooter scaleWithDoc="0" alignWithMargins="0">
    <oddHeader xml:space="preserve">&amp;L&amp;"-,Regular"&amp;8&amp;F&amp;R&amp;"-,Regular"&amp;8&amp;A
________________________________________________________________________________________
</oddHeader>
    <oddFooter>&amp;L&amp;"-,Regular"&amp;8________________________________________________________________________________________
NZ Transport Agency’s Economic evaluation manual 
Effective from Jul 2013</oddFooter>
  </headerFooter>
  <drawing r:id="rId2"/>
  <legacyDrawing r:id="rId3"/>
</worksheet>
</file>

<file path=xl/worksheets/sheet8.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867CD060-1F55-4F77-B7FA-5F8E0AF672FF}">
  <sheetPr>
    <pageSetUpPr fitToPage="1"/>
  </sheetPr>
  <dimension ref="A1:AD77"/>
  <sheetViews>
    <sheetView zoomScaleNormal="100" workbookViewId="0">
      <selection activeCell="K8" sqref="K8:M8"/>
    </sheetView>
  </sheetViews>
  <sheetFormatPr defaultColWidth="7.69921875" defaultRowHeight="12.6"/>
  <cols>
    <col min="1" max="1" width="2.5" style="66" customWidth="1"/>
    <col min="2" max="2" width="6.59765625" style="66" customWidth="1"/>
    <col min="3" max="10" width="3.19921875" style="66" customWidth="1"/>
    <col min="11" max="13" width="4.59765625" style="66" customWidth="1"/>
    <col min="14" max="14" width="3.8984375" style="66" customWidth="1"/>
    <col min="15" max="15" width="5.5" style="66" customWidth="1"/>
    <col min="16" max="16" width="5.69921875" style="66" customWidth="1"/>
    <col min="17" max="19" width="4.59765625" style="66" customWidth="1"/>
    <col min="20" max="20" width="3.19921875" style="170" customWidth="1"/>
    <col min="21" max="256" width="7.69921875" style="66"/>
    <col min="257" max="257" width="2.5" style="66" customWidth="1"/>
    <col min="258" max="258" width="6.59765625" style="66" customWidth="1"/>
    <col min="259" max="266" width="3.19921875" style="66" customWidth="1"/>
    <col min="267" max="269" width="4.59765625" style="66" customWidth="1"/>
    <col min="270" max="270" width="3.8984375" style="66" customWidth="1"/>
    <col min="271" max="271" width="5.5" style="66" customWidth="1"/>
    <col min="272" max="272" width="5.69921875" style="66" customWidth="1"/>
    <col min="273" max="275" width="4.59765625" style="66" customWidth="1"/>
    <col min="276" max="276" width="3.19921875" style="66" customWidth="1"/>
    <col min="277" max="512" width="7.69921875" style="66"/>
    <col min="513" max="513" width="2.5" style="66" customWidth="1"/>
    <col min="514" max="514" width="6.59765625" style="66" customWidth="1"/>
    <col min="515" max="522" width="3.19921875" style="66" customWidth="1"/>
    <col min="523" max="525" width="4.59765625" style="66" customWidth="1"/>
    <col min="526" max="526" width="3.8984375" style="66" customWidth="1"/>
    <col min="527" max="527" width="5.5" style="66" customWidth="1"/>
    <col min="528" max="528" width="5.69921875" style="66" customWidth="1"/>
    <col min="529" max="531" width="4.59765625" style="66" customWidth="1"/>
    <col min="532" max="532" width="3.19921875" style="66" customWidth="1"/>
    <col min="533" max="768" width="7.69921875" style="66"/>
    <col min="769" max="769" width="2.5" style="66" customWidth="1"/>
    <col min="770" max="770" width="6.59765625" style="66" customWidth="1"/>
    <col min="771" max="778" width="3.19921875" style="66" customWidth="1"/>
    <col min="779" max="781" width="4.59765625" style="66" customWidth="1"/>
    <col min="782" max="782" width="3.8984375" style="66" customWidth="1"/>
    <col min="783" max="783" width="5.5" style="66" customWidth="1"/>
    <col min="784" max="784" width="5.69921875" style="66" customWidth="1"/>
    <col min="785" max="787" width="4.59765625" style="66" customWidth="1"/>
    <col min="788" max="788" width="3.19921875" style="66" customWidth="1"/>
    <col min="789" max="1024" width="7.69921875" style="66"/>
    <col min="1025" max="1025" width="2.5" style="66" customWidth="1"/>
    <col min="1026" max="1026" width="6.59765625" style="66" customWidth="1"/>
    <col min="1027" max="1034" width="3.19921875" style="66" customWidth="1"/>
    <col min="1035" max="1037" width="4.59765625" style="66" customWidth="1"/>
    <col min="1038" max="1038" width="3.8984375" style="66" customWidth="1"/>
    <col min="1039" max="1039" width="5.5" style="66" customWidth="1"/>
    <col min="1040" max="1040" width="5.69921875" style="66" customWidth="1"/>
    <col min="1041" max="1043" width="4.59765625" style="66" customWidth="1"/>
    <col min="1044" max="1044" width="3.19921875" style="66" customWidth="1"/>
    <col min="1045" max="1280" width="7.69921875" style="66"/>
    <col min="1281" max="1281" width="2.5" style="66" customWidth="1"/>
    <col min="1282" max="1282" width="6.59765625" style="66" customWidth="1"/>
    <col min="1283" max="1290" width="3.19921875" style="66" customWidth="1"/>
    <col min="1291" max="1293" width="4.59765625" style="66" customWidth="1"/>
    <col min="1294" max="1294" width="3.8984375" style="66" customWidth="1"/>
    <col min="1295" max="1295" width="5.5" style="66" customWidth="1"/>
    <col min="1296" max="1296" width="5.69921875" style="66" customWidth="1"/>
    <col min="1297" max="1299" width="4.59765625" style="66" customWidth="1"/>
    <col min="1300" max="1300" width="3.19921875" style="66" customWidth="1"/>
    <col min="1301" max="1536" width="7.69921875" style="66"/>
    <col min="1537" max="1537" width="2.5" style="66" customWidth="1"/>
    <col min="1538" max="1538" width="6.59765625" style="66" customWidth="1"/>
    <col min="1539" max="1546" width="3.19921875" style="66" customWidth="1"/>
    <col min="1547" max="1549" width="4.59765625" style="66" customWidth="1"/>
    <col min="1550" max="1550" width="3.8984375" style="66" customWidth="1"/>
    <col min="1551" max="1551" width="5.5" style="66" customWidth="1"/>
    <col min="1552" max="1552" width="5.69921875" style="66" customWidth="1"/>
    <col min="1553" max="1555" width="4.59765625" style="66" customWidth="1"/>
    <col min="1556" max="1556" width="3.19921875" style="66" customWidth="1"/>
    <col min="1557" max="1792" width="7.69921875" style="66"/>
    <col min="1793" max="1793" width="2.5" style="66" customWidth="1"/>
    <col min="1794" max="1794" width="6.59765625" style="66" customWidth="1"/>
    <col min="1795" max="1802" width="3.19921875" style="66" customWidth="1"/>
    <col min="1803" max="1805" width="4.59765625" style="66" customWidth="1"/>
    <col min="1806" max="1806" width="3.8984375" style="66" customWidth="1"/>
    <col min="1807" max="1807" width="5.5" style="66" customWidth="1"/>
    <col min="1808" max="1808" width="5.69921875" style="66" customWidth="1"/>
    <col min="1809" max="1811" width="4.59765625" style="66" customWidth="1"/>
    <col min="1812" max="1812" width="3.19921875" style="66" customWidth="1"/>
    <col min="1813" max="2048" width="7.69921875" style="66"/>
    <col min="2049" max="2049" width="2.5" style="66" customWidth="1"/>
    <col min="2050" max="2050" width="6.59765625" style="66" customWidth="1"/>
    <col min="2051" max="2058" width="3.19921875" style="66" customWidth="1"/>
    <col min="2059" max="2061" width="4.59765625" style="66" customWidth="1"/>
    <col min="2062" max="2062" width="3.8984375" style="66" customWidth="1"/>
    <col min="2063" max="2063" width="5.5" style="66" customWidth="1"/>
    <col min="2064" max="2064" width="5.69921875" style="66" customWidth="1"/>
    <col min="2065" max="2067" width="4.59765625" style="66" customWidth="1"/>
    <col min="2068" max="2068" width="3.19921875" style="66" customWidth="1"/>
    <col min="2069" max="2304" width="7.69921875" style="66"/>
    <col min="2305" max="2305" width="2.5" style="66" customWidth="1"/>
    <col min="2306" max="2306" width="6.59765625" style="66" customWidth="1"/>
    <col min="2307" max="2314" width="3.19921875" style="66" customWidth="1"/>
    <col min="2315" max="2317" width="4.59765625" style="66" customWidth="1"/>
    <col min="2318" max="2318" width="3.8984375" style="66" customWidth="1"/>
    <col min="2319" max="2319" width="5.5" style="66" customWidth="1"/>
    <col min="2320" max="2320" width="5.69921875" style="66" customWidth="1"/>
    <col min="2321" max="2323" width="4.59765625" style="66" customWidth="1"/>
    <col min="2324" max="2324" width="3.19921875" style="66" customWidth="1"/>
    <col min="2325" max="2560" width="7.69921875" style="66"/>
    <col min="2561" max="2561" width="2.5" style="66" customWidth="1"/>
    <col min="2562" max="2562" width="6.59765625" style="66" customWidth="1"/>
    <col min="2563" max="2570" width="3.19921875" style="66" customWidth="1"/>
    <col min="2571" max="2573" width="4.59765625" style="66" customWidth="1"/>
    <col min="2574" max="2574" width="3.8984375" style="66" customWidth="1"/>
    <col min="2575" max="2575" width="5.5" style="66" customWidth="1"/>
    <col min="2576" max="2576" width="5.69921875" style="66" customWidth="1"/>
    <col min="2577" max="2579" width="4.59765625" style="66" customWidth="1"/>
    <col min="2580" max="2580" width="3.19921875" style="66" customWidth="1"/>
    <col min="2581" max="2816" width="7.69921875" style="66"/>
    <col min="2817" max="2817" width="2.5" style="66" customWidth="1"/>
    <col min="2818" max="2818" width="6.59765625" style="66" customWidth="1"/>
    <col min="2819" max="2826" width="3.19921875" style="66" customWidth="1"/>
    <col min="2827" max="2829" width="4.59765625" style="66" customWidth="1"/>
    <col min="2830" max="2830" width="3.8984375" style="66" customWidth="1"/>
    <col min="2831" max="2831" width="5.5" style="66" customWidth="1"/>
    <col min="2832" max="2832" width="5.69921875" style="66" customWidth="1"/>
    <col min="2833" max="2835" width="4.59765625" style="66" customWidth="1"/>
    <col min="2836" max="2836" width="3.19921875" style="66" customWidth="1"/>
    <col min="2837" max="3072" width="7.69921875" style="66"/>
    <col min="3073" max="3073" width="2.5" style="66" customWidth="1"/>
    <col min="3074" max="3074" width="6.59765625" style="66" customWidth="1"/>
    <col min="3075" max="3082" width="3.19921875" style="66" customWidth="1"/>
    <col min="3083" max="3085" width="4.59765625" style="66" customWidth="1"/>
    <col min="3086" max="3086" width="3.8984375" style="66" customWidth="1"/>
    <col min="3087" max="3087" width="5.5" style="66" customWidth="1"/>
    <col min="3088" max="3088" width="5.69921875" style="66" customWidth="1"/>
    <col min="3089" max="3091" width="4.59765625" style="66" customWidth="1"/>
    <col min="3092" max="3092" width="3.19921875" style="66" customWidth="1"/>
    <col min="3093" max="3328" width="7.69921875" style="66"/>
    <col min="3329" max="3329" width="2.5" style="66" customWidth="1"/>
    <col min="3330" max="3330" width="6.59765625" style="66" customWidth="1"/>
    <col min="3331" max="3338" width="3.19921875" style="66" customWidth="1"/>
    <col min="3339" max="3341" width="4.59765625" style="66" customWidth="1"/>
    <col min="3342" max="3342" width="3.8984375" style="66" customWidth="1"/>
    <col min="3343" max="3343" width="5.5" style="66" customWidth="1"/>
    <col min="3344" max="3344" width="5.69921875" style="66" customWidth="1"/>
    <col min="3345" max="3347" width="4.59765625" style="66" customWidth="1"/>
    <col min="3348" max="3348" width="3.19921875" style="66" customWidth="1"/>
    <col min="3349" max="3584" width="7.69921875" style="66"/>
    <col min="3585" max="3585" width="2.5" style="66" customWidth="1"/>
    <col min="3586" max="3586" width="6.59765625" style="66" customWidth="1"/>
    <col min="3587" max="3594" width="3.19921875" style="66" customWidth="1"/>
    <col min="3595" max="3597" width="4.59765625" style="66" customWidth="1"/>
    <col min="3598" max="3598" width="3.8984375" style="66" customWidth="1"/>
    <col min="3599" max="3599" width="5.5" style="66" customWidth="1"/>
    <col min="3600" max="3600" width="5.69921875" style="66" customWidth="1"/>
    <col min="3601" max="3603" width="4.59765625" style="66" customWidth="1"/>
    <col min="3604" max="3604" width="3.19921875" style="66" customWidth="1"/>
    <col min="3605" max="3840" width="7.69921875" style="66"/>
    <col min="3841" max="3841" width="2.5" style="66" customWidth="1"/>
    <col min="3842" max="3842" width="6.59765625" style="66" customWidth="1"/>
    <col min="3843" max="3850" width="3.19921875" style="66" customWidth="1"/>
    <col min="3851" max="3853" width="4.59765625" style="66" customWidth="1"/>
    <col min="3854" max="3854" width="3.8984375" style="66" customWidth="1"/>
    <col min="3855" max="3855" width="5.5" style="66" customWidth="1"/>
    <col min="3856" max="3856" width="5.69921875" style="66" customWidth="1"/>
    <col min="3857" max="3859" width="4.59765625" style="66" customWidth="1"/>
    <col min="3860" max="3860" width="3.19921875" style="66" customWidth="1"/>
    <col min="3861" max="4096" width="7.69921875" style="66"/>
    <col min="4097" max="4097" width="2.5" style="66" customWidth="1"/>
    <col min="4098" max="4098" width="6.59765625" style="66" customWidth="1"/>
    <col min="4099" max="4106" width="3.19921875" style="66" customWidth="1"/>
    <col min="4107" max="4109" width="4.59765625" style="66" customWidth="1"/>
    <col min="4110" max="4110" width="3.8984375" style="66" customWidth="1"/>
    <col min="4111" max="4111" width="5.5" style="66" customWidth="1"/>
    <col min="4112" max="4112" width="5.69921875" style="66" customWidth="1"/>
    <col min="4113" max="4115" width="4.59765625" style="66" customWidth="1"/>
    <col min="4116" max="4116" width="3.19921875" style="66" customWidth="1"/>
    <col min="4117" max="4352" width="7.69921875" style="66"/>
    <col min="4353" max="4353" width="2.5" style="66" customWidth="1"/>
    <col min="4354" max="4354" width="6.59765625" style="66" customWidth="1"/>
    <col min="4355" max="4362" width="3.19921875" style="66" customWidth="1"/>
    <col min="4363" max="4365" width="4.59765625" style="66" customWidth="1"/>
    <col min="4366" max="4366" width="3.8984375" style="66" customWidth="1"/>
    <col min="4367" max="4367" width="5.5" style="66" customWidth="1"/>
    <col min="4368" max="4368" width="5.69921875" style="66" customWidth="1"/>
    <col min="4369" max="4371" width="4.59765625" style="66" customWidth="1"/>
    <col min="4372" max="4372" width="3.19921875" style="66" customWidth="1"/>
    <col min="4373" max="4608" width="7.69921875" style="66"/>
    <col min="4609" max="4609" width="2.5" style="66" customWidth="1"/>
    <col min="4610" max="4610" width="6.59765625" style="66" customWidth="1"/>
    <col min="4611" max="4618" width="3.19921875" style="66" customWidth="1"/>
    <col min="4619" max="4621" width="4.59765625" style="66" customWidth="1"/>
    <col min="4622" max="4622" width="3.8984375" style="66" customWidth="1"/>
    <col min="4623" max="4623" width="5.5" style="66" customWidth="1"/>
    <col min="4624" max="4624" width="5.69921875" style="66" customWidth="1"/>
    <col min="4625" max="4627" width="4.59765625" style="66" customWidth="1"/>
    <col min="4628" max="4628" width="3.19921875" style="66" customWidth="1"/>
    <col min="4629" max="4864" width="7.69921875" style="66"/>
    <col min="4865" max="4865" width="2.5" style="66" customWidth="1"/>
    <col min="4866" max="4866" width="6.59765625" style="66" customWidth="1"/>
    <col min="4867" max="4874" width="3.19921875" style="66" customWidth="1"/>
    <col min="4875" max="4877" width="4.59765625" style="66" customWidth="1"/>
    <col min="4878" max="4878" width="3.8984375" style="66" customWidth="1"/>
    <col min="4879" max="4879" width="5.5" style="66" customWidth="1"/>
    <col min="4880" max="4880" width="5.69921875" style="66" customWidth="1"/>
    <col min="4881" max="4883" width="4.59765625" style="66" customWidth="1"/>
    <col min="4884" max="4884" width="3.19921875" style="66" customWidth="1"/>
    <col min="4885" max="5120" width="7.69921875" style="66"/>
    <col min="5121" max="5121" width="2.5" style="66" customWidth="1"/>
    <col min="5122" max="5122" width="6.59765625" style="66" customWidth="1"/>
    <col min="5123" max="5130" width="3.19921875" style="66" customWidth="1"/>
    <col min="5131" max="5133" width="4.59765625" style="66" customWidth="1"/>
    <col min="5134" max="5134" width="3.8984375" style="66" customWidth="1"/>
    <col min="5135" max="5135" width="5.5" style="66" customWidth="1"/>
    <col min="5136" max="5136" width="5.69921875" style="66" customWidth="1"/>
    <col min="5137" max="5139" width="4.59765625" style="66" customWidth="1"/>
    <col min="5140" max="5140" width="3.19921875" style="66" customWidth="1"/>
    <col min="5141" max="5376" width="7.69921875" style="66"/>
    <col min="5377" max="5377" width="2.5" style="66" customWidth="1"/>
    <col min="5378" max="5378" width="6.59765625" style="66" customWidth="1"/>
    <col min="5379" max="5386" width="3.19921875" style="66" customWidth="1"/>
    <col min="5387" max="5389" width="4.59765625" style="66" customWidth="1"/>
    <col min="5390" max="5390" width="3.8984375" style="66" customWidth="1"/>
    <col min="5391" max="5391" width="5.5" style="66" customWidth="1"/>
    <col min="5392" max="5392" width="5.69921875" style="66" customWidth="1"/>
    <col min="5393" max="5395" width="4.59765625" style="66" customWidth="1"/>
    <col min="5396" max="5396" width="3.19921875" style="66" customWidth="1"/>
    <col min="5397" max="5632" width="7.69921875" style="66"/>
    <col min="5633" max="5633" width="2.5" style="66" customWidth="1"/>
    <col min="5634" max="5634" width="6.59765625" style="66" customWidth="1"/>
    <col min="5635" max="5642" width="3.19921875" style="66" customWidth="1"/>
    <col min="5643" max="5645" width="4.59765625" style="66" customWidth="1"/>
    <col min="5646" max="5646" width="3.8984375" style="66" customWidth="1"/>
    <col min="5647" max="5647" width="5.5" style="66" customWidth="1"/>
    <col min="5648" max="5648" width="5.69921875" style="66" customWidth="1"/>
    <col min="5649" max="5651" width="4.59765625" style="66" customWidth="1"/>
    <col min="5652" max="5652" width="3.19921875" style="66" customWidth="1"/>
    <col min="5653" max="5888" width="7.69921875" style="66"/>
    <col min="5889" max="5889" width="2.5" style="66" customWidth="1"/>
    <col min="5890" max="5890" width="6.59765625" style="66" customWidth="1"/>
    <col min="5891" max="5898" width="3.19921875" style="66" customWidth="1"/>
    <col min="5899" max="5901" width="4.59765625" style="66" customWidth="1"/>
    <col min="5902" max="5902" width="3.8984375" style="66" customWidth="1"/>
    <col min="5903" max="5903" width="5.5" style="66" customWidth="1"/>
    <col min="5904" max="5904" width="5.69921875" style="66" customWidth="1"/>
    <col min="5905" max="5907" width="4.59765625" style="66" customWidth="1"/>
    <col min="5908" max="5908" width="3.19921875" style="66" customWidth="1"/>
    <col min="5909" max="6144" width="7.69921875" style="66"/>
    <col min="6145" max="6145" width="2.5" style="66" customWidth="1"/>
    <col min="6146" max="6146" width="6.59765625" style="66" customWidth="1"/>
    <col min="6147" max="6154" width="3.19921875" style="66" customWidth="1"/>
    <col min="6155" max="6157" width="4.59765625" style="66" customWidth="1"/>
    <col min="6158" max="6158" width="3.8984375" style="66" customWidth="1"/>
    <col min="6159" max="6159" width="5.5" style="66" customWidth="1"/>
    <col min="6160" max="6160" width="5.69921875" style="66" customWidth="1"/>
    <col min="6161" max="6163" width="4.59765625" style="66" customWidth="1"/>
    <col min="6164" max="6164" width="3.19921875" style="66" customWidth="1"/>
    <col min="6165" max="6400" width="7.69921875" style="66"/>
    <col min="6401" max="6401" width="2.5" style="66" customWidth="1"/>
    <col min="6402" max="6402" width="6.59765625" style="66" customWidth="1"/>
    <col min="6403" max="6410" width="3.19921875" style="66" customWidth="1"/>
    <col min="6411" max="6413" width="4.59765625" style="66" customWidth="1"/>
    <col min="6414" max="6414" width="3.8984375" style="66" customWidth="1"/>
    <col min="6415" max="6415" width="5.5" style="66" customWidth="1"/>
    <col min="6416" max="6416" width="5.69921875" style="66" customWidth="1"/>
    <col min="6417" max="6419" width="4.59765625" style="66" customWidth="1"/>
    <col min="6420" max="6420" width="3.19921875" style="66" customWidth="1"/>
    <col min="6421" max="6656" width="7.69921875" style="66"/>
    <col min="6657" max="6657" width="2.5" style="66" customWidth="1"/>
    <col min="6658" max="6658" width="6.59765625" style="66" customWidth="1"/>
    <col min="6659" max="6666" width="3.19921875" style="66" customWidth="1"/>
    <col min="6667" max="6669" width="4.59765625" style="66" customWidth="1"/>
    <col min="6670" max="6670" width="3.8984375" style="66" customWidth="1"/>
    <col min="6671" max="6671" width="5.5" style="66" customWidth="1"/>
    <col min="6672" max="6672" width="5.69921875" style="66" customWidth="1"/>
    <col min="6673" max="6675" width="4.59765625" style="66" customWidth="1"/>
    <col min="6676" max="6676" width="3.19921875" style="66" customWidth="1"/>
    <col min="6677" max="6912" width="7.69921875" style="66"/>
    <col min="6913" max="6913" width="2.5" style="66" customWidth="1"/>
    <col min="6914" max="6914" width="6.59765625" style="66" customWidth="1"/>
    <col min="6915" max="6922" width="3.19921875" style="66" customWidth="1"/>
    <col min="6923" max="6925" width="4.59765625" style="66" customWidth="1"/>
    <col min="6926" max="6926" width="3.8984375" style="66" customWidth="1"/>
    <col min="6927" max="6927" width="5.5" style="66" customWidth="1"/>
    <col min="6928" max="6928" width="5.69921875" style="66" customWidth="1"/>
    <col min="6929" max="6931" width="4.59765625" style="66" customWidth="1"/>
    <col min="6932" max="6932" width="3.19921875" style="66" customWidth="1"/>
    <col min="6933" max="7168" width="7.69921875" style="66"/>
    <col min="7169" max="7169" width="2.5" style="66" customWidth="1"/>
    <col min="7170" max="7170" width="6.59765625" style="66" customWidth="1"/>
    <col min="7171" max="7178" width="3.19921875" style="66" customWidth="1"/>
    <col min="7179" max="7181" width="4.59765625" style="66" customWidth="1"/>
    <col min="7182" max="7182" width="3.8984375" style="66" customWidth="1"/>
    <col min="7183" max="7183" width="5.5" style="66" customWidth="1"/>
    <col min="7184" max="7184" width="5.69921875" style="66" customWidth="1"/>
    <col min="7185" max="7187" width="4.59765625" style="66" customWidth="1"/>
    <col min="7188" max="7188" width="3.19921875" style="66" customWidth="1"/>
    <col min="7189" max="7424" width="7.69921875" style="66"/>
    <col min="7425" max="7425" width="2.5" style="66" customWidth="1"/>
    <col min="7426" max="7426" width="6.59765625" style="66" customWidth="1"/>
    <col min="7427" max="7434" width="3.19921875" style="66" customWidth="1"/>
    <col min="7435" max="7437" width="4.59765625" style="66" customWidth="1"/>
    <col min="7438" max="7438" width="3.8984375" style="66" customWidth="1"/>
    <col min="7439" max="7439" width="5.5" style="66" customWidth="1"/>
    <col min="7440" max="7440" width="5.69921875" style="66" customWidth="1"/>
    <col min="7441" max="7443" width="4.59765625" style="66" customWidth="1"/>
    <col min="7444" max="7444" width="3.19921875" style="66" customWidth="1"/>
    <col min="7445" max="7680" width="7.69921875" style="66"/>
    <col min="7681" max="7681" width="2.5" style="66" customWidth="1"/>
    <col min="7682" max="7682" width="6.59765625" style="66" customWidth="1"/>
    <col min="7683" max="7690" width="3.19921875" style="66" customWidth="1"/>
    <col min="7691" max="7693" width="4.59765625" style="66" customWidth="1"/>
    <col min="7694" max="7694" width="3.8984375" style="66" customWidth="1"/>
    <col min="7695" max="7695" width="5.5" style="66" customWidth="1"/>
    <col min="7696" max="7696" width="5.69921875" style="66" customWidth="1"/>
    <col min="7697" max="7699" width="4.59765625" style="66" customWidth="1"/>
    <col min="7700" max="7700" width="3.19921875" style="66" customWidth="1"/>
    <col min="7701" max="7936" width="7.69921875" style="66"/>
    <col min="7937" max="7937" width="2.5" style="66" customWidth="1"/>
    <col min="7938" max="7938" width="6.59765625" style="66" customWidth="1"/>
    <col min="7939" max="7946" width="3.19921875" style="66" customWidth="1"/>
    <col min="7947" max="7949" width="4.59765625" style="66" customWidth="1"/>
    <col min="7950" max="7950" width="3.8984375" style="66" customWidth="1"/>
    <col min="7951" max="7951" width="5.5" style="66" customWidth="1"/>
    <col min="7952" max="7952" width="5.69921875" style="66" customWidth="1"/>
    <col min="7953" max="7955" width="4.59765625" style="66" customWidth="1"/>
    <col min="7956" max="7956" width="3.19921875" style="66" customWidth="1"/>
    <col min="7957" max="8192" width="7.69921875" style="66"/>
    <col min="8193" max="8193" width="2.5" style="66" customWidth="1"/>
    <col min="8194" max="8194" width="6.59765625" style="66" customWidth="1"/>
    <col min="8195" max="8202" width="3.19921875" style="66" customWidth="1"/>
    <col min="8203" max="8205" width="4.59765625" style="66" customWidth="1"/>
    <col min="8206" max="8206" width="3.8984375" style="66" customWidth="1"/>
    <col min="8207" max="8207" width="5.5" style="66" customWidth="1"/>
    <col min="8208" max="8208" width="5.69921875" style="66" customWidth="1"/>
    <col min="8209" max="8211" width="4.59765625" style="66" customWidth="1"/>
    <col min="8212" max="8212" width="3.19921875" style="66" customWidth="1"/>
    <col min="8213" max="8448" width="7.69921875" style="66"/>
    <col min="8449" max="8449" width="2.5" style="66" customWidth="1"/>
    <col min="8450" max="8450" width="6.59765625" style="66" customWidth="1"/>
    <col min="8451" max="8458" width="3.19921875" style="66" customWidth="1"/>
    <col min="8459" max="8461" width="4.59765625" style="66" customWidth="1"/>
    <col min="8462" max="8462" width="3.8984375" style="66" customWidth="1"/>
    <col min="8463" max="8463" width="5.5" style="66" customWidth="1"/>
    <col min="8464" max="8464" width="5.69921875" style="66" customWidth="1"/>
    <col min="8465" max="8467" width="4.59765625" style="66" customWidth="1"/>
    <col min="8468" max="8468" width="3.19921875" style="66" customWidth="1"/>
    <col min="8469" max="8704" width="7.69921875" style="66"/>
    <col min="8705" max="8705" width="2.5" style="66" customWidth="1"/>
    <col min="8706" max="8706" width="6.59765625" style="66" customWidth="1"/>
    <col min="8707" max="8714" width="3.19921875" style="66" customWidth="1"/>
    <col min="8715" max="8717" width="4.59765625" style="66" customWidth="1"/>
    <col min="8718" max="8718" width="3.8984375" style="66" customWidth="1"/>
    <col min="8719" max="8719" width="5.5" style="66" customWidth="1"/>
    <col min="8720" max="8720" width="5.69921875" style="66" customWidth="1"/>
    <col min="8721" max="8723" width="4.59765625" style="66" customWidth="1"/>
    <col min="8724" max="8724" width="3.19921875" style="66" customWidth="1"/>
    <col min="8725" max="8960" width="7.69921875" style="66"/>
    <col min="8961" max="8961" width="2.5" style="66" customWidth="1"/>
    <col min="8962" max="8962" width="6.59765625" style="66" customWidth="1"/>
    <col min="8963" max="8970" width="3.19921875" style="66" customWidth="1"/>
    <col min="8971" max="8973" width="4.59765625" style="66" customWidth="1"/>
    <col min="8974" max="8974" width="3.8984375" style="66" customWidth="1"/>
    <col min="8975" max="8975" width="5.5" style="66" customWidth="1"/>
    <col min="8976" max="8976" width="5.69921875" style="66" customWidth="1"/>
    <col min="8977" max="8979" width="4.59765625" style="66" customWidth="1"/>
    <col min="8980" max="8980" width="3.19921875" style="66" customWidth="1"/>
    <col min="8981" max="9216" width="7.69921875" style="66"/>
    <col min="9217" max="9217" width="2.5" style="66" customWidth="1"/>
    <col min="9218" max="9218" width="6.59765625" style="66" customWidth="1"/>
    <col min="9219" max="9226" width="3.19921875" style="66" customWidth="1"/>
    <col min="9227" max="9229" width="4.59765625" style="66" customWidth="1"/>
    <col min="9230" max="9230" width="3.8984375" style="66" customWidth="1"/>
    <col min="9231" max="9231" width="5.5" style="66" customWidth="1"/>
    <col min="9232" max="9232" width="5.69921875" style="66" customWidth="1"/>
    <col min="9233" max="9235" width="4.59765625" style="66" customWidth="1"/>
    <col min="9236" max="9236" width="3.19921875" style="66" customWidth="1"/>
    <col min="9237" max="9472" width="7.69921875" style="66"/>
    <col min="9473" max="9473" width="2.5" style="66" customWidth="1"/>
    <col min="9474" max="9474" width="6.59765625" style="66" customWidth="1"/>
    <col min="9475" max="9482" width="3.19921875" style="66" customWidth="1"/>
    <col min="9483" max="9485" width="4.59765625" style="66" customWidth="1"/>
    <col min="9486" max="9486" width="3.8984375" style="66" customWidth="1"/>
    <col min="9487" max="9487" width="5.5" style="66" customWidth="1"/>
    <col min="9488" max="9488" width="5.69921875" style="66" customWidth="1"/>
    <col min="9489" max="9491" width="4.59765625" style="66" customWidth="1"/>
    <col min="9492" max="9492" width="3.19921875" style="66" customWidth="1"/>
    <col min="9493" max="9728" width="7.69921875" style="66"/>
    <col min="9729" max="9729" width="2.5" style="66" customWidth="1"/>
    <col min="9730" max="9730" width="6.59765625" style="66" customWidth="1"/>
    <col min="9731" max="9738" width="3.19921875" style="66" customWidth="1"/>
    <col min="9739" max="9741" width="4.59765625" style="66" customWidth="1"/>
    <col min="9742" max="9742" width="3.8984375" style="66" customWidth="1"/>
    <col min="9743" max="9743" width="5.5" style="66" customWidth="1"/>
    <col min="9744" max="9744" width="5.69921875" style="66" customWidth="1"/>
    <col min="9745" max="9747" width="4.59765625" style="66" customWidth="1"/>
    <col min="9748" max="9748" width="3.19921875" style="66" customWidth="1"/>
    <col min="9749" max="9984" width="7.69921875" style="66"/>
    <col min="9985" max="9985" width="2.5" style="66" customWidth="1"/>
    <col min="9986" max="9986" width="6.59765625" style="66" customWidth="1"/>
    <col min="9987" max="9994" width="3.19921875" style="66" customWidth="1"/>
    <col min="9995" max="9997" width="4.59765625" style="66" customWidth="1"/>
    <col min="9998" max="9998" width="3.8984375" style="66" customWidth="1"/>
    <col min="9999" max="9999" width="5.5" style="66" customWidth="1"/>
    <col min="10000" max="10000" width="5.69921875" style="66" customWidth="1"/>
    <col min="10001" max="10003" width="4.59765625" style="66" customWidth="1"/>
    <col min="10004" max="10004" width="3.19921875" style="66" customWidth="1"/>
    <col min="10005" max="10240" width="7.69921875" style="66"/>
    <col min="10241" max="10241" width="2.5" style="66" customWidth="1"/>
    <col min="10242" max="10242" width="6.59765625" style="66" customWidth="1"/>
    <col min="10243" max="10250" width="3.19921875" style="66" customWidth="1"/>
    <col min="10251" max="10253" width="4.59765625" style="66" customWidth="1"/>
    <col min="10254" max="10254" width="3.8984375" style="66" customWidth="1"/>
    <col min="10255" max="10255" width="5.5" style="66" customWidth="1"/>
    <col min="10256" max="10256" width="5.69921875" style="66" customWidth="1"/>
    <col min="10257" max="10259" width="4.59765625" style="66" customWidth="1"/>
    <col min="10260" max="10260" width="3.19921875" style="66" customWidth="1"/>
    <col min="10261" max="10496" width="7.69921875" style="66"/>
    <col min="10497" max="10497" width="2.5" style="66" customWidth="1"/>
    <col min="10498" max="10498" width="6.59765625" style="66" customWidth="1"/>
    <col min="10499" max="10506" width="3.19921875" style="66" customWidth="1"/>
    <col min="10507" max="10509" width="4.59765625" style="66" customWidth="1"/>
    <col min="10510" max="10510" width="3.8984375" style="66" customWidth="1"/>
    <col min="10511" max="10511" width="5.5" style="66" customWidth="1"/>
    <col min="10512" max="10512" width="5.69921875" style="66" customWidth="1"/>
    <col min="10513" max="10515" width="4.59765625" style="66" customWidth="1"/>
    <col min="10516" max="10516" width="3.19921875" style="66" customWidth="1"/>
    <col min="10517" max="10752" width="7.69921875" style="66"/>
    <col min="10753" max="10753" width="2.5" style="66" customWidth="1"/>
    <col min="10754" max="10754" width="6.59765625" style="66" customWidth="1"/>
    <col min="10755" max="10762" width="3.19921875" style="66" customWidth="1"/>
    <col min="10763" max="10765" width="4.59765625" style="66" customWidth="1"/>
    <col min="10766" max="10766" width="3.8984375" style="66" customWidth="1"/>
    <col min="10767" max="10767" width="5.5" style="66" customWidth="1"/>
    <col min="10768" max="10768" width="5.69921875" style="66" customWidth="1"/>
    <col min="10769" max="10771" width="4.59765625" style="66" customWidth="1"/>
    <col min="10772" max="10772" width="3.19921875" style="66" customWidth="1"/>
    <col min="10773" max="11008" width="7.69921875" style="66"/>
    <col min="11009" max="11009" width="2.5" style="66" customWidth="1"/>
    <col min="11010" max="11010" width="6.59765625" style="66" customWidth="1"/>
    <col min="11011" max="11018" width="3.19921875" style="66" customWidth="1"/>
    <col min="11019" max="11021" width="4.59765625" style="66" customWidth="1"/>
    <col min="11022" max="11022" width="3.8984375" style="66" customWidth="1"/>
    <col min="11023" max="11023" width="5.5" style="66" customWidth="1"/>
    <col min="11024" max="11024" width="5.69921875" style="66" customWidth="1"/>
    <col min="11025" max="11027" width="4.59765625" style="66" customWidth="1"/>
    <col min="11028" max="11028" width="3.19921875" style="66" customWidth="1"/>
    <col min="11029" max="11264" width="7.69921875" style="66"/>
    <col min="11265" max="11265" width="2.5" style="66" customWidth="1"/>
    <col min="11266" max="11266" width="6.59765625" style="66" customWidth="1"/>
    <col min="11267" max="11274" width="3.19921875" style="66" customWidth="1"/>
    <col min="11275" max="11277" width="4.59765625" style="66" customWidth="1"/>
    <col min="11278" max="11278" width="3.8984375" style="66" customWidth="1"/>
    <col min="11279" max="11279" width="5.5" style="66" customWidth="1"/>
    <col min="11280" max="11280" width="5.69921875" style="66" customWidth="1"/>
    <col min="11281" max="11283" width="4.59765625" style="66" customWidth="1"/>
    <col min="11284" max="11284" width="3.19921875" style="66" customWidth="1"/>
    <col min="11285" max="11520" width="7.69921875" style="66"/>
    <col min="11521" max="11521" width="2.5" style="66" customWidth="1"/>
    <col min="11522" max="11522" width="6.59765625" style="66" customWidth="1"/>
    <col min="11523" max="11530" width="3.19921875" style="66" customWidth="1"/>
    <col min="11531" max="11533" width="4.59765625" style="66" customWidth="1"/>
    <col min="11534" max="11534" width="3.8984375" style="66" customWidth="1"/>
    <col min="11535" max="11535" width="5.5" style="66" customWidth="1"/>
    <col min="11536" max="11536" width="5.69921875" style="66" customWidth="1"/>
    <col min="11537" max="11539" width="4.59765625" style="66" customWidth="1"/>
    <col min="11540" max="11540" width="3.19921875" style="66" customWidth="1"/>
    <col min="11541" max="11776" width="7.69921875" style="66"/>
    <col min="11777" max="11777" width="2.5" style="66" customWidth="1"/>
    <col min="11778" max="11778" width="6.59765625" style="66" customWidth="1"/>
    <col min="11779" max="11786" width="3.19921875" style="66" customWidth="1"/>
    <col min="11787" max="11789" width="4.59765625" style="66" customWidth="1"/>
    <col min="11790" max="11790" width="3.8984375" style="66" customWidth="1"/>
    <col min="11791" max="11791" width="5.5" style="66" customWidth="1"/>
    <col min="11792" max="11792" width="5.69921875" style="66" customWidth="1"/>
    <col min="11793" max="11795" width="4.59765625" style="66" customWidth="1"/>
    <col min="11796" max="11796" width="3.19921875" style="66" customWidth="1"/>
    <col min="11797" max="12032" width="7.69921875" style="66"/>
    <col min="12033" max="12033" width="2.5" style="66" customWidth="1"/>
    <col min="12034" max="12034" width="6.59765625" style="66" customWidth="1"/>
    <col min="12035" max="12042" width="3.19921875" style="66" customWidth="1"/>
    <col min="12043" max="12045" width="4.59765625" style="66" customWidth="1"/>
    <col min="12046" max="12046" width="3.8984375" style="66" customWidth="1"/>
    <col min="12047" max="12047" width="5.5" style="66" customWidth="1"/>
    <col min="12048" max="12048" width="5.69921875" style="66" customWidth="1"/>
    <col min="12049" max="12051" width="4.59765625" style="66" customWidth="1"/>
    <col min="12052" max="12052" width="3.19921875" style="66" customWidth="1"/>
    <col min="12053" max="12288" width="7.69921875" style="66"/>
    <col min="12289" max="12289" width="2.5" style="66" customWidth="1"/>
    <col min="12290" max="12290" width="6.59765625" style="66" customWidth="1"/>
    <col min="12291" max="12298" width="3.19921875" style="66" customWidth="1"/>
    <col min="12299" max="12301" width="4.59765625" style="66" customWidth="1"/>
    <col min="12302" max="12302" width="3.8984375" style="66" customWidth="1"/>
    <col min="12303" max="12303" width="5.5" style="66" customWidth="1"/>
    <col min="12304" max="12304" width="5.69921875" style="66" customWidth="1"/>
    <col min="12305" max="12307" width="4.59765625" style="66" customWidth="1"/>
    <col min="12308" max="12308" width="3.19921875" style="66" customWidth="1"/>
    <col min="12309" max="12544" width="7.69921875" style="66"/>
    <col min="12545" max="12545" width="2.5" style="66" customWidth="1"/>
    <col min="12546" max="12546" width="6.59765625" style="66" customWidth="1"/>
    <col min="12547" max="12554" width="3.19921875" style="66" customWidth="1"/>
    <col min="12555" max="12557" width="4.59765625" style="66" customWidth="1"/>
    <col min="12558" max="12558" width="3.8984375" style="66" customWidth="1"/>
    <col min="12559" max="12559" width="5.5" style="66" customWidth="1"/>
    <col min="12560" max="12560" width="5.69921875" style="66" customWidth="1"/>
    <col min="12561" max="12563" width="4.59765625" style="66" customWidth="1"/>
    <col min="12564" max="12564" width="3.19921875" style="66" customWidth="1"/>
    <col min="12565" max="12800" width="7.69921875" style="66"/>
    <col min="12801" max="12801" width="2.5" style="66" customWidth="1"/>
    <col min="12802" max="12802" width="6.59765625" style="66" customWidth="1"/>
    <col min="12803" max="12810" width="3.19921875" style="66" customWidth="1"/>
    <col min="12811" max="12813" width="4.59765625" style="66" customWidth="1"/>
    <col min="12814" max="12814" width="3.8984375" style="66" customWidth="1"/>
    <col min="12815" max="12815" width="5.5" style="66" customWidth="1"/>
    <col min="12816" max="12816" width="5.69921875" style="66" customWidth="1"/>
    <col min="12817" max="12819" width="4.59765625" style="66" customWidth="1"/>
    <col min="12820" max="12820" width="3.19921875" style="66" customWidth="1"/>
    <col min="12821" max="13056" width="7.69921875" style="66"/>
    <col min="13057" max="13057" width="2.5" style="66" customWidth="1"/>
    <col min="13058" max="13058" width="6.59765625" style="66" customWidth="1"/>
    <col min="13059" max="13066" width="3.19921875" style="66" customWidth="1"/>
    <col min="13067" max="13069" width="4.59765625" style="66" customWidth="1"/>
    <col min="13070" max="13070" width="3.8984375" style="66" customWidth="1"/>
    <col min="13071" max="13071" width="5.5" style="66" customWidth="1"/>
    <col min="13072" max="13072" width="5.69921875" style="66" customWidth="1"/>
    <col min="13073" max="13075" width="4.59765625" style="66" customWidth="1"/>
    <col min="13076" max="13076" width="3.19921875" style="66" customWidth="1"/>
    <col min="13077" max="13312" width="7.69921875" style="66"/>
    <col min="13313" max="13313" width="2.5" style="66" customWidth="1"/>
    <col min="13314" max="13314" width="6.59765625" style="66" customWidth="1"/>
    <col min="13315" max="13322" width="3.19921875" style="66" customWidth="1"/>
    <col min="13323" max="13325" width="4.59765625" style="66" customWidth="1"/>
    <col min="13326" max="13326" width="3.8984375" style="66" customWidth="1"/>
    <col min="13327" max="13327" width="5.5" style="66" customWidth="1"/>
    <col min="13328" max="13328" width="5.69921875" style="66" customWidth="1"/>
    <col min="13329" max="13331" width="4.59765625" style="66" customWidth="1"/>
    <col min="13332" max="13332" width="3.19921875" style="66" customWidth="1"/>
    <col min="13333" max="13568" width="7.69921875" style="66"/>
    <col min="13569" max="13569" width="2.5" style="66" customWidth="1"/>
    <col min="13570" max="13570" width="6.59765625" style="66" customWidth="1"/>
    <col min="13571" max="13578" width="3.19921875" style="66" customWidth="1"/>
    <col min="13579" max="13581" width="4.59765625" style="66" customWidth="1"/>
    <col min="13582" max="13582" width="3.8984375" style="66" customWidth="1"/>
    <col min="13583" max="13583" width="5.5" style="66" customWidth="1"/>
    <col min="13584" max="13584" width="5.69921875" style="66" customWidth="1"/>
    <col min="13585" max="13587" width="4.59765625" style="66" customWidth="1"/>
    <col min="13588" max="13588" width="3.19921875" style="66" customWidth="1"/>
    <col min="13589" max="13824" width="7.69921875" style="66"/>
    <col min="13825" max="13825" width="2.5" style="66" customWidth="1"/>
    <col min="13826" max="13826" width="6.59765625" style="66" customWidth="1"/>
    <col min="13827" max="13834" width="3.19921875" style="66" customWidth="1"/>
    <col min="13835" max="13837" width="4.59765625" style="66" customWidth="1"/>
    <col min="13838" max="13838" width="3.8984375" style="66" customWidth="1"/>
    <col min="13839" max="13839" width="5.5" style="66" customWidth="1"/>
    <col min="13840" max="13840" width="5.69921875" style="66" customWidth="1"/>
    <col min="13841" max="13843" width="4.59765625" style="66" customWidth="1"/>
    <col min="13844" max="13844" width="3.19921875" style="66" customWidth="1"/>
    <col min="13845" max="14080" width="7.69921875" style="66"/>
    <col min="14081" max="14081" width="2.5" style="66" customWidth="1"/>
    <col min="14082" max="14082" width="6.59765625" style="66" customWidth="1"/>
    <col min="14083" max="14090" width="3.19921875" style="66" customWidth="1"/>
    <col min="14091" max="14093" width="4.59765625" style="66" customWidth="1"/>
    <col min="14094" max="14094" width="3.8984375" style="66" customWidth="1"/>
    <col min="14095" max="14095" width="5.5" style="66" customWidth="1"/>
    <col min="14096" max="14096" width="5.69921875" style="66" customWidth="1"/>
    <col min="14097" max="14099" width="4.59765625" style="66" customWidth="1"/>
    <col min="14100" max="14100" width="3.19921875" style="66" customWidth="1"/>
    <col min="14101" max="14336" width="7.69921875" style="66"/>
    <col min="14337" max="14337" width="2.5" style="66" customWidth="1"/>
    <col min="14338" max="14338" width="6.59765625" style="66" customWidth="1"/>
    <col min="14339" max="14346" width="3.19921875" style="66" customWidth="1"/>
    <col min="14347" max="14349" width="4.59765625" style="66" customWidth="1"/>
    <col min="14350" max="14350" width="3.8984375" style="66" customWidth="1"/>
    <col min="14351" max="14351" width="5.5" style="66" customWidth="1"/>
    <col min="14352" max="14352" width="5.69921875" style="66" customWidth="1"/>
    <col min="14353" max="14355" width="4.59765625" style="66" customWidth="1"/>
    <col min="14356" max="14356" width="3.19921875" style="66" customWidth="1"/>
    <col min="14357" max="14592" width="7.69921875" style="66"/>
    <col min="14593" max="14593" width="2.5" style="66" customWidth="1"/>
    <col min="14594" max="14594" width="6.59765625" style="66" customWidth="1"/>
    <col min="14595" max="14602" width="3.19921875" style="66" customWidth="1"/>
    <col min="14603" max="14605" width="4.59765625" style="66" customWidth="1"/>
    <col min="14606" max="14606" width="3.8984375" style="66" customWidth="1"/>
    <col min="14607" max="14607" width="5.5" style="66" customWidth="1"/>
    <col min="14608" max="14608" width="5.69921875" style="66" customWidth="1"/>
    <col min="14609" max="14611" width="4.59765625" style="66" customWidth="1"/>
    <col min="14612" max="14612" width="3.19921875" style="66" customWidth="1"/>
    <col min="14613" max="14848" width="7.69921875" style="66"/>
    <col min="14849" max="14849" width="2.5" style="66" customWidth="1"/>
    <col min="14850" max="14850" width="6.59765625" style="66" customWidth="1"/>
    <col min="14851" max="14858" width="3.19921875" style="66" customWidth="1"/>
    <col min="14859" max="14861" width="4.59765625" style="66" customWidth="1"/>
    <col min="14862" max="14862" width="3.8984375" style="66" customWidth="1"/>
    <col min="14863" max="14863" width="5.5" style="66" customWidth="1"/>
    <col min="14864" max="14864" width="5.69921875" style="66" customWidth="1"/>
    <col min="14865" max="14867" width="4.59765625" style="66" customWidth="1"/>
    <col min="14868" max="14868" width="3.19921875" style="66" customWidth="1"/>
    <col min="14869" max="15104" width="7.69921875" style="66"/>
    <col min="15105" max="15105" width="2.5" style="66" customWidth="1"/>
    <col min="15106" max="15106" width="6.59765625" style="66" customWidth="1"/>
    <col min="15107" max="15114" width="3.19921875" style="66" customWidth="1"/>
    <col min="15115" max="15117" width="4.59765625" style="66" customWidth="1"/>
    <col min="15118" max="15118" width="3.8984375" style="66" customWidth="1"/>
    <col min="15119" max="15119" width="5.5" style="66" customWidth="1"/>
    <col min="15120" max="15120" width="5.69921875" style="66" customWidth="1"/>
    <col min="15121" max="15123" width="4.59765625" style="66" customWidth="1"/>
    <col min="15124" max="15124" width="3.19921875" style="66" customWidth="1"/>
    <col min="15125" max="15360" width="7.69921875" style="66"/>
    <col min="15361" max="15361" width="2.5" style="66" customWidth="1"/>
    <col min="15362" max="15362" width="6.59765625" style="66" customWidth="1"/>
    <col min="15363" max="15370" width="3.19921875" style="66" customWidth="1"/>
    <col min="15371" max="15373" width="4.59765625" style="66" customWidth="1"/>
    <col min="15374" max="15374" width="3.8984375" style="66" customWidth="1"/>
    <col min="15375" max="15375" width="5.5" style="66" customWidth="1"/>
    <col min="15376" max="15376" width="5.69921875" style="66" customWidth="1"/>
    <col min="15377" max="15379" width="4.59765625" style="66" customWidth="1"/>
    <col min="15380" max="15380" width="3.19921875" style="66" customWidth="1"/>
    <col min="15381" max="15616" width="7.69921875" style="66"/>
    <col min="15617" max="15617" width="2.5" style="66" customWidth="1"/>
    <col min="15618" max="15618" width="6.59765625" style="66" customWidth="1"/>
    <col min="15619" max="15626" width="3.19921875" style="66" customWidth="1"/>
    <col min="15627" max="15629" width="4.59765625" style="66" customWidth="1"/>
    <col min="15630" max="15630" width="3.8984375" style="66" customWidth="1"/>
    <col min="15631" max="15631" width="5.5" style="66" customWidth="1"/>
    <col min="15632" max="15632" width="5.69921875" style="66" customWidth="1"/>
    <col min="15633" max="15635" width="4.59765625" style="66" customWidth="1"/>
    <col min="15636" max="15636" width="3.19921875" style="66" customWidth="1"/>
    <col min="15637" max="15872" width="7.69921875" style="66"/>
    <col min="15873" max="15873" width="2.5" style="66" customWidth="1"/>
    <col min="15874" max="15874" width="6.59765625" style="66" customWidth="1"/>
    <col min="15875" max="15882" width="3.19921875" style="66" customWidth="1"/>
    <col min="15883" max="15885" width="4.59765625" style="66" customWidth="1"/>
    <col min="15886" max="15886" width="3.8984375" style="66" customWidth="1"/>
    <col min="15887" max="15887" width="5.5" style="66" customWidth="1"/>
    <col min="15888" max="15888" width="5.69921875" style="66" customWidth="1"/>
    <col min="15889" max="15891" width="4.59765625" style="66" customWidth="1"/>
    <col min="15892" max="15892" width="3.19921875" style="66" customWidth="1"/>
    <col min="15893" max="16128" width="7.69921875" style="66"/>
    <col min="16129" max="16129" width="2.5" style="66" customWidth="1"/>
    <col min="16130" max="16130" width="6.59765625" style="66" customWidth="1"/>
    <col min="16131" max="16138" width="3.19921875" style="66" customWidth="1"/>
    <col min="16139" max="16141" width="4.59765625" style="66" customWidth="1"/>
    <col min="16142" max="16142" width="3.8984375" style="66" customWidth="1"/>
    <col min="16143" max="16143" width="5.5" style="66" customWidth="1"/>
    <col min="16144" max="16144" width="5.69921875" style="66" customWidth="1"/>
    <col min="16145" max="16147" width="4.59765625" style="66" customWidth="1"/>
    <col min="16148" max="16148" width="3.19921875" style="66" customWidth="1"/>
    <col min="16149" max="16384" width="7.69921875" style="66"/>
  </cols>
  <sheetData>
    <row r="1" spans="1:25" s="60" customFormat="1" ht="16.5" customHeight="1">
      <c r="B1" s="174"/>
      <c r="T1" s="174"/>
      <c r="U1" s="59" t="s">
        <v>340</v>
      </c>
    </row>
    <row r="2" spans="1:25" ht="19.5" customHeight="1">
      <c r="A2" s="67" t="s">
        <v>730</v>
      </c>
      <c r="B2" s="65"/>
      <c r="C2" s="59"/>
      <c r="D2" s="59"/>
      <c r="E2" s="59"/>
      <c r="F2" s="59"/>
      <c r="G2" s="59"/>
      <c r="H2" s="59"/>
      <c r="I2" s="59"/>
      <c r="J2" s="59"/>
      <c r="K2" s="59"/>
      <c r="L2" s="59"/>
      <c r="M2" s="59"/>
      <c r="N2" s="59"/>
      <c r="O2" s="59"/>
      <c r="P2" s="59"/>
      <c r="Q2" s="171" t="str">
        <f>'SP4-1'!L2</f>
        <v>Spreadsheet May 2025</v>
      </c>
      <c r="R2" s="59"/>
      <c r="S2" s="59"/>
      <c r="T2" s="123"/>
      <c r="U2" s="236" t="s">
        <v>341</v>
      </c>
      <c r="V2" s="59"/>
      <c r="W2" s="59"/>
      <c r="X2" s="59"/>
      <c r="Y2" s="59"/>
    </row>
    <row r="3" spans="1:25" s="60" customFormat="1" ht="11.25" customHeight="1">
      <c r="A3" s="65" t="s">
        <v>764</v>
      </c>
      <c r="B3" s="65"/>
      <c r="C3" s="59"/>
      <c r="D3" s="59"/>
      <c r="E3" s="59"/>
      <c r="F3" s="59"/>
      <c r="G3" s="59"/>
      <c r="H3" s="59"/>
      <c r="I3" s="59"/>
      <c r="J3" s="59"/>
      <c r="K3" s="59"/>
      <c r="L3" s="59"/>
      <c r="M3" s="59"/>
      <c r="N3" s="59"/>
      <c r="O3" s="59"/>
      <c r="P3" s="59"/>
      <c r="Q3" s="59"/>
      <c r="R3" s="59"/>
      <c r="S3" s="59"/>
      <c r="T3" s="123"/>
      <c r="U3" s="59"/>
      <c r="V3" s="59"/>
      <c r="W3" s="59"/>
      <c r="X3" s="59"/>
      <c r="Y3" s="59"/>
    </row>
    <row r="4" spans="1:25" ht="31.5" customHeight="1">
      <c r="A4" s="67"/>
      <c r="B4" s="533" t="s">
        <v>765</v>
      </c>
      <c r="C4" s="533"/>
      <c r="D4" s="533"/>
      <c r="E4" s="533"/>
      <c r="F4" s="533"/>
      <c r="G4" s="533"/>
      <c r="H4" s="533"/>
      <c r="I4" s="533"/>
      <c r="J4" s="533"/>
      <c r="K4" s="533"/>
      <c r="L4" s="533"/>
      <c r="M4" s="533"/>
      <c r="N4" s="533"/>
      <c r="O4" s="533"/>
      <c r="P4" s="533"/>
      <c r="Q4" s="533"/>
      <c r="R4" s="533"/>
      <c r="S4" s="533"/>
      <c r="T4" s="533"/>
      <c r="U4" s="59"/>
      <c r="V4" s="59"/>
      <c r="W4" s="59"/>
      <c r="X4" s="59"/>
      <c r="Y4" s="59"/>
    </row>
    <row r="5" spans="1:25" s="60" customFormat="1" ht="14.25" customHeight="1">
      <c r="A5" s="123"/>
      <c r="B5" s="123"/>
      <c r="C5" s="59"/>
      <c r="D5" s="59"/>
      <c r="E5" s="59"/>
      <c r="F5" s="59"/>
      <c r="G5" s="59"/>
      <c r="H5" s="59"/>
      <c r="I5" s="59"/>
      <c r="J5" s="59"/>
      <c r="K5" s="59"/>
      <c r="L5" s="59"/>
      <c r="M5" s="59"/>
      <c r="N5" s="59"/>
      <c r="O5" s="59"/>
      <c r="P5" s="59"/>
      <c r="Q5" s="59"/>
      <c r="R5" s="59"/>
      <c r="S5" s="59"/>
      <c r="T5" s="123"/>
      <c r="U5" s="59"/>
      <c r="V5" s="534"/>
      <c r="W5" s="534"/>
      <c r="X5" s="534"/>
      <c r="Y5" s="59"/>
    </row>
    <row r="6" spans="1:25" s="59" customFormat="1" ht="3.75" customHeight="1">
      <c r="A6" s="298"/>
      <c r="B6" s="298"/>
      <c r="C6" s="299"/>
      <c r="D6" s="299"/>
      <c r="E6" s="299"/>
      <c r="F6" s="299"/>
      <c r="G6" s="299"/>
      <c r="H6" s="299"/>
      <c r="I6" s="299"/>
      <c r="J6" s="299"/>
      <c r="K6" s="299"/>
      <c r="L6" s="299"/>
      <c r="M6" s="299"/>
      <c r="N6" s="299"/>
      <c r="O6" s="299"/>
      <c r="P6" s="299"/>
      <c r="Q6" s="299"/>
      <c r="R6" s="299"/>
      <c r="S6" s="299"/>
      <c r="T6" s="298"/>
    </row>
    <row r="7" spans="1:25" s="60" customFormat="1" ht="19.5" customHeight="1">
      <c r="A7" s="314">
        <v>1</v>
      </c>
      <c r="B7" s="487" t="s">
        <v>766</v>
      </c>
      <c r="C7" s="487"/>
      <c r="D7" s="487"/>
      <c r="E7" s="487"/>
      <c r="F7" s="487"/>
      <c r="G7" s="487"/>
      <c r="H7" s="487"/>
      <c r="I7" s="487"/>
      <c r="J7" s="487"/>
      <c r="K7" s="487"/>
      <c r="L7" s="487"/>
      <c r="M7" s="487"/>
      <c r="N7" s="487"/>
      <c r="O7" s="487"/>
      <c r="P7" s="299"/>
      <c r="Q7" s="299"/>
      <c r="R7" s="299"/>
      <c r="S7" s="299"/>
      <c r="T7" s="298"/>
      <c r="U7" s="59"/>
      <c r="V7" s="59"/>
      <c r="W7" s="59"/>
      <c r="X7" s="59"/>
      <c r="Y7" s="59"/>
    </row>
    <row r="8" spans="1:25" s="60" customFormat="1" ht="19.5" customHeight="1">
      <c r="A8" s="298"/>
      <c r="B8" s="299"/>
      <c r="C8" s="299"/>
      <c r="D8" s="299"/>
      <c r="E8" s="299"/>
      <c r="F8" s="299"/>
      <c r="G8" s="299"/>
      <c r="H8" s="299"/>
      <c r="I8" s="299"/>
      <c r="J8" s="313" t="s">
        <v>255</v>
      </c>
      <c r="K8" s="552"/>
      <c r="L8" s="552"/>
      <c r="M8" s="552"/>
      <c r="N8" s="299" t="s">
        <v>375</v>
      </c>
      <c r="O8" s="319">
        <f>Tables!O16</f>
        <v>0.98039215686274506</v>
      </c>
      <c r="P8" s="313" t="s">
        <v>388</v>
      </c>
      <c r="Q8" s="539">
        <f>K8*O8</f>
        <v>0</v>
      </c>
      <c r="R8" s="539"/>
      <c r="S8" s="539"/>
      <c r="T8" s="314" t="s">
        <v>376</v>
      </c>
      <c r="U8" s="59"/>
      <c r="V8" s="59"/>
      <c r="W8" s="59"/>
      <c r="X8" s="59"/>
      <c r="Y8" s="59"/>
    </row>
    <row r="9" spans="1:25" s="60" customFormat="1" ht="19.5" customHeight="1">
      <c r="A9" s="298"/>
      <c r="B9" s="299" t="s">
        <v>767</v>
      </c>
      <c r="C9" s="299"/>
      <c r="D9" s="299"/>
      <c r="E9" s="299"/>
      <c r="F9" s="299"/>
      <c r="G9" s="299"/>
      <c r="H9" s="299"/>
      <c r="I9" s="299"/>
      <c r="J9" s="299"/>
      <c r="K9" s="299"/>
      <c r="L9" s="299"/>
      <c r="M9" s="299"/>
      <c r="N9" s="299"/>
      <c r="O9" s="299"/>
      <c r="P9" s="299"/>
      <c r="Q9" s="299"/>
      <c r="R9" s="299"/>
      <c r="S9" s="299"/>
      <c r="T9" s="314"/>
      <c r="U9" s="59"/>
      <c r="V9" s="59"/>
      <c r="W9" s="59"/>
      <c r="X9" s="59"/>
      <c r="Y9" s="59"/>
    </row>
    <row r="10" spans="1:25" s="60" customFormat="1" ht="40.799999999999997">
      <c r="A10" s="298"/>
      <c r="B10" s="554"/>
      <c r="C10" s="554"/>
      <c r="D10" s="554"/>
      <c r="E10" s="554"/>
      <c r="F10" s="554"/>
      <c r="G10" s="554"/>
      <c r="H10" s="554"/>
      <c r="I10" s="554"/>
      <c r="J10" s="554"/>
      <c r="K10" s="554"/>
      <c r="L10" s="554"/>
      <c r="M10" s="554"/>
      <c r="N10" s="554"/>
      <c r="O10" s="554"/>
      <c r="P10" s="554"/>
      <c r="Q10" s="554"/>
      <c r="R10" s="554"/>
      <c r="S10" s="554"/>
      <c r="T10" s="324" t="s">
        <v>610</v>
      </c>
      <c r="U10" s="59"/>
      <c r="V10" s="59"/>
      <c r="W10" s="59"/>
      <c r="X10" s="59"/>
      <c r="Y10" s="59"/>
    </row>
    <row r="11" spans="1:25" s="172" customFormat="1" ht="4.5" customHeight="1">
      <c r="A11" s="302"/>
      <c r="B11" s="301"/>
      <c r="C11" s="301"/>
      <c r="D11" s="301"/>
      <c r="E11" s="301"/>
      <c r="F11" s="301"/>
      <c r="G11" s="301"/>
      <c r="H11" s="301"/>
      <c r="I11" s="301"/>
      <c r="J11" s="301"/>
      <c r="K11" s="301"/>
      <c r="L11" s="301"/>
      <c r="M11" s="301"/>
      <c r="N11" s="301"/>
      <c r="O11" s="301"/>
      <c r="P11" s="301"/>
      <c r="Q11" s="301"/>
      <c r="R11" s="301"/>
      <c r="S11" s="301"/>
      <c r="T11" s="302"/>
      <c r="U11" s="237"/>
      <c r="V11" s="237"/>
      <c r="W11" s="237"/>
      <c r="X11" s="237"/>
      <c r="Y11" s="237"/>
    </row>
    <row r="12" spans="1:25" s="173" customFormat="1" ht="4.5" customHeight="1">
      <c r="A12" s="306"/>
      <c r="B12" s="305"/>
      <c r="C12" s="305"/>
      <c r="D12" s="305"/>
      <c r="E12" s="305"/>
      <c r="F12" s="305"/>
      <c r="G12" s="305"/>
      <c r="H12" s="305"/>
      <c r="I12" s="305"/>
      <c r="J12" s="305"/>
      <c r="K12" s="305"/>
      <c r="L12" s="305"/>
      <c r="M12" s="305"/>
      <c r="N12" s="305"/>
      <c r="O12" s="305"/>
      <c r="P12" s="305"/>
      <c r="Q12" s="305"/>
      <c r="R12" s="305"/>
      <c r="S12" s="305"/>
      <c r="T12" s="306"/>
      <c r="U12" s="239"/>
      <c r="V12" s="239"/>
      <c r="W12" s="239"/>
      <c r="X12" s="239"/>
      <c r="Y12" s="239"/>
    </row>
    <row r="13" spans="1:25" s="60" customFormat="1" ht="19.5" customHeight="1">
      <c r="A13" s="314">
        <v>2</v>
      </c>
      <c r="B13" s="487" t="s">
        <v>389</v>
      </c>
      <c r="C13" s="487"/>
      <c r="D13" s="487"/>
      <c r="E13" s="487"/>
      <c r="F13" s="487"/>
      <c r="G13" s="487"/>
      <c r="H13" s="299"/>
      <c r="I13" s="299"/>
      <c r="J13" s="299"/>
      <c r="K13" s="299"/>
      <c r="L13" s="299"/>
      <c r="M13" s="299"/>
      <c r="N13" s="299"/>
      <c r="O13" s="299"/>
      <c r="P13" s="313" t="s">
        <v>255</v>
      </c>
      <c r="Q13" s="537"/>
      <c r="R13" s="537"/>
      <c r="S13" s="537"/>
      <c r="T13" s="314" t="s">
        <v>386</v>
      </c>
      <c r="U13" s="59"/>
      <c r="V13" s="59"/>
      <c r="W13" s="59"/>
      <c r="X13" s="59"/>
      <c r="Y13" s="59"/>
    </row>
    <row r="14" spans="1:25" s="172" customFormat="1" ht="3.75" customHeight="1">
      <c r="A14" s="302"/>
      <c r="B14" s="301"/>
      <c r="C14" s="301"/>
      <c r="D14" s="301"/>
      <c r="E14" s="301"/>
      <c r="F14" s="301"/>
      <c r="G14" s="301"/>
      <c r="H14" s="301"/>
      <c r="I14" s="301"/>
      <c r="J14" s="301"/>
      <c r="K14" s="301"/>
      <c r="L14" s="301"/>
      <c r="M14" s="301"/>
      <c r="N14" s="301"/>
      <c r="O14" s="301"/>
      <c r="P14" s="301"/>
      <c r="Q14" s="301"/>
      <c r="R14" s="301"/>
      <c r="S14" s="301"/>
      <c r="T14" s="302"/>
      <c r="U14" s="237"/>
      <c r="V14" s="237"/>
      <c r="W14" s="237"/>
      <c r="X14" s="237"/>
      <c r="Y14" s="237"/>
    </row>
    <row r="15" spans="1:25" s="60" customFormat="1" ht="19.5" customHeight="1">
      <c r="A15" s="314">
        <v>3</v>
      </c>
      <c r="B15" s="529" t="s">
        <v>768</v>
      </c>
      <c r="C15" s="529"/>
      <c r="D15" s="529"/>
      <c r="E15" s="529"/>
      <c r="F15" s="529"/>
      <c r="G15" s="529"/>
      <c r="H15" s="529"/>
      <c r="I15" s="529"/>
      <c r="J15" s="529"/>
      <c r="K15" s="529"/>
      <c r="L15" s="529"/>
      <c r="M15" s="529"/>
      <c r="N15" s="529"/>
      <c r="O15" s="299"/>
      <c r="P15" s="299"/>
      <c r="Q15" s="299"/>
      <c r="R15" s="299"/>
      <c r="S15" s="299"/>
      <c r="T15" s="314"/>
      <c r="U15" s="59"/>
      <c r="V15" s="59"/>
      <c r="W15" s="59"/>
      <c r="X15" s="59"/>
      <c r="Y15" s="59"/>
    </row>
    <row r="16" spans="1:25" s="60" customFormat="1" ht="19.5" customHeight="1">
      <c r="A16" s="298"/>
      <c r="B16" s="299"/>
      <c r="C16" s="299"/>
      <c r="D16" s="299"/>
      <c r="E16" s="299"/>
      <c r="F16" s="299"/>
      <c r="G16" s="299"/>
      <c r="H16" s="299"/>
      <c r="I16" s="299"/>
      <c r="J16" s="313" t="s">
        <v>774</v>
      </c>
      <c r="K16" s="552"/>
      <c r="L16" s="552"/>
      <c r="M16" s="552"/>
      <c r="N16" s="299" t="s">
        <v>375</v>
      </c>
      <c r="O16" s="299">
        <f>Tables!O12-Tables!O11</f>
        <v>26.758906827257633</v>
      </c>
      <c r="P16" s="313" t="s">
        <v>770</v>
      </c>
      <c r="Q16" s="535">
        <f>K16*O16</f>
        <v>0</v>
      </c>
      <c r="R16" s="535"/>
      <c r="S16" s="535"/>
      <c r="T16" s="314" t="s">
        <v>387</v>
      </c>
      <c r="U16" s="59"/>
      <c r="V16" s="59"/>
      <c r="W16" s="59"/>
      <c r="X16" s="59"/>
      <c r="Y16" s="59"/>
    </row>
    <row r="17" spans="1:25" s="172" customFormat="1" ht="3.75" customHeight="1">
      <c r="A17" s="302"/>
      <c r="B17" s="301"/>
      <c r="C17" s="301"/>
      <c r="D17" s="301"/>
      <c r="E17" s="301"/>
      <c r="F17" s="301"/>
      <c r="G17" s="301"/>
      <c r="H17" s="301"/>
      <c r="I17" s="301"/>
      <c r="J17" s="301"/>
      <c r="K17" s="301"/>
      <c r="L17" s="301"/>
      <c r="M17" s="301"/>
      <c r="N17" s="301"/>
      <c r="O17" s="301"/>
      <c r="P17" s="301"/>
      <c r="Q17" s="301"/>
      <c r="R17" s="301"/>
      <c r="S17" s="301"/>
      <c r="T17" s="302"/>
      <c r="U17" s="237"/>
      <c r="V17" s="237"/>
      <c r="W17" s="237"/>
      <c r="X17" s="237"/>
      <c r="Y17" s="237"/>
    </row>
    <row r="18" spans="1:25" s="60" customFormat="1" ht="19.5" customHeight="1">
      <c r="A18" s="314">
        <v>4</v>
      </c>
      <c r="B18" s="529" t="s">
        <v>391</v>
      </c>
      <c r="C18" s="529"/>
      <c r="D18" s="529"/>
      <c r="E18" s="529"/>
      <c r="F18" s="529"/>
      <c r="G18" s="529"/>
      <c r="H18" s="529"/>
      <c r="I18" s="299"/>
      <c r="J18" s="299"/>
      <c r="K18" s="299"/>
      <c r="L18" s="299"/>
      <c r="M18" s="299"/>
      <c r="N18" s="299"/>
      <c r="O18" s="299"/>
      <c r="P18" s="299"/>
      <c r="Q18" s="299"/>
      <c r="R18" s="299"/>
      <c r="S18" s="299"/>
      <c r="T18" s="298"/>
      <c r="U18" s="59"/>
      <c r="V18" s="59"/>
      <c r="W18" s="59"/>
      <c r="X18" s="59"/>
      <c r="Y18" s="59"/>
    </row>
    <row r="19" spans="1:25" s="60" customFormat="1" ht="19.5" customHeight="1">
      <c r="A19" s="314"/>
      <c r="B19" s="299" t="s">
        <v>377</v>
      </c>
      <c r="C19" s="299"/>
      <c r="D19" s="299"/>
      <c r="E19" s="299"/>
      <c r="F19" s="299"/>
      <c r="G19" s="299"/>
      <c r="H19" s="299"/>
      <c r="I19" s="299"/>
      <c r="J19" s="299"/>
      <c r="K19" s="299"/>
      <c r="L19" s="299"/>
      <c r="M19" s="299"/>
      <c r="N19" s="299"/>
      <c r="O19" s="299"/>
      <c r="P19" s="299"/>
      <c r="Q19" s="553">
        <f>'SP4-1'!I25</f>
        <v>0</v>
      </c>
      <c r="R19" s="553"/>
      <c r="S19" s="553"/>
      <c r="T19" s="314"/>
      <c r="U19" s="59"/>
      <c r="V19" s="59"/>
      <c r="W19" s="59"/>
      <c r="X19" s="59"/>
      <c r="Y19" s="59"/>
    </row>
    <row r="20" spans="1:25" s="60" customFormat="1" ht="19.5" customHeight="1">
      <c r="A20" s="298"/>
      <c r="B20" s="299" t="s">
        <v>379</v>
      </c>
      <c r="C20" s="299"/>
      <c r="D20" s="299"/>
      <c r="E20" s="299"/>
      <c r="F20" s="299"/>
      <c r="G20" s="299"/>
      <c r="H20" s="299"/>
      <c r="I20" s="299"/>
      <c r="J20" s="299"/>
      <c r="K20" s="299"/>
      <c r="L20" s="299"/>
      <c r="M20" s="299"/>
      <c r="N20" s="299"/>
      <c r="O20" s="299"/>
      <c r="P20" s="299"/>
      <c r="Q20" s="299"/>
      <c r="R20" s="299"/>
      <c r="S20" s="299"/>
      <c r="T20" s="298"/>
      <c r="U20" s="59"/>
      <c r="V20" s="59"/>
      <c r="W20" s="59"/>
      <c r="X20" s="59"/>
      <c r="Y20" s="59"/>
    </row>
    <row r="21" spans="1:25" s="60" customFormat="1" ht="19.5" customHeight="1">
      <c r="A21" s="298"/>
      <c r="B21" s="321" t="s">
        <v>380</v>
      </c>
      <c r="C21" s="544" t="s">
        <v>381</v>
      </c>
      <c r="D21" s="544"/>
      <c r="E21" s="544"/>
      <c r="F21" s="544"/>
      <c r="G21" s="544"/>
      <c r="H21" s="544"/>
      <c r="I21" s="544"/>
      <c r="J21" s="544"/>
      <c r="K21" s="544" t="s">
        <v>382</v>
      </c>
      <c r="L21" s="544"/>
      <c r="M21" s="544"/>
      <c r="N21" s="544" t="s">
        <v>383</v>
      </c>
      <c r="O21" s="544"/>
      <c r="P21" s="544"/>
      <c r="Q21" s="544" t="s">
        <v>268</v>
      </c>
      <c r="R21" s="544"/>
      <c r="S21" s="544"/>
      <c r="T21" s="298"/>
      <c r="U21" s="59"/>
      <c r="V21" s="59"/>
      <c r="W21" s="59"/>
      <c r="X21" s="59"/>
      <c r="Y21" s="59"/>
    </row>
    <row r="22" spans="1:25" s="60" customFormat="1" ht="19.5" customHeight="1">
      <c r="A22" s="298"/>
      <c r="B22" s="322"/>
      <c r="C22" s="550"/>
      <c r="D22" s="550"/>
      <c r="E22" s="550"/>
      <c r="F22" s="550"/>
      <c r="G22" s="550"/>
      <c r="H22" s="550"/>
      <c r="I22" s="550"/>
      <c r="J22" s="550"/>
      <c r="K22" s="551"/>
      <c r="L22" s="551"/>
      <c r="M22" s="551"/>
      <c r="N22" s="538" t="str">
        <f>Tables!Q24</f>
        <v/>
      </c>
      <c r="O22" s="538"/>
      <c r="P22" s="538"/>
      <c r="Q22" s="539" t="str">
        <f>IF(N22="","",K22*N22)</f>
        <v/>
      </c>
      <c r="R22" s="539"/>
      <c r="S22" s="539"/>
      <c r="T22" s="298"/>
      <c r="U22" s="59"/>
      <c r="V22" s="59"/>
      <c r="W22" s="59"/>
      <c r="X22" s="59"/>
      <c r="Y22" s="59"/>
    </row>
    <row r="23" spans="1:25" s="60" customFormat="1" ht="19.5" customHeight="1">
      <c r="A23" s="298"/>
      <c r="B23" s="322"/>
      <c r="C23" s="550"/>
      <c r="D23" s="550"/>
      <c r="E23" s="550"/>
      <c r="F23" s="550"/>
      <c r="G23" s="550"/>
      <c r="H23" s="550"/>
      <c r="I23" s="550"/>
      <c r="J23" s="550"/>
      <c r="K23" s="551"/>
      <c r="L23" s="551"/>
      <c r="M23" s="551"/>
      <c r="N23" s="538" t="str">
        <f>Tables!Q25</f>
        <v/>
      </c>
      <c r="O23" s="538"/>
      <c r="P23" s="538"/>
      <c r="Q23" s="539" t="str">
        <f>IF(N23="","",K23*N23)</f>
        <v/>
      </c>
      <c r="R23" s="539"/>
      <c r="S23" s="539"/>
      <c r="T23" s="298"/>
      <c r="U23" s="59"/>
      <c r="V23" s="59"/>
      <c r="W23" s="59"/>
      <c r="X23" s="59"/>
      <c r="Y23" s="59"/>
    </row>
    <row r="24" spans="1:25" s="60" customFormat="1" ht="19.5" customHeight="1">
      <c r="A24" s="298"/>
      <c r="B24" s="322"/>
      <c r="C24" s="550"/>
      <c r="D24" s="550"/>
      <c r="E24" s="550"/>
      <c r="F24" s="550"/>
      <c r="G24" s="550"/>
      <c r="H24" s="550"/>
      <c r="I24" s="550"/>
      <c r="J24" s="550"/>
      <c r="K24" s="551"/>
      <c r="L24" s="551"/>
      <c r="M24" s="551"/>
      <c r="N24" s="538" t="str">
        <f>Tables!Q26</f>
        <v/>
      </c>
      <c r="O24" s="538"/>
      <c r="P24" s="538"/>
      <c r="Q24" s="539" t="str">
        <f>IF(N24="","",K24*N24)</f>
        <v/>
      </c>
      <c r="R24" s="539"/>
      <c r="S24" s="539"/>
      <c r="T24" s="298"/>
      <c r="U24" s="59"/>
      <c r="V24" s="59"/>
      <c r="W24" s="59"/>
      <c r="X24" s="59"/>
      <c r="Y24" s="59"/>
    </row>
    <row r="25" spans="1:25" s="60" customFormat="1" ht="19.5" customHeight="1">
      <c r="A25" s="298"/>
      <c r="B25" s="322"/>
      <c r="C25" s="550"/>
      <c r="D25" s="550"/>
      <c r="E25" s="550"/>
      <c r="F25" s="550"/>
      <c r="G25" s="550"/>
      <c r="H25" s="550"/>
      <c r="I25" s="550"/>
      <c r="J25" s="550"/>
      <c r="K25" s="551"/>
      <c r="L25" s="551"/>
      <c r="M25" s="551"/>
      <c r="N25" s="538" t="str">
        <f>Tables!Q27</f>
        <v/>
      </c>
      <c r="O25" s="538"/>
      <c r="P25" s="538"/>
      <c r="Q25" s="539" t="str">
        <f t="shared" ref="Q25:Q30" si="0">IF(N25="","",K25*N25)</f>
        <v/>
      </c>
      <c r="R25" s="539"/>
      <c r="S25" s="539"/>
      <c r="T25" s="298"/>
      <c r="U25" s="59"/>
      <c r="V25" s="59"/>
      <c r="W25" s="59"/>
      <c r="X25" s="59"/>
      <c r="Y25" s="59"/>
    </row>
    <row r="26" spans="1:25" s="60" customFormat="1" ht="19.5" customHeight="1">
      <c r="A26" s="298"/>
      <c r="B26" s="322"/>
      <c r="C26" s="550"/>
      <c r="D26" s="550"/>
      <c r="E26" s="550"/>
      <c r="F26" s="550"/>
      <c r="G26" s="550"/>
      <c r="H26" s="550"/>
      <c r="I26" s="550"/>
      <c r="J26" s="550"/>
      <c r="K26" s="551"/>
      <c r="L26" s="551"/>
      <c r="M26" s="551"/>
      <c r="N26" s="538" t="str">
        <f>Tables!Q28</f>
        <v/>
      </c>
      <c r="O26" s="538"/>
      <c r="P26" s="538"/>
      <c r="Q26" s="539" t="str">
        <f t="shared" si="0"/>
        <v/>
      </c>
      <c r="R26" s="539"/>
      <c r="S26" s="539"/>
      <c r="T26" s="298"/>
      <c r="U26" s="59"/>
      <c r="V26" s="59"/>
      <c r="W26" s="59"/>
      <c r="X26" s="59"/>
      <c r="Y26" s="59"/>
    </row>
    <row r="27" spans="1:25" s="60" customFormat="1" ht="19.5" customHeight="1">
      <c r="A27" s="298"/>
      <c r="B27" s="322"/>
      <c r="C27" s="550"/>
      <c r="D27" s="550"/>
      <c r="E27" s="550"/>
      <c r="F27" s="550"/>
      <c r="G27" s="550"/>
      <c r="H27" s="550"/>
      <c r="I27" s="550"/>
      <c r="J27" s="550"/>
      <c r="K27" s="551"/>
      <c r="L27" s="551"/>
      <c r="M27" s="551"/>
      <c r="N27" s="538" t="str">
        <f>Tables!Q29</f>
        <v/>
      </c>
      <c r="O27" s="538"/>
      <c r="P27" s="538"/>
      <c r="Q27" s="539" t="str">
        <f t="shared" si="0"/>
        <v/>
      </c>
      <c r="R27" s="539"/>
      <c r="S27" s="539"/>
      <c r="T27" s="298"/>
      <c r="U27" s="59"/>
      <c r="V27" s="59"/>
      <c r="W27" s="59"/>
      <c r="X27" s="59"/>
      <c r="Y27" s="59"/>
    </row>
    <row r="28" spans="1:25" s="60" customFormat="1" ht="19.5" customHeight="1">
      <c r="A28" s="298"/>
      <c r="B28" s="322"/>
      <c r="C28" s="550"/>
      <c r="D28" s="550"/>
      <c r="E28" s="550"/>
      <c r="F28" s="550"/>
      <c r="G28" s="550"/>
      <c r="H28" s="550"/>
      <c r="I28" s="550"/>
      <c r="J28" s="550"/>
      <c r="K28" s="551"/>
      <c r="L28" s="551"/>
      <c r="M28" s="551"/>
      <c r="N28" s="538" t="str">
        <f>Tables!Q30</f>
        <v/>
      </c>
      <c r="O28" s="538"/>
      <c r="P28" s="538"/>
      <c r="Q28" s="539" t="str">
        <f t="shared" si="0"/>
        <v/>
      </c>
      <c r="R28" s="539"/>
      <c r="S28" s="539"/>
      <c r="T28" s="298"/>
      <c r="U28" s="59"/>
      <c r="V28" s="59"/>
      <c r="W28" s="59"/>
      <c r="X28" s="59"/>
      <c r="Y28" s="59"/>
    </row>
    <row r="29" spans="1:25" s="60" customFormat="1" ht="19.5" customHeight="1">
      <c r="A29" s="298"/>
      <c r="B29" s="322"/>
      <c r="C29" s="550"/>
      <c r="D29" s="550"/>
      <c r="E29" s="550"/>
      <c r="F29" s="550"/>
      <c r="G29" s="550"/>
      <c r="H29" s="550"/>
      <c r="I29" s="550"/>
      <c r="J29" s="550"/>
      <c r="K29" s="551"/>
      <c r="L29" s="551"/>
      <c r="M29" s="551"/>
      <c r="N29" s="538" t="str">
        <f>Tables!Q31</f>
        <v/>
      </c>
      <c r="O29" s="538"/>
      <c r="P29" s="538"/>
      <c r="Q29" s="539" t="str">
        <f t="shared" si="0"/>
        <v/>
      </c>
      <c r="R29" s="539"/>
      <c r="S29" s="539"/>
      <c r="T29" s="298"/>
      <c r="U29" s="59"/>
      <c r="V29" s="59"/>
      <c r="W29" s="59"/>
      <c r="X29" s="59"/>
      <c r="Y29" s="59"/>
    </row>
    <row r="30" spans="1:25" s="60" customFormat="1" ht="19.5" customHeight="1">
      <c r="A30" s="298"/>
      <c r="B30" s="322"/>
      <c r="C30" s="550"/>
      <c r="D30" s="550"/>
      <c r="E30" s="550"/>
      <c r="F30" s="550"/>
      <c r="G30" s="550"/>
      <c r="H30" s="550"/>
      <c r="I30" s="550"/>
      <c r="J30" s="550"/>
      <c r="K30" s="551"/>
      <c r="L30" s="551"/>
      <c r="M30" s="551"/>
      <c r="N30" s="538" t="str">
        <f>Tables!Q32</f>
        <v/>
      </c>
      <c r="O30" s="538"/>
      <c r="P30" s="538"/>
      <c r="Q30" s="539" t="str">
        <f t="shared" si="0"/>
        <v/>
      </c>
      <c r="R30" s="539"/>
      <c r="S30" s="539"/>
      <c r="T30" s="298"/>
      <c r="U30" s="59"/>
      <c r="V30" s="59"/>
      <c r="W30" s="59"/>
      <c r="X30" s="59"/>
      <c r="Y30" s="59"/>
    </row>
    <row r="31" spans="1:25" s="60" customFormat="1" ht="19.5" customHeight="1">
      <c r="A31" s="298"/>
      <c r="B31" s="299"/>
      <c r="C31" s="299"/>
      <c r="D31" s="299"/>
      <c r="E31" s="299"/>
      <c r="F31" s="299"/>
      <c r="G31" s="299"/>
      <c r="H31" s="299"/>
      <c r="I31" s="299"/>
      <c r="J31" s="299"/>
      <c r="K31" s="299"/>
      <c r="L31" s="299"/>
      <c r="M31" s="299"/>
      <c r="N31" s="299"/>
      <c r="O31" s="299"/>
      <c r="P31" s="313" t="s">
        <v>385</v>
      </c>
      <c r="Q31" s="549">
        <f>SUM(Q22:S30)</f>
        <v>0</v>
      </c>
      <c r="R31" s="549"/>
      <c r="S31" s="549"/>
      <c r="T31" s="314" t="s">
        <v>393</v>
      </c>
      <c r="U31" s="59"/>
      <c r="V31" s="59"/>
      <c r="W31" s="59"/>
      <c r="X31" s="59"/>
      <c r="Y31" s="59"/>
    </row>
    <row r="32" spans="1:25" s="172" customFormat="1" ht="3.75" customHeight="1">
      <c r="A32" s="302"/>
      <c r="B32" s="301"/>
      <c r="C32" s="301"/>
      <c r="D32" s="301"/>
      <c r="E32" s="301"/>
      <c r="F32" s="301"/>
      <c r="G32" s="301"/>
      <c r="H32" s="301"/>
      <c r="I32" s="301"/>
      <c r="J32" s="301"/>
      <c r="K32" s="301"/>
      <c r="L32" s="301"/>
      <c r="M32" s="301"/>
      <c r="N32" s="301"/>
      <c r="O32" s="301"/>
      <c r="P32" s="301"/>
      <c r="Q32" s="301"/>
      <c r="R32" s="301"/>
      <c r="S32" s="301"/>
      <c r="T32" s="302"/>
      <c r="U32" s="237"/>
      <c r="V32" s="237"/>
      <c r="W32" s="237"/>
      <c r="X32" s="237"/>
      <c r="Y32" s="237"/>
    </row>
    <row r="33" spans="1:30" s="60" customFormat="1" ht="19.5" customHeight="1">
      <c r="A33" s="314">
        <v>5</v>
      </c>
      <c r="B33" s="529" t="s">
        <v>771</v>
      </c>
      <c r="C33" s="529"/>
      <c r="D33" s="529"/>
      <c r="E33" s="529"/>
      <c r="F33" s="529"/>
      <c r="G33" s="529"/>
      <c r="H33" s="299"/>
      <c r="I33" s="299"/>
      <c r="J33" s="299"/>
      <c r="K33" s="299"/>
      <c r="L33" s="299"/>
      <c r="M33" s="299"/>
      <c r="N33" s="299"/>
      <c r="O33" s="299"/>
      <c r="P33" s="299"/>
      <c r="Q33" s="299"/>
      <c r="R33" s="299"/>
      <c r="S33" s="299"/>
      <c r="T33" s="298"/>
      <c r="U33" s="59"/>
      <c r="V33" s="59"/>
      <c r="W33" s="59"/>
      <c r="X33" s="59"/>
      <c r="Y33" s="59"/>
    </row>
    <row r="34" spans="1:30" s="60" customFormat="1" ht="19.5" customHeight="1">
      <c r="A34" s="298"/>
      <c r="B34" s="299"/>
      <c r="C34" s="299"/>
      <c r="D34" s="299"/>
      <c r="E34" s="299"/>
      <c r="F34" s="299"/>
      <c r="G34" s="299"/>
      <c r="H34" s="299"/>
      <c r="I34" s="299"/>
      <c r="J34" s="299"/>
      <c r="K34" s="323"/>
      <c r="L34" s="299"/>
      <c r="M34" s="299"/>
      <c r="N34" s="299"/>
      <c r="O34" s="299"/>
      <c r="P34" s="313" t="s">
        <v>772</v>
      </c>
      <c r="Q34" s="535">
        <f>Q8+Q13+Q16+Q31</f>
        <v>0</v>
      </c>
      <c r="R34" s="535"/>
      <c r="S34" s="535"/>
      <c r="T34" s="314" t="s">
        <v>363</v>
      </c>
      <c r="U34" s="59"/>
      <c r="V34" s="59"/>
      <c r="W34" s="59"/>
      <c r="X34" s="59"/>
      <c r="Y34" s="59"/>
    </row>
    <row r="35" spans="1:30" s="60" customFormat="1" ht="19.5" customHeight="1">
      <c r="A35" s="298"/>
      <c r="B35" s="299"/>
      <c r="C35" s="299"/>
      <c r="D35" s="299"/>
      <c r="E35" s="299"/>
      <c r="F35" s="299"/>
      <c r="G35" s="299"/>
      <c r="H35" s="299"/>
      <c r="I35" s="299"/>
      <c r="J35" s="299"/>
      <c r="K35" s="299"/>
      <c r="L35" s="299"/>
      <c r="M35" s="299"/>
      <c r="N35" s="299"/>
      <c r="O35" s="299"/>
      <c r="P35" s="299"/>
      <c r="Q35" s="299"/>
      <c r="R35" s="299"/>
      <c r="S35" s="313" t="s">
        <v>773</v>
      </c>
      <c r="T35" s="298"/>
      <c r="U35" s="59"/>
      <c r="V35" s="59"/>
      <c r="W35" s="59"/>
      <c r="X35" s="59"/>
      <c r="Y35" s="59"/>
    </row>
    <row r="36" spans="1:30" ht="15" customHeight="1">
      <c r="A36" s="59"/>
      <c r="B36" s="59"/>
      <c r="C36" s="59"/>
      <c r="D36" s="59"/>
      <c r="E36" s="59"/>
      <c r="F36" s="59"/>
      <c r="G36" s="59"/>
      <c r="H36" s="59"/>
      <c r="I36" s="59"/>
      <c r="J36" s="59"/>
      <c r="K36" s="59"/>
      <c r="L36" s="59"/>
      <c r="M36" s="59"/>
      <c r="N36" s="59"/>
      <c r="O36" s="59"/>
      <c r="P36" s="59"/>
      <c r="Q36" s="59"/>
      <c r="R36" s="59"/>
      <c r="S36" s="59"/>
      <c r="T36" s="59"/>
      <c r="U36" s="59"/>
      <c r="V36" s="59"/>
      <c r="W36" s="59"/>
      <c r="X36" s="59"/>
      <c r="Y36" s="59"/>
      <c r="Z36" s="59"/>
      <c r="AA36" s="59"/>
      <c r="AB36" s="59"/>
      <c r="AC36" s="59"/>
      <c r="AD36" s="59"/>
    </row>
    <row r="37" spans="1:30" hidden="1">
      <c r="A37" s="59">
        <v>0</v>
      </c>
      <c r="B37" s="59"/>
      <c r="C37" s="59"/>
      <c r="D37" s="59"/>
      <c r="E37" s="59"/>
      <c r="F37" s="59"/>
      <c r="G37" s="59"/>
      <c r="H37" s="59"/>
      <c r="I37" s="59"/>
      <c r="J37" s="59"/>
      <c r="K37" s="59"/>
      <c r="L37" s="59"/>
      <c r="M37" s="59"/>
      <c r="N37" s="59"/>
      <c r="O37" s="59"/>
      <c r="P37" s="59"/>
      <c r="Q37" s="59"/>
      <c r="R37" s="59"/>
      <c r="S37" s="59"/>
      <c r="T37" s="123"/>
      <c r="U37" s="59"/>
      <c r="V37" s="59"/>
      <c r="W37" s="59"/>
      <c r="X37" s="59"/>
      <c r="Y37" s="59"/>
    </row>
    <row r="38" spans="1:30" hidden="1">
      <c r="A38" s="59">
        <v>1</v>
      </c>
      <c r="B38" s="59"/>
      <c r="C38" s="59"/>
      <c r="D38" s="59"/>
      <c r="E38" s="59"/>
      <c r="F38" s="59"/>
      <c r="G38" s="59"/>
      <c r="H38" s="59"/>
      <c r="I38" s="59"/>
      <c r="J38" s="59"/>
      <c r="K38" s="59"/>
      <c r="L38" s="59"/>
      <c r="M38" s="59"/>
      <c r="N38" s="59"/>
      <c r="O38" s="59"/>
      <c r="P38" s="59"/>
      <c r="Q38" s="59"/>
      <c r="R38" s="59"/>
      <c r="S38" s="59"/>
      <c r="T38" s="123"/>
      <c r="U38" s="59"/>
      <c r="V38" s="59"/>
      <c r="W38" s="59"/>
      <c r="X38" s="59"/>
      <c r="Y38" s="59"/>
    </row>
    <row r="39" spans="1:30" hidden="1">
      <c r="A39" s="59">
        <v>2</v>
      </c>
      <c r="B39" s="59"/>
      <c r="C39" s="59"/>
      <c r="D39" s="59"/>
      <c r="E39" s="59"/>
      <c r="F39" s="59"/>
      <c r="G39" s="59"/>
      <c r="H39" s="59"/>
      <c r="I39" s="59"/>
      <c r="J39" s="59"/>
      <c r="K39" s="59"/>
      <c r="L39" s="59"/>
      <c r="M39" s="59"/>
      <c r="N39" s="59"/>
      <c r="O39" s="59"/>
      <c r="P39" s="59"/>
      <c r="Q39" s="59"/>
      <c r="R39" s="59"/>
      <c r="S39" s="59"/>
      <c r="T39" s="123"/>
      <c r="U39" s="59"/>
      <c r="V39" s="59"/>
      <c r="W39" s="59"/>
      <c r="X39" s="59"/>
      <c r="Y39" s="59"/>
    </row>
    <row r="40" spans="1:30" hidden="1">
      <c r="A40" s="59">
        <v>3</v>
      </c>
      <c r="B40" s="59"/>
      <c r="C40" s="59"/>
      <c r="D40" s="59"/>
      <c r="E40" s="59"/>
      <c r="F40" s="59"/>
      <c r="G40" s="59"/>
      <c r="H40" s="59"/>
      <c r="I40" s="59"/>
      <c r="J40" s="59"/>
      <c r="K40" s="59"/>
      <c r="L40" s="59"/>
      <c r="M40" s="59"/>
      <c r="N40" s="59"/>
      <c r="O40" s="59"/>
      <c r="P40" s="59"/>
      <c r="Q40" s="59"/>
      <c r="R40" s="59"/>
      <c r="S40" s="59"/>
      <c r="T40" s="123"/>
      <c r="U40" s="59"/>
      <c r="V40" s="59"/>
      <c r="W40" s="59"/>
      <c r="X40" s="59"/>
      <c r="Y40" s="59"/>
    </row>
    <row r="41" spans="1:30" hidden="1">
      <c r="A41" s="59">
        <v>4</v>
      </c>
      <c r="B41" s="59"/>
      <c r="C41" s="59"/>
      <c r="D41" s="59"/>
      <c r="E41" s="59"/>
      <c r="F41" s="59"/>
      <c r="G41" s="59"/>
      <c r="H41" s="59"/>
      <c r="I41" s="59"/>
      <c r="J41" s="59"/>
      <c r="K41" s="59"/>
      <c r="L41" s="59"/>
      <c r="M41" s="59"/>
      <c r="N41" s="59"/>
      <c r="O41" s="59"/>
      <c r="P41" s="59"/>
      <c r="Q41" s="59"/>
      <c r="R41" s="59"/>
      <c r="S41" s="59"/>
      <c r="T41" s="123"/>
      <c r="U41" s="59"/>
      <c r="V41" s="59"/>
      <c r="W41" s="59"/>
      <c r="X41" s="59"/>
      <c r="Y41" s="59"/>
    </row>
    <row r="42" spans="1:30" hidden="1">
      <c r="A42" s="59">
        <v>5</v>
      </c>
      <c r="B42" s="59"/>
      <c r="C42" s="59"/>
      <c r="D42" s="59"/>
      <c r="E42" s="59"/>
      <c r="F42" s="59"/>
      <c r="G42" s="59"/>
      <c r="H42" s="59"/>
      <c r="I42" s="59"/>
      <c r="J42" s="59"/>
      <c r="K42" s="59"/>
      <c r="L42" s="59"/>
      <c r="M42" s="59"/>
      <c r="N42" s="59"/>
      <c r="O42" s="59"/>
      <c r="P42" s="59"/>
      <c r="Q42" s="59"/>
      <c r="R42" s="59"/>
      <c r="S42" s="59"/>
      <c r="T42" s="123"/>
      <c r="U42" s="59"/>
      <c r="V42" s="59"/>
      <c r="W42" s="59"/>
      <c r="X42" s="59"/>
      <c r="Y42" s="59"/>
    </row>
    <row r="43" spans="1:30" hidden="1">
      <c r="A43" s="59">
        <v>6</v>
      </c>
      <c r="B43" s="59"/>
      <c r="C43" s="59"/>
      <c r="D43" s="59"/>
      <c r="E43" s="59"/>
      <c r="F43" s="59"/>
      <c r="G43" s="59"/>
      <c r="H43" s="59"/>
      <c r="I43" s="59"/>
      <c r="J43" s="59"/>
      <c r="K43" s="59"/>
      <c r="L43" s="59"/>
      <c r="M43" s="59"/>
      <c r="N43" s="59"/>
      <c r="O43" s="59"/>
      <c r="P43" s="59"/>
      <c r="Q43" s="59"/>
      <c r="R43" s="59"/>
      <c r="S43" s="59"/>
      <c r="T43" s="123"/>
      <c r="U43" s="59"/>
      <c r="V43" s="59"/>
      <c r="W43" s="59"/>
      <c r="X43" s="59"/>
      <c r="Y43" s="59"/>
    </row>
    <row r="44" spans="1:30" hidden="1">
      <c r="A44" s="59">
        <v>7</v>
      </c>
      <c r="B44" s="59"/>
      <c r="C44" s="59"/>
      <c r="D44" s="59"/>
      <c r="E44" s="59"/>
      <c r="F44" s="59"/>
      <c r="G44" s="59"/>
      <c r="H44" s="59"/>
      <c r="I44" s="59"/>
      <c r="J44" s="59"/>
      <c r="K44" s="59"/>
      <c r="L44" s="59"/>
      <c r="M44" s="59"/>
      <c r="N44" s="59"/>
      <c r="O44" s="59"/>
      <c r="P44" s="59"/>
      <c r="Q44" s="59"/>
      <c r="R44" s="59"/>
      <c r="S44" s="59"/>
      <c r="T44" s="123"/>
      <c r="U44" s="59"/>
      <c r="V44" s="59"/>
      <c r="W44" s="59"/>
      <c r="X44" s="59"/>
      <c r="Y44" s="59"/>
    </row>
    <row r="45" spans="1:30" hidden="1">
      <c r="A45" s="59">
        <v>8</v>
      </c>
      <c r="B45" s="59"/>
      <c r="C45" s="59"/>
      <c r="D45" s="59"/>
      <c r="E45" s="59"/>
      <c r="F45" s="59"/>
      <c r="G45" s="59"/>
      <c r="H45" s="59"/>
      <c r="I45" s="59"/>
      <c r="J45" s="59"/>
      <c r="K45" s="59"/>
      <c r="L45" s="59"/>
      <c r="M45" s="59"/>
      <c r="N45" s="59"/>
      <c r="O45" s="59"/>
      <c r="P45" s="59"/>
      <c r="Q45" s="59"/>
      <c r="R45" s="59"/>
      <c r="S45" s="59"/>
      <c r="T45" s="123"/>
      <c r="U45" s="59"/>
      <c r="V45" s="59"/>
      <c r="W45" s="59"/>
      <c r="X45" s="59"/>
      <c r="Y45" s="59"/>
    </row>
    <row r="46" spans="1:30" hidden="1">
      <c r="A46" s="59">
        <v>9</v>
      </c>
      <c r="B46" s="59"/>
      <c r="C46" s="59"/>
      <c r="D46" s="59"/>
      <c r="E46" s="59"/>
      <c r="F46" s="59"/>
      <c r="G46" s="59"/>
      <c r="H46" s="59"/>
      <c r="I46" s="59"/>
      <c r="J46" s="59"/>
      <c r="K46" s="59"/>
      <c r="L46" s="59"/>
      <c r="M46" s="59"/>
      <c r="N46" s="59"/>
      <c r="O46" s="59"/>
      <c r="P46" s="59"/>
      <c r="Q46" s="59"/>
      <c r="R46" s="59"/>
      <c r="S46" s="59"/>
      <c r="T46" s="123"/>
      <c r="U46" s="59"/>
      <c r="V46" s="59"/>
      <c r="W46" s="59"/>
      <c r="X46" s="59"/>
      <c r="Y46" s="59"/>
    </row>
    <row r="47" spans="1:30" hidden="1">
      <c r="A47" s="59">
        <v>10</v>
      </c>
      <c r="B47" s="59"/>
      <c r="C47" s="59"/>
      <c r="D47" s="59"/>
      <c r="E47" s="59"/>
      <c r="F47" s="59"/>
      <c r="G47" s="59"/>
      <c r="H47" s="59"/>
      <c r="I47" s="59"/>
      <c r="J47" s="59"/>
      <c r="K47" s="59"/>
      <c r="L47" s="59"/>
      <c r="M47" s="59"/>
      <c r="N47" s="59"/>
      <c r="O47" s="59"/>
      <c r="P47" s="59"/>
      <c r="Q47" s="59"/>
      <c r="R47" s="59"/>
      <c r="S47" s="59"/>
      <c r="T47" s="123"/>
      <c r="U47" s="59"/>
      <c r="V47" s="59"/>
      <c r="W47" s="59"/>
      <c r="X47" s="59"/>
      <c r="Y47" s="59"/>
    </row>
    <row r="48" spans="1:30" hidden="1">
      <c r="A48" s="59">
        <v>11</v>
      </c>
      <c r="B48" s="59"/>
      <c r="C48" s="59"/>
      <c r="D48" s="59"/>
      <c r="E48" s="59"/>
      <c r="F48" s="59"/>
      <c r="G48" s="59"/>
      <c r="H48" s="59"/>
      <c r="I48" s="59"/>
      <c r="J48" s="59"/>
      <c r="K48" s="59"/>
      <c r="L48" s="59"/>
      <c r="M48" s="59"/>
      <c r="N48" s="59"/>
      <c r="O48" s="59"/>
      <c r="P48" s="59"/>
      <c r="Q48" s="59"/>
      <c r="R48" s="59"/>
      <c r="S48" s="59"/>
      <c r="T48" s="123"/>
      <c r="U48" s="59"/>
      <c r="V48" s="59"/>
      <c r="W48" s="59"/>
      <c r="X48" s="59"/>
      <c r="Y48" s="59"/>
    </row>
    <row r="49" spans="1:25" hidden="1">
      <c r="A49" s="59">
        <v>12</v>
      </c>
      <c r="B49" s="59"/>
      <c r="C49" s="59"/>
      <c r="D49" s="59"/>
      <c r="E49" s="59"/>
      <c r="F49" s="59"/>
      <c r="G49" s="59"/>
      <c r="H49" s="59"/>
      <c r="I49" s="59"/>
      <c r="J49" s="59"/>
      <c r="K49" s="59"/>
      <c r="L49" s="59"/>
      <c r="M49" s="59"/>
      <c r="N49" s="59"/>
      <c r="O49" s="59"/>
      <c r="P49" s="59"/>
      <c r="Q49" s="59"/>
      <c r="R49" s="59"/>
      <c r="S49" s="59"/>
      <c r="T49" s="123"/>
      <c r="U49" s="59"/>
      <c r="V49" s="59"/>
      <c r="W49" s="59"/>
      <c r="X49" s="59"/>
      <c r="Y49" s="59"/>
    </row>
    <row r="50" spans="1:25" hidden="1">
      <c r="A50" s="59">
        <v>13</v>
      </c>
      <c r="B50" s="59"/>
      <c r="C50" s="59"/>
      <c r="D50" s="59"/>
      <c r="E50" s="59"/>
      <c r="F50" s="59"/>
      <c r="G50" s="59"/>
      <c r="H50" s="59"/>
      <c r="I50" s="59"/>
      <c r="J50" s="59"/>
      <c r="K50" s="59"/>
      <c r="L50" s="59"/>
      <c r="M50" s="59"/>
      <c r="N50" s="59"/>
      <c r="O50" s="59"/>
      <c r="P50" s="59"/>
      <c r="Q50" s="59"/>
      <c r="R50" s="59"/>
      <c r="S50" s="59"/>
      <c r="T50" s="123"/>
      <c r="U50" s="59"/>
      <c r="V50" s="59"/>
      <c r="W50" s="59"/>
      <c r="X50" s="59"/>
      <c r="Y50" s="59"/>
    </row>
    <row r="51" spans="1:25" hidden="1">
      <c r="A51" s="59">
        <v>14</v>
      </c>
      <c r="B51" s="59"/>
      <c r="C51" s="59"/>
      <c r="D51" s="59"/>
      <c r="E51" s="59"/>
      <c r="F51" s="59"/>
      <c r="G51" s="59"/>
      <c r="H51" s="59"/>
      <c r="I51" s="59"/>
      <c r="J51" s="59"/>
      <c r="K51" s="59"/>
      <c r="L51" s="59"/>
      <c r="M51" s="59"/>
      <c r="N51" s="59"/>
      <c r="O51" s="59"/>
      <c r="P51" s="59"/>
      <c r="Q51" s="59"/>
      <c r="R51" s="59"/>
      <c r="S51" s="59"/>
      <c r="T51" s="123"/>
      <c r="U51" s="59"/>
      <c r="V51" s="59"/>
      <c r="W51" s="59"/>
      <c r="X51" s="59"/>
      <c r="Y51" s="59"/>
    </row>
    <row r="52" spans="1:25" hidden="1">
      <c r="A52" s="59">
        <v>15</v>
      </c>
      <c r="B52" s="59"/>
      <c r="C52" s="59"/>
      <c r="D52" s="59"/>
      <c r="E52" s="59"/>
      <c r="F52" s="59"/>
      <c r="G52" s="59"/>
      <c r="H52" s="59"/>
      <c r="I52" s="59"/>
      <c r="J52" s="59"/>
      <c r="K52" s="59"/>
      <c r="L52" s="59"/>
      <c r="M52" s="59"/>
      <c r="N52" s="59"/>
      <c r="O52" s="59"/>
      <c r="P52" s="59"/>
      <c r="Q52" s="59"/>
      <c r="R52" s="59"/>
      <c r="S52" s="59"/>
      <c r="T52" s="123"/>
      <c r="U52" s="59"/>
      <c r="V52" s="59"/>
      <c r="W52" s="59"/>
      <c r="X52" s="59"/>
      <c r="Y52" s="59"/>
    </row>
    <row r="53" spans="1:25" hidden="1">
      <c r="A53" s="59">
        <v>16</v>
      </c>
      <c r="B53" s="59"/>
      <c r="C53" s="59"/>
      <c r="D53" s="59"/>
      <c r="E53" s="59"/>
      <c r="F53" s="59"/>
      <c r="G53" s="59"/>
      <c r="H53" s="59"/>
      <c r="I53" s="59"/>
      <c r="J53" s="59"/>
      <c r="K53" s="59"/>
      <c r="L53" s="59"/>
      <c r="M53" s="59"/>
      <c r="N53" s="59"/>
      <c r="O53" s="59"/>
      <c r="P53" s="59"/>
      <c r="Q53" s="59"/>
      <c r="R53" s="59"/>
      <c r="S53" s="59"/>
      <c r="T53" s="123"/>
      <c r="U53" s="59"/>
      <c r="V53" s="59"/>
      <c r="W53" s="59"/>
      <c r="X53" s="59"/>
      <c r="Y53" s="59"/>
    </row>
    <row r="54" spans="1:25" hidden="1">
      <c r="A54" s="59">
        <v>17</v>
      </c>
      <c r="B54" s="59"/>
      <c r="C54" s="59"/>
      <c r="D54" s="59"/>
      <c r="E54" s="59"/>
      <c r="F54" s="59"/>
      <c r="G54" s="59"/>
      <c r="H54" s="59"/>
      <c r="I54" s="59"/>
      <c r="J54" s="59"/>
      <c r="K54" s="59"/>
      <c r="L54" s="59"/>
      <c r="M54" s="59"/>
      <c r="N54" s="59"/>
      <c r="O54" s="59"/>
      <c r="P54" s="59"/>
      <c r="Q54" s="59"/>
      <c r="R54" s="59"/>
      <c r="S54" s="59"/>
      <c r="T54" s="123"/>
      <c r="U54" s="59"/>
      <c r="V54" s="59"/>
      <c r="W54" s="59"/>
      <c r="X54" s="59"/>
      <c r="Y54" s="59"/>
    </row>
    <row r="55" spans="1:25" hidden="1">
      <c r="A55" s="59">
        <v>18</v>
      </c>
      <c r="B55" s="59"/>
      <c r="C55" s="59"/>
      <c r="D55" s="59"/>
      <c r="E55" s="59"/>
      <c r="F55" s="59"/>
      <c r="G55" s="59"/>
      <c r="H55" s="59"/>
      <c r="I55" s="59"/>
      <c r="J55" s="59"/>
      <c r="K55" s="59"/>
      <c r="L55" s="59"/>
      <c r="M55" s="59"/>
      <c r="N55" s="59"/>
      <c r="O55" s="59"/>
      <c r="P55" s="59"/>
      <c r="Q55" s="59"/>
      <c r="R55" s="59"/>
      <c r="S55" s="59"/>
      <c r="T55" s="123"/>
      <c r="U55" s="59"/>
      <c r="V55" s="59"/>
      <c r="W55" s="59"/>
      <c r="X55" s="59"/>
      <c r="Y55" s="59"/>
    </row>
    <row r="56" spans="1:25" hidden="1">
      <c r="A56" s="59">
        <v>19</v>
      </c>
      <c r="B56" s="59"/>
      <c r="C56" s="59"/>
      <c r="D56" s="59"/>
      <c r="E56" s="59"/>
      <c r="F56" s="59"/>
      <c r="G56" s="59"/>
      <c r="H56" s="59"/>
      <c r="I56" s="59"/>
      <c r="J56" s="59"/>
      <c r="K56" s="59"/>
      <c r="L56" s="59"/>
      <c r="M56" s="59"/>
      <c r="N56" s="59"/>
      <c r="O56" s="59"/>
      <c r="P56" s="59"/>
      <c r="Q56" s="59"/>
      <c r="R56" s="59"/>
      <c r="S56" s="59"/>
      <c r="T56" s="123"/>
      <c r="U56" s="59"/>
      <c r="V56" s="59"/>
      <c r="W56" s="59"/>
      <c r="X56" s="59"/>
      <c r="Y56" s="59"/>
    </row>
    <row r="57" spans="1:25" hidden="1">
      <c r="A57" s="59">
        <v>20</v>
      </c>
      <c r="B57" s="59"/>
      <c r="C57" s="59"/>
      <c r="D57" s="59"/>
      <c r="E57" s="59"/>
      <c r="F57" s="59"/>
      <c r="G57" s="59"/>
      <c r="H57" s="59"/>
      <c r="I57" s="59"/>
      <c r="J57" s="59"/>
      <c r="K57" s="59"/>
      <c r="L57" s="59"/>
      <c r="M57" s="59"/>
      <c r="N57" s="59"/>
      <c r="O57" s="59"/>
      <c r="P57" s="59"/>
      <c r="Q57" s="59"/>
      <c r="R57" s="59"/>
      <c r="S57" s="59"/>
      <c r="T57" s="123"/>
      <c r="U57" s="59"/>
      <c r="V57" s="59"/>
      <c r="W57" s="59"/>
      <c r="X57" s="59"/>
      <c r="Y57" s="59"/>
    </row>
    <row r="58" spans="1:25" hidden="1">
      <c r="A58" s="59">
        <v>21</v>
      </c>
      <c r="B58" s="59"/>
      <c r="C58" s="59"/>
      <c r="D58" s="59"/>
      <c r="E58" s="59"/>
      <c r="F58" s="59"/>
      <c r="G58" s="59"/>
      <c r="H58" s="59"/>
      <c r="I58" s="59"/>
      <c r="J58" s="59"/>
      <c r="K58" s="59"/>
      <c r="L58" s="59"/>
      <c r="M58" s="59"/>
      <c r="N58" s="59"/>
      <c r="O58" s="59"/>
      <c r="P58" s="59"/>
      <c r="Q58" s="59"/>
      <c r="R58" s="59"/>
      <c r="S58" s="59"/>
      <c r="T58" s="123"/>
      <c r="U58" s="59"/>
      <c r="V58" s="59"/>
      <c r="W58" s="59"/>
      <c r="X58" s="59"/>
      <c r="Y58" s="59"/>
    </row>
    <row r="59" spans="1:25" hidden="1">
      <c r="A59" s="59">
        <v>22</v>
      </c>
      <c r="B59" s="59"/>
      <c r="C59" s="59"/>
      <c r="D59" s="59"/>
      <c r="E59" s="59"/>
      <c r="F59" s="59"/>
      <c r="G59" s="59"/>
      <c r="H59" s="59"/>
      <c r="I59" s="59"/>
      <c r="J59" s="59"/>
      <c r="K59" s="59"/>
      <c r="L59" s="59"/>
      <c r="M59" s="59"/>
      <c r="N59" s="59"/>
      <c r="O59" s="59"/>
      <c r="P59" s="59"/>
      <c r="Q59" s="59"/>
      <c r="R59" s="59"/>
      <c r="S59" s="59"/>
      <c r="T59" s="123"/>
      <c r="U59" s="59"/>
      <c r="V59" s="59"/>
      <c r="W59" s="59"/>
      <c r="X59" s="59"/>
      <c r="Y59" s="59"/>
    </row>
    <row r="60" spans="1:25" hidden="1">
      <c r="A60" s="59">
        <v>23</v>
      </c>
      <c r="B60" s="59"/>
      <c r="C60" s="59"/>
      <c r="D60" s="59"/>
      <c r="E60" s="59"/>
      <c r="F60" s="59"/>
      <c r="G60" s="59"/>
      <c r="H60" s="59"/>
      <c r="I60" s="59"/>
      <c r="J60" s="59"/>
      <c r="K60" s="59"/>
      <c r="L60" s="59"/>
      <c r="M60" s="59"/>
      <c r="N60" s="59"/>
      <c r="O60" s="59"/>
      <c r="P60" s="59"/>
      <c r="Q60" s="59"/>
      <c r="R60" s="59"/>
      <c r="S60" s="59"/>
      <c r="T60" s="123"/>
      <c r="U60" s="59"/>
      <c r="V60" s="59"/>
      <c r="W60" s="59"/>
      <c r="X60" s="59"/>
      <c r="Y60" s="59"/>
    </row>
    <row r="61" spans="1:25" hidden="1">
      <c r="A61" s="59">
        <v>24</v>
      </c>
      <c r="B61" s="59"/>
      <c r="C61" s="59"/>
      <c r="D61" s="59"/>
      <c r="E61" s="59"/>
      <c r="F61" s="59"/>
      <c r="G61" s="59"/>
      <c r="H61" s="59"/>
      <c r="I61" s="59"/>
      <c r="J61" s="59"/>
      <c r="K61" s="59"/>
      <c r="L61" s="59"/>
      <c r="M61" s="59"/>
      <c r="N61" s="59"/>
      <c r="O61" s="59"/>
      <c r="P61" s="59"/>
      <c r="Q61" s="59"/>
      <c r="R61" s="59"/>
      <c r="S61" s="59"/>
      <c r="T61" s="123"/>
      <c r="U61" s="59"/>
      <c r="V61" s="59"/>
      <c r="W61" s="59"/>
      <c r="X61" s="59"/>
      <c r="Y61" s="59"/>
    </row>
    <row r="62" spans="1:25" hidden="1">
      <c r="A62" s="59">
        <v>25</v>
      </c>
      <c r="B62" s="59"/>
      <c r="C62" s="59"/>
      <c r="D62" s="59"/>
      <c r="E62" s="59"/>
      <c r="F62" s="59"/>
      <c r="G62" s="59"/>
      <c r="H62" s="59"/>
      <c r="I62" s="59"/>
      <c r="J62" s="59"/>
      <c r="K62" s="59"/>
      <c r="L62" s="59"/>
      <c r="M62" s="59"/>
      <c r="N62" s="59"/>
      <c r="O62" s="59"/>
      <c r="P62" s="59"/>
      <c r="Q62" s="59"/>
      <c r="R62" s="59"/>
      <c r="S62" s="59"/>
      <c r="T62" s="123"/>
      <c r="U62" s="59"/>
      <c r="V62" s="59"/>
      <c r="W62" s="59"/>
      <c r="X62" s="59"/>
      <c r="Y62" s="59"/>
    </row>
    <row r="63" spans="1:25" hidden="1">
      <c r="A63" s="59">
        <v>26</v>
      </c>
      <c r="B63" s="59"/>
      <c r="C63" s="59"/>
      <c r="D63" s="59"/>
      <c r="E63" s="59"/>
      <c r="F63" s="59"/>
      <c r="G63" s="59"/>
      <c r="H63" s="59"/>
      <c r="I63" s="59"/>
      <c r="J63" s="59"/>
      <c r="K63" s="59"/>
      <c r="L63" s="59"/>
      <c r="M63" s="59"/>
      <c r="N63" s="59"/>
      <c r="O63" s="59"/>
      <c r="P63" s="59"/>
      <c r="Q63" s="59"/>
      <c r="R63" s="59"/>
      <c r="S63" s="59"/>
      <c r="T63" s="123"/>
      <c r="U63" s="59"/>
      <c r="V63" s="59"/>
      <c r="W63" s="59"/>
      <c r="X63" s="59"/>
      <c r="Y63" s="59"/>
    </row>
    <row r="64" spans="1:25" hidden="1">
      <c r="A64" s="59">
        <v>27</v>
      </c>
      <c r="B64" s="59"/>
      <c r="C64" s="59"/>
      <c r="D64" s="59"/>
      <c r="E64" s="59"/>
      <c r="F64" s="59"/>
      <c r="G64" s="59"/>
      <c r="H64" s="59"/>
      <c r="I64" s="59"/>
      <c r="J64" s="59"/>
      <c r="K64" s="59"/>
      <c r="L64" s="59"/>
      <c r="M64" s="59"/>
      <c r="N64" s="59"/>
      <c r="O64" s="59"/>
      <c r="P64" s="59"/>
      <c r="Q64" s="59"/>
      <c r="R64" s="59"/>
      <c r="S64" s="59"/>
      <c r="T64" s="123"/>
      <c r="U64" s="59"/>
      <c r="V64" s="59"/>
      <c r="W64" s="59"/>
      <c r="X64" s="59"/>
      <c r="Y64" s="59"/>
    </row>
    <row r="65" spans="1:30" hidden="1">
      <c r="A65" s="59">
        <v>28</v>
      </c>
      <c r="B65" s="59"/>
      <c r="C65" s="59"/>
      <c r="D65" s="59"/>
      <c r="E65" s="59"/>
      <c r="F65" s="59"/>
      <c r="G65" s="59"/>
      <c r="H65" s="59"/>
      <c r="I65" s="59"/>
      <c r="J65" s="59"/>
      <c r="K65" s="59"/>
      <c r="L65" s="59"/>
      <c r="M65" s="59"/>
      <c r="N65" s="59"/>
      <c r="O65" s="59"/>
      <c r="P65" s="59"/>
      <c r="Q65" s="59"/>
      <c r="R65" s="59"/>
      <c r="S65" s="59"/>
      <c r="T65" s="123"/>
      <c r="U65" s="59"/>
      <c r="V65" s="59"/>
      <c r="W65" s="59"/>
      <c r="X65" s="59"/>
      <c r="Y65" s="59"/>
    </row>
    <row r="66" spans="1:30" hidden="1">
      <c r="A66" s="59">
        <v>29</v>
      </c>
      <c r="B66" s="59"/>
      <c r="C66" s="59"/>
      <c r="D66" s="59"/>
      <c r="E66" s="59"/>
      <c r="F66" s="59"/>
      <c r="G66" s="59"/>
      <c r="H66" s="59"/>
      <c r="I66" s="59"/>
      <c r="J66" s="59"/>
      <c r="K66" s="59"/>
      <c r="L66" s="59"/>
      <c r="M66" s="59"/>
      <c r="N66" s="59"/>
      <c r="O66" s="59"/>
      <c r="P66" s="59"/>
      <c r="Q66" s="59"/>
      <c r="R66" s="59"/>
      <c r="S66" s="59"/>
      <c r="T66" s="123"/>
      <c r="U66" s="59"/>
      <c r="V66" s="59"/>
      <c r="W66" s="59"/>
      <c r="X66" s="59"/>
      <c r="Y66" s="59"/>
    </row>
    <row r="67" spans="1:30" hidden="1">
      <c r="A67" s="59">
        <v>30</v>
      </c>
      <c r="B67" s="59"/>
      <c r="C67" s="59"/>
      <c r="D67" s="59"/>
      <c r="E67" s="59"/>
      <c r="F67" s="59"/>
      <c r="G67" s="59"/>
      <c r="H67" s="59"/>
      <c r="I67" s="59"/>
      <c r="J67" s="59"/>
      <c r="K67" s="59"/>
      <c r="L67" s="59"/>
      <c r="M67" s="59"/>
      <c r="N67" s="59"/>
      <c r="O67" s="59"/>
      <c r="P67" s="59"/>
      <c r="Q67" s="59"/>
      <c r="R67" s="59"/>
      <c r="S67" s="59"/>
      <c r="T67" s="123"/>
      <c r="U67" s="59"/>
      <c r="V67" s="59"/>
      <c r="W67" s="59"/>
      <c r="X67" s="59"/>
      <c r="Y67" s="59"/>
    </row>
    <row r="68" spans="1:30" hidden="1">
      <c r="A68" s="59">
        <v>31</v>
      </c>
      <c r="B68" s="59"/>
      <c r="C68" s="59"/>
      <c r="D68" s="59"/>
      <c r="E68" s="59"/>
      <c r="F68" s="59"/>
      <c r="G68" s="59"/>
      <c r="H68" s="59"/>
      <c r="I68" s="59"/>
      <c r="J68" s="59"/>
      <c r="K68" s="59"/>
      <c r="L68" s="59"/>
      <c r="M68" s="59"/>
      <c r="N68" s="59"/>
      <c r="O68" s="59"/>
      <c r="P68" s="59"/>
      <c r="Q68" s="59"/>
      <c r="R68" s="59"/>
      <c r="S68" s="59"/>
      <c r="T68" s="123"/>
      <c r="U68" s="59"/>
      <c r="V68" s="59"/>
      <c r="W68" s="59"/>
      <c r="X68" s="59"/>
      <c r="Y68" s="59"/>
    </row>
    <row r="69" spans="1:30" hidden="1">
      <c r="A69" s="59">
        <v>32</v>
      </c>
      <c r="B69" s="59"/>
      <c r="C69" s="59"/>
      <c r="D69" s="59"/>
      <c r="E69" s="59"/>
      <c r="F69" s="59"/>
      <c r="G69" s="59"/>
      <c r="H69" s="59"/>
      <c r="I69" s="59"/>
      <c r="J69" s="59"/>
      <c r="K69" s="59"/>
      <c r="L69" s="59"/>
      <c r="M69" s="59"/>
      <c r="N69" s="59"/>
      <c r="O69" s="59"/>
      <c r="P69" s="59"/>
      <c r="Q69" s="59"/>
      <c r="R69" s="59"/>
      <c r="S69" s="59"/>
      <c r="T69" s="123"/>
      <c r="U69" s="59"/>
      <c r="V69" s="59"/>
      <c r="W69" s="59"/>
      <c r="X69" s="59"/>
      <c r="Y69" s="59"/>
    </row>
    <row r="70" spans="1:30" hidden="1">
      <c r="A70" s="59">
        <v>33</v>
      </c>
      <c r="B70" s="59"/>
      <c r="C70" s="59"/>
      <c r="D70" s="59"/>
      <c r="E70" s="59"/>
      <c r="F70" s="59"/>
      <c r="G70" s="59"/>
      <c r="H70" s="59"/>
      <c r="I70" s="59"/>
      <c r="J70" s="59"/>
      <c r="K70" s="59"/>
      <c r="L70" s="59"/>
      <c r="M70" s="59"/>
      <c r="N70" s="59"/>
      <c r="O70" s="59"/>
      <c r="P70" s="59"/>
      <c r="Q70" s="59"/>
      <c r="R70" s="59"/>
      <c r="S70" s="59"/>
      <c r="T70" s="59"/>
      <c r="U70" s="59"/>
      <c r="V70" s="59"/>
      <c r="W70" s="59"/>
      <c r="X70" s="59"/>
      <c r="Y70" s="59"/>
      <c r="Z70" s="59"/>
      <c r="AA70" s="59"/>
      <c r="AB70" s="59"/>
      <c r="AC70" s="59"/>
      <c r="AD70" s="59"/>
    </row>
    <row r="71" spans="1:30" hidden="1">
      <c r="A71" s="59">
        <v>34</v>
      </c>
      <c r="B71" s="59"/>
      <c r="C71" s="59"/>
      <c r="D71" s="59"/>
      <c r="E71" s="59"/>
      <c r="F71" s="59"/>
      <c r="G71" s="59"/>
      <c r="H71" s="59"/>
      <c r="I71" s="59"/>
      <c r="J71" s="59"/>
      <c r="K71" s="59"/>
      <c r="L71" s="59"/>
      <c r="M71" s="59"/>
      <c r="N71" s="59"/>
      <c r="O71" s="59"/>
      <c r="P71" s="59"/>
      <c r="Q71" s="59"/>
      <c r="R71" s="59"/>
      <c r="S71" s="59"/>
      <c r="T71" s="123"/>
      <c r="U71" s="59"/>
      <c r="V71" s="59"/>
      <c r="W71" s="59"/>
      <c r="X71" s="59"/>
      <c r="Y71" s="59"/>
    </row>
    <row r="72" spans="1:30" hidden="1">
      <c r="A72" s="59">
        <v>35</v>
      </c>
      <c r="B72" s="59"/>
      <c r="C72" s="59"/>
      <c r="D72" s="59"/>
      <c r="E72" s="59"/>
      <c r="F72" s="59"/>
      <c r="G72" s="59"/>
      <c r="H72" s="59"/>
      <c r="I72" s="59"/>
      <c r="J72" s="59"/>
      <c r="K72" s="59"/>
      <c r="L72" s="59"/>
      <c r="M72" s="59"/>
      <c r="N72" s="59"/>
      <c r="O72" s="59"/>
      <c r="P72" s="59"/>
      <c r="Q72" s="59"/>
      <c r="R72" s="59"/>
      <c r="S72" s="59"/>
      <c r="T72" s="123"/>
      <c r="U72" s="59"/>
      <c r="V72" s="59"/>
      <c r="W72" s="59"/>
      <c r="X72" s="59"/>
      <c r="Y72" s="59"/>
    </row>
    <row r="73" spans="1:30" hidden="1">
      <c r="A73" s="59">
        <v>36</v>
      </c>
      <c r="B73" s="59"/>
      <c r="C73" s="59"/>
      <c r="D73" s="59"/>
      <c r="E73" s="59"/>
      <c r="F73" s="59"/>
      <c r="G73" s="59"/>
      <c r="H73" s="59"/>
      <c r="I73" s="59"/>
      <c r="J73" s="59"/>
      <c r="K73" s="59"/>
      <c r="L73" s="59"/>
      <c r="M73" s="59"/>
      <c r="N73" s="59"/>
      <c r="O73" s="59"/>
      <c r="P73" s="59"/>
      <c r="Q73" s="59"/>
      <c r="R73" s="59"/>
      <c r="S73" s="59"/>
      <c r="T73" s="123"/>
      <c r="U73" s="59"/>
      <c r="V73" s="59"/>
      <c r="W73" s="59"/>
      <c r="X73" s="59"/>
      <c r="Y73" s="59"/>
    </row>
    <row r="74" spans="1:30" hidden="1">
      <c r="A74" s="59">
        <v>37</v>
      </c>
      <c r="B74" s="59"/>
      <c r="C74" s="59"/>
      <c r="D74" s="59"/>
      <c r="E74" s="59"/>
      <c r="F74" s="59"/>
      <c r="G74" s="59"/>
      <c r="H74" s="59"/>
      <c r="I74" s="59"/>
      <c r="J74" s="59"/>
      <c r="K74" s="59"/>
      <c r="L74" s="59"/>
      <c r="M74" s="59"/>
      <c r="N74" s="59"/>
      <c r="O74" s="59"/>
      <c r="P74" s="59"/>
      <c r="Q74" s="59"/>
      <c r="R74" s="59"/>
      <c r="S74" s="59"/>
      <c r="T74" s="123"/>
      <c r="U74" s="59"/>
      <c r="V74" s="59"/>
      <c r="W74" s="59"/>
      <c r="X74" s="59"/>
      <c r="Y74" s="59"/>
    </row>
    <row r="75" spans="1:30" hidden="1">
      <c r="A75" s="59">
        <v>38</v>
      </c>
      <c r="B75" s="59"/>
      <c r="C75" s="59"/>
      <c r="D75" s="59"/>
      <c r="E75" s="59"/>
      <c r="F75" s="59"/>
      <c r="G75" s="59"/>
      <c r="H75" s="59"/>
      <c r="I75" s="59"/>
      <c r="J75" s="59"/>
      <c r="K75" s="59"/>
      <c r="L75" s="59"/>
      <c r="M75" s="59"/>
      <c r="N75" s="59"/>
      <c r="O75" s="59"/>
      <c r="P75" s="59"/>
      <c r="Q75" s="59"/>
      <c r="R75" s="59"/>
      <c r="S75" s="59"/>
      <c r="T75" s="123"/>
      <c r="U75" s="59"/>
      <c r="V75" s="59"/>
      <c r="W75" s="59"/>
      <c r="X75" s="59"/>
      <c r="Y75" s="59"/>
    </row>
    <row r="76" spans="1:30" hidden="1">
      <c r="A76" s="59">
        <v>39</v>
      </c>
      <c r="B76" s="59"/>
      <c r="C76" s="59"/>
      <c r="D76" s="59"/>
      <c r="E76" s="59"/>
      <c r="F76" s="59"/>
      <c r="G76" s="59"/>
      <c r="H76" s="59"/>
      <c r="I76" s="59"/>
      <c r="J76" s="59"/>
      <c r="K76" s="59"/>
      <c r="L76" s="59"/>
      <c r="M76" s="59"/>
      <c r="N76" s="59"/>
      <c r="O76" s="59"/>
      <c r="P76" s="59"/>
      <c r="Q76" s="59"/>
      <c r="R76" s="59"/>
      <c r="S76" s="59"/>
      <c r="T76" s="123"/>
      <c r="U76" s="59"/>
      <c r="V76" s="59"/>
      <c r="W76" s="59"/>
      <c r="X76" s="59"/>
      <c r="Y76" s="59"/>
    </row>
    <row r="77" spans="1:30" hidden="1">
      <c r="A77" s="59">
        <v>40</v>
      </c>
      <c r="B77" s="59"/>
      <c r="C77" s="59"/>
      <c r="D77" s="59"/>
      <c r="E77" s="59"/>
      <c r="F77" s="59"/>
      <c r="G77" s="59"/>
      <c r="H77" s="59"/>
      <c r="I77" s="59"/>
      <c r="J77" s="59"/>
      <c r="K77" s="59"/>
      <c r="L77" s="59"/>
      <c r="M77" s="59"/>
      <c r="N77" s="59"/>
      <c r="O77" s="59"/>
      <c r="P77" s="59"/>
      <c r="Q77" s="59"/>
      <c r="R77" s="59"/>
      <c r="S77" s="59"/>
      <c r="T77" s="123"/>
      <c r="U77" s="59"/>
      <c r="V77" s="59"/>
      <c r="W77" s="59"/>
      <c r="X77" s="59"/>
      <c r="Y77" s="59"/>
    </row>
  </sheetData>
  <sheetProtection algorithmName="SHA-512" hashValue="DW4tMYobZWvCSHb3MtH9Is6cHDwqibfSAhd63z+eAjJ37i56nBVygPmYWctt24IqX0bLlXe1UmA4iPrd8eZSGg==" saltValue="/KfdNS1G4lZrEVFeGnxsJg==" spinCount="100000" sheet="1" selectLockedCells="1"/>
  <protectedRanges>
    <protectedRange sqref="R7:T8 P8:Q9 T31 J8:M8 N7:N8 O7:Q7 T15:T16 E7:M7 P16 T13 T19 T9 C7:D10" name="Range1"/>
    <protectedRange sqref="T23:T26" name="Range3"/>
    <protectedRange sqref="H31:O31 T28:T30" name="Range5"/>
    <protectedRange sqref="K20" name="Range7"/>
    <protectedRange sqref="K35" name="Range8"/>
    <protectedRange sqref="P31" name="Range5_4"/>
    <protectedRange sqref="Q22:S30" name="Range5_1"/>
    <protectedRange sqref="N22:P30" name="Range5_2"/>
  </protectedRanges>
  <mergeCells count="56">
    <mergeCell ref="B10:S10"/>
    <mergeCell ref="B4:T4"/>
    <mergeCell ref="V5:X5"/>
    <mergeCell ref="B7:O7"/>
    <mergeCell ref="K8:M8"/>
    <mergeCell ref="Q8:S8"/>
    <mergeCell ref="C22:J22"/>
    <mergeCell ref="K22:M22"/>
    <mergeCell ref="N22:P22"/>
    <mergeCell ref="Q22:S22"/>
    <mergeCell ref="B13:G13"/>
    <mergeCell ref="Q13:S13"/>
    <mergeCell ref="B15:N15"/>
    <mergeCell ref="K16:M16"/>
    <mergeCell ref="Q16:S16"/>
    <mergeCell ref="B18:H18"/>
    <mergeCell ref="Q19:S19"/>
    <mergeCell ref="C21:J21"/>
    <mergeCell ref="K21:M21"/>
    <mergeCell ref="N21:P21"/>
    <mergeCell ref="Q21:S21"/>
    <mergeCell ref="C23:J23"/>
    <mergeCell ref="K23:M23"/>
    <mergeCell ref="N23:P23"/>
    <mergeCell ref="Q23:S23"/>
    <mergeCell ref="C24:J24"/>
    <mergeCell ref="K24:M24"/>
    <mergeCell ref="N24:P24"/>
    <mergeCell ref="Q24:S24"/>
    <mergeCell ref="C25:J25"/>
    <mergeCell ref="K25:M25"/>
    <mergeCell ref="N25:P25"/>
    <mergeCell ref="Q25:S25"/>
    <mergeCell ref="C26:J26"/>
    <mergeCell ref="K26:M26"/>
    <mergeCell ref="N26:P26"/>
    <mergeCell ref="Q26:S26"/>
    <mergeCell ref="C27:J27"/>
    <mergeCell ref="K27:M27"/>
    <mergeCell ref="N27:P27"/>
    <mergeCell ref="Q27:S27"/>
    <mergeCell ref="C28:J28"/>
    <mergeCell ref="K28:M28"/>
    <mergeCell ref="N28:P28"/>
    <mergeCell ref="Q28:S28"/>
    <mergeCell ref="Q31:S31"/>
    <mergeCell ref="B33:G33"/>
    <mergeCell ref="Q34:S34"/>
    <mergeCell ref="C29:J29"/>
    <mergeCell ref="K29:M29"/>
    <mergeCell ref="N29:P29"/>
    <mergeCell ref="Q29:S29"/>
    <mergeCell ref="C30:J30"/>
    <mergeCell ref="K30:M30"/>
    <mergeCell ref="N30:P30"/>
    <mergeCell ref="Q30:S30"/>
  </mergeCells>
  <dataValidations count="2">
    <dataValidation type="list" allowBlank="1" showInputMessage="1" showErrorMessage="1" sqref="AE36:IV70 KA36:SR70 TW36:ACN70 ADS36:AMJ70 ANO36:AWF70 AXK36:BGB70 BHG36:BPX70 BRC36:BZT70 CAY36:CJP70 CKU36:CTL70 CUQ36:DDH70 DEM36:DND70 DOI36:DWZ70 DYE36:EGV70 EIA36:EQR70 ERW36:FAN70 FBS36:FKJ70 FLO36:FUF70 FVK36:GEB70 GFG36:GNX70 GPC36:GXT70 GYY36:HHP70 HIU36:HRL70 HSQ36:IBH70 ICM36:ILD70 IMI36:IUZ70 IWE36:JEV70 JGA36:JOR70 JPW36:JYN70 JZS36:KIJ70 KJO36:KSF70 KTK36:LCB70 LDG36:LLX70 LNC36:LVT70 LWY36:MFP70 MGU36:MPL70 MQQ36:MZH70 NAM36:NJD70 NKI36:NSZ70 NUE36:OCV70 OEA36:OMR70 ONW36:OWN70 OXS36:PGJ70 PHO36:PQF70 PRK36:QAB70 QBG36:QJX70 QLC36:QTT70 QUY36:RDP70 REU36:RNL70 ROQ36:RXH70 RYM36:SHD70 SII36:SQZ70 SSE36:TAV70 TCA36:TKR70 TLW36:TUN70 TVS36:UEJ70 UFO36:UOF70 UPK36:UYB70 UZG36:VHX70 VJC36:VRT70 VSY36:WBP70 WCU36:WLL70 WMQ36:WVH70 WWM36:XFD70 AE65572:IV65606 KA65572:SR65606 TW65572:ACN65606 ADS65572:AMJ65606 ANO65572:AWF65606 AXK65572:BGB65606 BHG65572:BPX65606 BRC65572:BZT65606 CAY65572:CJP65606 CKU65572:CTL65606 CUQ65572:DDH65606 DEM65572:DND65606 DOI65572:DWZ65606 DYE65572:EGV65606 EIA65572:EQR65606 ERW65572:FAN65606 FBS65572:FKJ65606 FLO65572:FUF65606 FVK65572:GEB65606 GFG65572:GNX65606 GPC65572:GXT65606 GYY65572:HHP65606 HIU65572:HRL65606 HSQ65572:IBH65606 ICM65572:ILD65606 IMI65572:IUZ65606 IWE65572:JEV65606 JGA65572:JOR65606 JPW65572:JYN65606 JZS65572:KIJ65606 KJO65572:KSF65606 KTK65572:LCB65606 LDG65572:LLX65606 LNC65572:LVT65606 LWY65572:MFP65606 MGU65572:MPL65606 MQQ65572:MZH65606 NAM65572:NJD65606 NKI65572:NSZ65606 NUE65572:OCV65606 OEA65572:OMR65606 ONW65572:OWN65606 OXS65572:PGJ65606 PHO65572:PQF65606 PRK65572:QAB65606 QBG65572:QJX65606 QLC65572:QTT65606 QUY65572:RDP65606 REU65572:RNL65606 ROQ65572:RXH65606 RYM65572:SHD65606 SII65572:SQZ65606 SSE65572:TAV65606 TCA65572:TKR65606 TLW65572:TUN65606 TVS65572:UEJ65606 UFO65572:UOF65606 UPK65572:UYB65606 UZG65572:VHX65606 VJC65572:VRT65606 VSY65572:WBP65606 WCU65572:WLL65606 WMQ65572:WVH65606 WWM65572:XFD65606 AE131108:IV131142 KA131108:SR131142 TW131108:ACN131142 ADS131108:AMJ131142 ANO131108:AWF131142 AXK131108:BGB131142 BHG131108:BPX131142 BRC131108:BZT131142 CAY131108:CJP131142 CKU131108:CTL131142 CUQ131108:DDH131142 DEM131108:DND131142 DOI131108:DWZ131142 DYE131108:EGV131142 EIA131108:EQR131142 ERW131108:FAN131142 FBS131108:FKJ131142 FLO131108:FUF131142 FVK131108:GEB131142 GFG131108:GNX131142 GPC131108:GXT131142 GYY131108:HHP131142 HIU131108:HRL131142 HSQ131108:IBH131142 ICM131108:ILD131142 IMI131108:IUZ131142 IWE131108:JEV131142 JGA131108:JOR131142 JPW131108:JYN131142 JZS131108:KIJ131142 KJO131108:KSF131142 KTK131108:LCB131142 LDG131108:LLX131142 LNC131108:LVT131142 LWY131108:MFP131142 MGU131108:MPL131142 MQQ131108:MZH131142 NAM131108:NJD131142 NKI131108:NSZ131142 NUE131108:OCV131142 OEA131108:OMR131142 ONW131108:OWN131142 OXS131108:PGJ131142 PHO131108:PQF131142 PRK131108:QAB131142 QBG131108:QJX131142 QLC131108:QTT131142 QUY131108:RDP131142 REU131108:RNL131142 ROQ131108:RXH131142 RYM131108:SHD131142 SII131108:SQZ131142 SSE131108:TAV131142 TCA131108:TKR131142 TLW131108:TUN131142 TVS131108:UEJ131142 UFO131108:UOF131142 UPK131108:UYB131142 UZG131108:VHX131142 VJC131108:VRT131142 VSY131108:WBP131142 WCU131108:WLL131142 WMQ131108:WVH131142 WWM131108:XFD131142 AE196644:IV196678 KA196644:SR196678 TW196644:ACN196678 ADS196644:AMJ196678 ANO196644:AWF196678 AXK196644:BGB196678 BHG196644:BPX196678 BRC196644:BZT196678 CAY196644:CJP196678 CKU196644:CTL196678 CUQ196644:DDH196678 DEM196644:DND196678 DOI196644:DWZ196678 DYE196644:EGV196678 EIA196644:EQR196678 ERW196644:FAN196678 FBS196644:FKJ196678 FLO196644:FUF196678 FVK196644:GEB196678 GFG196644:GNX196678 GPC196644:GXT196678 GYY196644:HHP196678 HIU196644:HRL196678 HSQ196644:IBH196678 ICM196644:ILD196678 IMI196644:IUZ196678 IWE196644:JEV196678 JGA196644:JOR196678 JPW196644:JYN196678 JZS196644:KIJ196678 KJO196644:KSF196678 KTK196644:LCB196678 LDG196644:LLX196678 LNC196644:LVT196678 LWY196644:MFP196678 MGU196644:MPL196678 MQQ196644:MZH196678 NAM196644:NJD196678 NKI196644:NSZ196678 NUE196644:OCV196678 OEA196644:OMR196678 ONW196644:OWN196678 OXS196644:PGJ196678 PHO196644:PQF196678 PRK196644:QAB196678 QBG196644:QJX196678 QLC196644:QTT196678 QUY196644:RDP196678 REU196644:RNL196678 ROQ196644:RXH196678 RYM196644:SHD196678 SII196644:SQZ196678 SSE196644:TAV196678 TCA196644:TKR196678 TLW196644:TUN196678 TVS196644:UEJ196678 UFO196644:UOF196678 UPK196644:UYB196678 UZG196644:VHX196678 VJC196644:VRT196678 VSY196644:WBP196678 WCU196644:WLL196678 WMQ196644:WVH196678 WWM196644:XFD196678 AE262180:IV262214 KA262180:SR262214 TW262180:ACN262214 ADS262180:AMJ262214 ANO262180:AWF262214 AXK262180:BGB262214 BHG262180:BPX262214 BRC262180:BZT262214 CAY262180:CJP262214 CKU262180:CTL262214 CUQ262180:DDH262214 DEM262180:DND262214 DOI262180:DWZ262214 DYE262180:EGV262214 EIA262180:EQR262214 ERW262180:FAN262214 FBS262180:FKJ262214 FLO262180:FUF262214 FVK262180:GEB262214 GFG262180:GNX262214 GPC262180:GXT262214 GYY262180:HHP262214 HIU262180:HRL262214 HSQ262180:IBH262214 ICM262180:ILD262214 IMI262180:IUZ262214 IWE262180:JEV262214 JGA262180:JOR262214 JPW262180:JYN262214 JZS262180:KIJ262214 KJO262180:KSF262214 KTK262180:LCB262214 LDG262180:LLX262214 LNC262180:LVT262214 LWY262180:MFP262214 MGU262180:MPL262214 MQQ262180:MZH262214 NAM262180:NJD262214 NKI262180:NSZ262214 NUE262180:OCV262214 OEA262180:OMR262214 ONW262180:OWN262214 OXS262180:PGJ262214 PHO262180:PQF262214 PRK262180:QAB262214 QBG262180:QJX262214 QLC262180:QTT262214 QUY262180:RDP262214 REU262180:RNL262214 ROQ262180:RXH262214 RYM262180:SHD262214 SII262180:SQZ262214 SSE262180:TAV262214 TCA262180:TKR262214 TLW262180:TUN262214 TVS262180:UEJ262214 UFO262180:UOF262214 UPK262180:UYB262214 UZG262180:VHX262214 VJC262180:VRT262214 VSY262180:WBP262214 WCU262180:WLL262214 WMQ262180:WVH262214 WWM262180:XFD262214 AE327716:IV327750 KA327716:SR327750 TW327716:ACN327750 ADS327716:AMJ327750 ANO327716:AWF327750 AXK327716:BGB327750 BHG327716:BPX327750 BRC327716:BZT327750 CAY327716:CJP327750 CKU327716:CTL327750 CUQ327716:DDH327750 DEM327716:DND327750 DOI327716:DWZ327750 DYE327716:EGV327750 EIA327716:EQR327750 ERW327716:FAN327750 FBS327716:FKJ327750 FLO327716:FUF327750 FVK327716:GEB327750 GFG327716:GNX327750 GPC327716:GXT327750 GYY327716:HHP327750 HIU327716:HRL327750 HSQ327716:IBH327750 ICM327716:ILD327750 IMI327716:IUZ327750 IWE327716:JEV327750 JGA327716:JOR327750 JPW327716:JYN327750 JZS327716:KIJ327750 KJO327716:KSF327750 KTK327716:LCB327750 LDG327716:LLX327750 LNC327716:LVT327750 LWY327716:MFP327750 MGU327716:MPL327750 MQQ327716:MZH327750 NAM327716:NJD327750 NKI327716:NSZ327750 NUE327716:OCV327750 OEA327716:OMR327750 ONW327716:OWN327750 OXS327716:PGJ327750 PHO327716:PQF327750 PRK327716:QAB327750 QBG327716:QJX327750 QLC327716:QTT327750 QUY327716:RDP327750 REU327716:RNL327750 ROQ327716:RXH327750 RYM327716:SHD327750 SII327716:SQZ327750 SSE327716:TAV327750 TCA327716:TKR327750 TLW327716:TUN327750 TVS327716:UEJ327750 UFO327716:UOF327750 UPK327716:UYB327750 UZG327716:VHX327750 VJC327716:VRT327750 VSY327716:WBP327750 WCU327716:WLL327750 WMQ327716:WVH327750 WWM327716:XFD327750 AE393252:IV393286 KA393252:SR393286 TW393252:ACN393286 ADS393252:AMJ393286 ANO393252:AWF393286 AXK393252:BGB393286 BHG393252:BPX393286 BRC393252:BZT393286 CAY393252:CJP393286 CKU393252:CTL393286 CUQ393252:DDH393286 DEM393252:DND393286 DOI393252:DWZ393286 DYE393252:EGV393286 EIA393252:EQR393286 ERW393252:FAN393286 FBS393252:FKJ393286 FLO393252:FUF393286 FVK393252:GEB393286 GFG393252:GNX393286 GPC393252:GXT393286 GYY393252:HHP393286 HIU393252:HRL393286 HSQ393252:IBH393286 ICM393252:ILD393286 IMI393252:IUZ393286 IWE393252:JEV393286 JGA393252:JOR393286 JPW393252:JYN393286 JZS393252:KIJ393286 KJO393252:KSF393286 KTK393252:LCB393286 LDG393252:LLX393286 LNC393252:LVT393286 LWY393252:MFP393286 MGU393252:MPL393286 MQQ393252:MZH393286 NAM393252:NJD393286 NKI393252:NSZ393286 NUE393252:OCV393286 OEA393252:OMR393286 ONW393252:OWN393286 OXS393252:PGJ393286 PHO393252:PQF393286 PRK393252:QAB393286 QBG393252:QJX393286 QLC393252:QTT393286 QUY393252:RDP393286 REU393252:RNL393286 ROQ393252:RXH393286 RYM393252:SHD393286 SII393252:SQZ393286 SSE393252:TAV393286 TCA393252:TKR393286 TLW393252:TUN393286 TVS393252:UEJ393286 UFO393252:UOF393286 UPK393252:UYB393286 UZG393252:VHX393286 VJC393252:VRT393286 VSY393252:WBP393286 WCU393252:WLL393286 WMQ393252:WVH393286 WWM393252:XFD393286 AE458788:IV458822 KA458788:SR458822 TW458788:ACN458822 ADS458788:AMJ458822 ANO458788:AWF458822 AXK458788:BGB458822 BHG458788:BPX458822 BRC458788:BZT458822 CAY458788:CJP458822 CKU458788:CTL458822 CUQ458788:DDH458822 DEM458788:DND458822 DOI458788:DWZ458822 DYE458788:EGV458822 EIA458788:EQR458822 ERW458788:FAN458822 FBS458788:FKJ458822 FLO458788:FUF458822 FVK458788:GEB458822 GFG458788:GNX458822 GPC458788:GXT458822 GYY458788:HHP458822 HIU458788:HRL458822 HSQ458788:IBH458822 ICM458788:ILD458822 IMI458788:IUZ458822 IWE458788:JEV458822 JGA458788:JOR458822 JPW458788:JYN458822 JZS458788:KIJ458822 KJO458788:KSF458822 KTK458788:LCB458822 LDG458788:LLX458822 LNC458788:LVT458822 LWY458788:MFP458822 MGU458788:MPL458822 MQQ458788:MZH458822 NAM458788:NJD458822 NKI458788:NSZ458822 NUE458788:OCV458822 OEA458788:OMR458822 ONW458788:OWN458822 OXS458788:PGJ458822 PHO458788:PQF458822 PRK458788:QAB458822 QBG458788:QJX458822 QLC458788:QTT458822 QUY458788:RDP458822 REU458788:RNL458822 ROQ458788:RXH458822 RYM458788:SHD458822 SII458788:SQZ458822 SSE458788:TAV458822 TCA458788:TKR458822 TLW458788:TUN458822 TVS458788:UEJ458822 UFO458788:UOF458822 UPK458788:UYB458822 UZG458788:VHX458822 VJC458788:VRT458822 VSY458788:WBP458822 WCU458788:WLL458822 WMQ458788:WVH458822 WWM458788:XFD458822 AE524324:IV524358 KA524324:SR524358 TW524324:ACN524358 ADS524324:AMJ524358 ANO524324:AWF524358 AXK524324:BGB524358 BHG524324:BPX524358 BRC524324:BZT524358 CAY524324:CJP524358 CKU524324:CTL524358 CUQ524324:DDH524358 DEM524324:DND524358 DOI524324:DWZ524358 DYE524324:EGV524358 EIA524324:EQR524358 ERW524324:FAN524358 FBS524324:FKJ524358 FLO524324:FUF524358 FVK524324:GEB524358 GFG524324:GNX524358 GPC524324:GXT524358 GYY524324:HHP524358 HIU524324:HRL524358 HSQ524324:IBH524358 ICM524324:ILD524358 IMI524324:IUZ524358 IWE524324:JEV524358 JGA524324:JOR524358 JPW524324:JYN524358 JZS524324:KIJ524358 KJO524324:KSF524358 KTK524324:LCB524358 LDG524324:LLX524358 LNC524324:LVT524358 LWY524324:MFP524358 MGU524324:MPL524358 MQQ524324:MZH524358 NAM524324:NJD524358 NKI524324:NSZ524358 NUE524324:OCV524358 OEA524324:OMR524358 ONW524324:OWN524358 OXS524324:PGJ524358 PHO524324:PQF524358 PRK524324:QAB524358 QBG524324:QJX524358 QLC524324:QTT524358 QUY524324:RDP524358 REU524324:RNL524358 ROQ524324:RXH524358 RYM524324:SHD524358 SII524324:SQZ524358 SSE524324:TAV524358 TCA524324:TKR524358 TLW524324:TUN524358 TVS524324:UEJ524358 UFO524324:UOF524358 UPK524324:UYB524358 UZG524324:VHX524358 VJC524324:VRT524358 VSY524324:WBP524358 WCU524324:WLL524358 WMQ524324:WVH524358 WWM524324:XFD524358 AE589860:IV589894 KA589860:SR589894 TW589860:ACN589894 ADS589860:AMJ589894 ANO589860:AWF589894 AXK589860:BGB589894 BHG589860:BPX589894 BRC589860:BZT589894 CAY589860:CJP589894 CKU589860:CTL589894 CUQ589860:DDH589894 DEM589860:DND589894 DOI589860:DWZ589894 DYE589860:EGV589894 EIA589860:EQR589894 ERW589860:FAN589894 FBS589860:FKJ589894 FLO589860:FUF589894 FVK589860:GEB589894 GFG589860:GNX589894 GPC589860:GXT589894 GYY589860:HHP589894 HIU589860:HRL589894 HSQ589860:IBH589894 ICM589860:ILD589894 IMI589860:IUZ589894 IWE589860:JEV589894 JGA589860:JOR589894 JPW589860:JYN589894 JZS589860:KIJ589894 KJO589860:KSF589894 KTK589860:LCB589894 LDG589860:LLX589894 LNC589860:LVT589894 LWY589860:MFP589894 MGU589860:MPL589894 MQQ589860:MZH589894 NAM589860:NJD589894 NKI589860:NSZ589894 NUE589860:OCV589894 OEA589860:OMR589894 ONW589860:OWN589894 OXS589860:PGJ589894 PHO589860:PQF589894 PRK589860:QAB589894 QBG589860:QJX589894 QLC589860:QTT589894 QUY589860:RDP589894 REU589860:RNL589894 ROQ589860:RXH589894 RYM589860:SHD589894 SII589860:SQZ589894 SSE589860:TAV589894 TCA589860:TKR589894 TLW589860:TUN589894 TVS589860:UEJ589894 UFO589860:UOF589894 UPK589860:UYB589894 UZG589860:VHX589894 VJC589860:VRT589894 VSY589860:WBP589894 WCU589860:WLL589894 WMQ589860:WVH589894 WWM589860:XFD589894 AE655396:IV655430 KA655396:SR655430 TW655396:ACN655430 ADS655396:AMJ655430 ANO655396:AWF655430 AXK655396:BGB655430 BHG655396:BPX655430 BRC655396:BZT655430 CAY655396:CJP655430 CKU655396:CTL655430 CUQ655396:DDH655430 DEM655396:DND655430 DOI655396:DWZ655430 DYE655396:EGV655430 EIA655396:EQR655430 ERW655396:FAN655430 FBS655396:FKJ655430 FLO655396:FUF655430 FVK655396:GEB655430 GFG655396:GNX655430 GPC655396:GXT655430 GYY655396:HHP655430 HIU655396:HRL655430 HSQ655396:IBH655430 ICM655396:ILD655430 IMI655396:IUZ655430 IWE655396:JEV655430 JGA655396:JOR655430 JPW655396:JYN655430 JZS655396:KIJ655430 KJO655396:KSF655430 KTK655396:LCB655430 LDG655396:LLX655430 LNC655396:LVT655430 LWY655396:MFP655430 MGU655396:MPL655430 MQQ655396:MZH655430 NAM655396:NJD655430 NKI655396:NSZ655430 NUE655396:OCV655430 OEA655396:OMR655430 ONW655396:OWN655430 OXS655396:PGJ655430 PHO655396:PQF655430 PRK655396:QAB655430 QBG655396:QJX655430 QLC655396:QTT655430 QUY655396:RDP655430 REU655396:RNL655430 ROQ655396:RXH655430 RYM655396:SHD655430 SII655396:SQZ655430 SSE655396:TAV655430 TCA655396:TKR655430 TLW655396:TUN655430 TVS655396:UEJ655430 UFO655396:UOF655430 UPK655396:UYB655430 UZG655396:VHX655430 VJC655396:VRT655430 VSY655396:WBP655430 WCU655396:WLL655430 WMQ655396:WVH655430 WWM655396:XFD655430 AE720932:IV720966 KA720932:SR720966 TW720932:ACN720966 ADS720932:AMJ720966 ANO720932:AWF720966 AXK720932:BGB720966 BHG720932:BPX720966 BRC720932:BZT720966 CAY720932:CJP720966 CKU720932:CTL720966 CUQ720932:DDH720966 DEM720932:DND720966 DOI720932:DWZ720966 DYE720932:EGV720966 EIA720932:EQR720966 ERW720932:FAN720966 FBS720932:FKJ720966 FLO720932:FUF720966 FVK720932:GEB720966 GFG720932:GNX720966 GPC720932:GXT720966 GYY720932:HHP720966 HIU720932:HRL720966 HSQ720932:IBH720966 ICM720932:ILD720966 IMI720932:IUZ720966 IWE720932:JEV720966 JGA720932:JOR720966 JPW720932:JYN720966 JZS720932:KIJ720966 KJO720932:KSF720966 KTK720932:LCB720966 LDG720932:LLX720966 LNC720932:LVT720966 LWY720932:MFP720966 MGU720932:MPL720966 MQQ720932:MZH720966 NAM720932:NJD720966 NKI720932:NSZ720966 NUE720932:OCV720966 OEA720932:OMR720966 ONW720932:OWN720966 OXS720932:PGJ720966 PHO720932:PQF720966 PRK720932:QAB720966 QBG720932:QJX720966 QLC720932:QTT720966 QUY720932:RDP720966 REU720932:RNL720966 ROQ720932:RXH720966 RYM720932:SHD720966 SII720932:SQZ720966 SSE720932:TAV720966 TCA720932:TKR720966 TLW720932:TUN720966 TVS720932:UEJ720966 UFO720932:UOF720966 UPK720932:UYB720966 UZG720932:VHX720966 VJC720932:VRT720966 VSY720932:WBP720966 WCU720932:WLL720966 WMQ720932:WVH720966 WWM720932:XFD720966 AE786468:IV786502 KA786468:SR786502 TW786468:ACN786502 ADS786468:AMJ786502 ANO786468:AWF786502 AXK786468:BGB786502 BHG786468:BPX786502 BRC786468:BZT786502 CAY786468:CJP786502 CKU786468:CTL786502 CUQ786468:DDH786502 DEM786468:DND786502 DOI786468:DWZ786502 DYE786468:EGV786502 EIA786468:EQR786502 ERW786468:FAN786502 FBS786468:FKJ786502 FLO786468:FUF786502 FVK786468:GEB786502 GFG786468:GNX786502 GPC786468:GXT786502 GYY786468:HHP786502 HIU786468:HRL786502 HSQ786468:IBH786502 ICM786468:ILD786502 IMI786468:IUZ786502 IWE786468:JEV786502 JGA786468:JOR786502 JPW786468:JYN786502 JZS786468:KIJ786502 KJO786468:KSF786502 KTK786468:LCB786502 LDG786468:LLX786502 LNC786468:LVT786502 LWY786468:MFP786502 MGU786468:MPL786502 MQQ786468:MZH786502 NAM786468:NJD786502 NKI786468:NSZ786502 NUE786468:OCV786502 OEA786468:OMR786502 ONW786468:OWN786502 OXS786468:PGJ786502 PHO786468:PQF786502 PRK786468:QAB786502 QBG786468:QJX786502 QLC786468:QTT786502 QUY786468:RDP786502 REU786468:RNL786502 ROQ786468:RXH786502 RYM786468:SHD786502 SII786468:SQZ786502 SSE786468:TAV786502 TCA786468:TKR786502 TLW786468:TUN786502 TVS786468:UEJ786502 UFO786468:UOF786502 UPK786468:UYB786502 UZG786468:VHX786502 VJC786468:VRT786502 VSY786468:WBP786502 WCU786468:WLL786502 WMQ786468:WVH786502 WWM786468:XFD786502 AE852004:IV852038 KA852004:SR852038 TW852004:ACN852038 ADS852004:AMJ852038 ANO852004:AWF852038 AXK852004:BGB852038 BHG852004:BPX852038 BRC852004:BZT852038 CAY852004:CJP852038 CKU852004:CTL852038 CUQ852004:DDH852038 DEM852004:DND852038 DOI852004:DWZ852038 DYE852004:EGV852038 EIA852004:EQR852038 ERW852004:FAN852038 FBS852004:FKJ852038 FLO852004:FUF852038 FVK852004:GEB852038 GFG852004:GNX852038 GPC852004:GXT852038 GYY852004:HHP852038 HIU852004:HRL852038 HSQ852004:IBH852038 ICM852004:ILD852038 IMI852004:IUZ852038 IWE852004:JEV852038 JGA852004:JOR852038 JPW852004:JYN852038 JZS852004:KIJ852038 KJO852004:KSF852038 KTK852004:LCB852038 LDG852004:LLX852038 LNC852004:LVT852038 LWY852004:MFP852038 MGU852004:MPL852038 MQQ852004:MZH852038 NAM852004:NJD852038 NKI852004:NSZ852038 NUE852004:OCV852038 OEA852004:OMR852038 ONW852004:OWN852038 OXS852004:PGJ852038 PHO852004:PQF852038 PRK852004:QAB852038 QBG852004:QJX852038 QLC852004:QTT852038 QUY852004:RDP852038 REU852004:RNL852038 ROQ852004:RXH852038 RYM852004:SHD852038 SII852004:SQZ852038 SSE852004:TAV852038 TCA852004:TKR852038 TLW852004:TUN852038 TVS852004:UEJ852038 UFO852004:UOF852038 UPK852004:UYB852038 UZG852004:VHX852038 VJC852004:VRT852038 VSY852004:WBP852038 WCU852004:WLL852038 WMQ852004:WVH852038 WWM852004:XFD852038 AE917540:IV917574 KA917540:SR917574 TW917540:ACN917574 ADS917540:AMJ917574 ANO917540:AWF917574 AXK917540:BGB917574 BHG917540:BPX917574 BRC917540:BZT917574 CAY917540:CJP917574 CKU917540:CTL917574 CUQ917540:DDH917574 DEM917540:DND917574 DOI917540:DWZ917574 DYE917540:EGV917574 EIA917540:EQR917574 ERW917540:FAN917574 FBS917540:FKJ917574 FLO917540:FUF917574 FVK917540:GEB917574 GFG917540:GNX917574 GPC917540:GXT917574 GYY917540:HHP917574 HIU917540:HRL917574 HSQ917540:IBH917574 ICM917540:ILD917574 IMI917540:IUZ917574 IWE917540:JEV917574 JGA917540:JOR917574 JPW917540:JYN917574 JZS917540:KIJ917574 KJO917540:KSF917574 KTK917540:LCB917574 LDG917540:LLX917574 LNC917540:LVT917574 LWY917540:MFP917574 MGU917540:MPL917574 MQQ917540:MZH917574 NAM917540:NJD917574 NKI917540:NSZ917574 NUE917540:OCV917574 OEA917540:OMR917574 ONW917540:OWN917574 OXS917540:PGJ917574 PHO917540:PQF917574 PRK917540:QAB917574 QBG917540:QJX917574 QLC917540:QTT917574 QUY917540:RDP917574 REU917540:RNL917574 ROQ917540:RXH917574 RYM917540:SHD917574 SII917540:SQZ917574 SSE917540:TAV917574 TCA917540:TKR917574 TLW917540:TUN917574 TVS917540:UEJ917574 UFO917540:UOF917574 UPK917540:UYB917574 UZG917540:VHX917574 VJC917540:VRT917574 VSY917540:WBP917574 WCU917540:WLL917574 WMQ917540:WVH917574 WWM917540:XFD917574 AE983076:IV983110 KA983076:SR983110 TW983076:ACN983110 ADS983076:AMJ983110 ANO983076:AWF983110 AXK983076:BGB983110 BHG983076:BPX983110 BRC983076:BZT983110 CAY983076:CJP983110 CKU983076:CTL983110 CUQ983076:DDH983110 DEM983076:DND983110 DOI983076:DWZ983110 DYE983076:EGV983110 EIA983076:EQR983110 ERW983076:FAN983110 FBS983076:FKJ983110 FLO983076:FUF983110 FVK983076:GEB983110 GFG983076:GNX983110 GPC983076:GXT983110 GYY983076:HHP983110 HIU983076:HRL983110 HSQ983076:IBH983110 ICM983076:ILD983110 IMI983076:IUZ983110 IWE983076:JEV983110 JGA983076:JOR983110 JPW983076:JYN983110 JZS983076:KIJ983110 KJO983076:KSF983110 KTK983076:LCB983110 LDG983076:LLX983110 LNC983076:LVT983110 LWY983076:MFP983110 MGU983076:MPL983110 MQQ983076:MZH983110 NAM983076:NJD983110 NKI983076:NSZ983110 NUE983076:OCV983110 OEA983076:OMR983110 ONW983076:OWN983110 OXS983076:PGJ983110 PHO983076:PQF983110 PRK983076:QAB983110 QBG983076:QJX983110 QLC983076:QTT983110 QUY983076:RDP983110 REU983076:RNL983110 ROQ983076:RXH983110 RYM983076:SHD983110 SII983076:SQZ983110 SSE983076:TAV983110 TCA983076:TKR983110 TLW983076:TUN983110 TVS983076:UEJ983110 UFO983076:UOF983110 UPK983076:UYB983110 UZG983076:VHX983110 VJC983076:VRT983110 VSY983076:WBP983110 WCU983076:WLL983110 WMQ983076:WVH983110 WWM983076:XFD983110 B37:AD69 IX37:JZ69 ST37:TV69 ACP37:ADR69 AML37:ANN69 AWH37:AXJ69 BGD37:BHF69 BPZ37:BRB69 BZV37:CAX69 CJR37:CKT69 CTN37:CUP69 DDJ37:DEL69 DNF37:DOH69 DXB37:DYD69 EGX37:EHZ69 EQT37:ERV69 FAP37:FBR69 FKL37:FLN69 FUH37:FVJ69 GED37:GFF69 GNZ37:GPB69 GXV37:GYX69 HHR37:HIT69 HRN37:HSP69 IBJ37:ICL69 ILF37:IMH69 IVB37:IWD69 JEX37:JFZ69 JOT37:JPV69 JYP37:JZR69 KIL37:KJN69 KSH37:KTJ69 LCD37:LDF69 LLZ37:LNB69 LVV37:LWX69 MFR37:MGT69 MPN37:MQP69 MZJ37:NAL69 NJF37:NKH69 NTB37:NUD69 OCX37:ODZ69 OMT37:ONV69 OWP37:OXR69 PGL37:PHN69 PQH37:PRJ69 QAD37:QBF69 QJZ37:QLB69 QTV37:QUX69 RDR37:RET69 RNN37:ROP69 RXJ37:RYL69 SHF37:SIH69 SRB37:SSD69 TAX37:TBZ69 TKT37:TLV69 TUP37:TVR69 UEL37:UFN69 UOH37:UPJ69 UYD37:UZF69 VHZ37:VJB69 VRV37:VSX69 WBR37:WCT69 WLN37:WMP69 WVJ37:WWL69 B65573:AD65605 IX65573:JZ65605 ST65573:TV65605 ACP65573:ADR65605 AML65573:ANN65605 AWH65573:AXJ65605 BGD65573:BHF65605 BPZ65573:BRB65605 BZV65573:CAX65605 CJR65573:CKT65605 CTN65573:CUP65605 DDJ65573:DEL65605 DNF65573:DOH65605 DXB65573:DYD65605 EGX65573:EHZ65605 EQT65573:ERV65605 FAP65573:FBR65605 FKL65573:FLN65605 FUH65573:FVJ65605 GED65573:GFF65605 GNZ65573:GPB65605 GXV65573:GYX65605 HHR65573:HIT65605 HRN65573:HSP65605 IBJ65573:ICL65605 ILF65573:IMH65605 IVB65573:IWD65605 JEX65573:JFZ65605 JOT65573:JPV65605 JYP65573:JZR65605 KIL65573:KJN65605 KSH65573:KTJ65605 LCD65573:LDF65605 LLZ65573:LNB65605 LVV65573:LWX65605 MFR65573:MGT65605 MPN65573:MQP65605 MZJ65573:NAL65605 NJF65573:NKH65605 NTB65573:NUD65605 OCX65573:ODZ65605 OMT65573:ONV65605 OWP65573:OXR65605 PGL65573:PHN65605 PQH65573:PRJ65605 QAD65573:QBF65605 QJZ65573:QLB65605 QTV65573:QUX65605 RDR65573:RET65605 RNN65573:ROP65605 RXJ65573:RYL65605 SHF65573:SIH65605 SRB65573:SSD65605 TAX65573:TBZ65605 TKT65573:TLV65605 TUP65573:TVR65605 UEL65573:UFN65605 UOH65573:UPJ65605 UYD65573:UZF65605 VHZ65573:VJB65605 VRV65573:VSX65605 WBR65573:WCT65605 WLN65573:WMP65605 WVJ65573:WWL65605 B131109:AD131141 IX131109:JZ131141 ST131109:TV131141 ACP131109:ADR131141 AML131109:ANN131141 AWH131109:AXJ131141 BGD131109:BHF131141 BPZ131109:BRB131141 BZV131109:CAX131141 CJR131109:CKT131141 CTN131109:CUP131141 DDJ131109:DEL131141 DNF131109:DOH131141 DXB131109:DYD131141 EGX131109:EHZ131141 EQT131109:ERV131141 FAP131109:FBR131141 FKL131109:FLN131141 FUH131109:FVJ131141 GED131109:GFF131141 GNZ131109:GPB131141 GXV131109:GYX131141 HHR131109:HIT131141 HRN131109:HSP131141 IBJ131109:ICL131141 ILF131109:IMH131141 IVB131109:IWD131141 JEX131109:JFZ131141 JOT131109:JPV131141 JYP131109:JZR131141 KIL131109:KJN131141 KSH131109:KTJ131141 LCD131109:LDF131141 LLZ131109:LNB131141 LVV131109:LWX131141 MFR131109:MGT131141 MPN131109:MQP131141 MZJ131109:NAL131141 NJF131109:NKH131141 NTB131109:NUD131141 OCX131109:ODZ131141 OMT131109:ONV131141 OWP131109:OXR131141 PGL131109:PHN131141 PQH131109:PRJ131141 QAD131109:QBF131141 QJZ131109:QLB131141 QTV131109:QUX131141 RDR131109:RET131141 RNN131109:ROP131141 RXJ131109:RYL131141 SHF131109:SIH131141 SRB131109:SSD131141 TAX131109:TBZ131141 TKT131109:TLV131141 TUP131109:TVR131141 UEL131109:UFN131141 UOH131109:UPJ131141 UYD131109:UZF131141 VHZ131109:VJB131141 VRV131109:VSX131141 WBR131109:WCT131141 WLN131109:WMP131141 WVJ131109:WWL131141 B196645:AD196677 IX196645:JZ196677 ST196645:TV196677 ACP196645:ADR196677 AML196645:ANN196677 AWH196645:AXJ196677 BGD196645:BHF196677 BPZ196645:BRB196677 BZV196645:CAX196677 CJR196645:CKT196677 CTN196645:CUP196677 DDJ196645:DEL196677 DNF196645:DOH196677 DXB196645:DYD196677 EGX196645:EHZ196677 EQT196645:ERV196677 FAP196645:FBR196677 FKL196645:FLN196677 FUH196645:FVJ196677 GED196645:GFF196677 GNZ196645:GPB196677 GXV196645:GYX196677 HHR196645:HIT196677 HRN196645:HSP196677 IBJ196645:ICL196677 ILF196645:IMH196677 IVB196645:IWD196677 JEX196645:JFZ196677 JOT196645:JPV196677 JYP196645:JZR196677 KIL196645:KJN196677 KSH196645:KTJ196677 LCD196645:LDF196677 LLZ196645:LNB196677 LVV196645:LWX196677 MFR196645:MGT196677 MPN196645:MQP196677 MZJ196645:NAL196677 NJF196645:NKH196677 NTB196645:NUD196677 OCX196645:ODZ196677 OMT196645:ONV196677 OWP196645:OXR196677 PGL196645:PHN196677 PQH196645:PRJ196677 QAD196645:QBF196677 QJZ196645:QLB196677 QTV196645:QUX196677 RDR196645:RET196677 RNN196645:ROP196677 RXJ196645:RYL196677 SHF196645:SIH196677 SRB196645:SSD196677 TAX196645:TBZ196677 TKT196645:TLV196677 TUP196645:TVR196677 UEL196645:UFN196677 UOH196645:UPJ196677 UYD196645:UZF196677 VHZ196645:VJB196677 VRV196645:VSX196677 WBR196645:WCT196677 WLN196645:WMP196677 WVJ196645:WWL196677 B262181:AD262213 IX262181:JZ262213 ST262181:TV262213 ACP262181:ADR262213 AML262181:ANN262213 AWH262181:AXJ262213 BGD262181:BHF262213 BPZ262181:BRB262213 BZV262181:CAX262213 CJR262181:CKT262213 CTN262181:CUP262213 DDJ262181:DEL262213 DNF262181:DOH262213 DXB262181:DYD262213 EGX262181:EHZ262213 EQT262181:ERV262213 FAP262181:FBR262213 FKL262181:FLN262213 FUH262181:FVJ262213 GED262181:GFF262213 GNZ262181:GPB262213 GXV262181:GYX262213 HHR262181:HIT262213 HRN262181:HSP262213 IBJ262181:ICL262213 ILF262181:IMH262213 IVB262181:IWD262213 JEX262181:JFZ262213 JOT262181:JPV262213 JYP262181:JZR262213 KIL262181:KJN262213 KSH262181:KTJ262213 LCD262181:LDF262213 LLZ262181:LNB262213 LVV262181:LWX262213 MFR262181:MGT262213 MPN262181:MQP262213 MZJ262181:NAL262213 NJF262181:NKH262213 NTB262181:NUD262213 OCX262181:ODZ262213 OMT262181:ONV262213 OWP262181:OXR262213 PGL262181:PHN262213 PQH262181:PRJ262213 QAD262181:QBF262213 QJZ262181:QLB262213 QTV262181:QUX262213 RDR262181:RET262213 RNN262181:ROP262213 RXJ262181:RYL262213 SHF262181:SIH262213 SRB262181:SSD262213 TAX262181:TBZ262213 TKT262181:TLV262213 TUP262181:TVR262213 UEL262181:UFN262213 UOH262181:UPJ262213 UYD262181:UZF262213 VHZ262181:VJB262213 VRV262181:VSX262213 WBR262181:WCT262213 WLN262181:WMP262213 WVJ262181:WWL262213 B327717:AD327749 IX327717:JZ327749 ST327717:TV327749 ACP327717:ADR327749 AML327717:ANN327749 AWH327717:AXJ327749 BGD327717:BHF327749 BPZ327717:BRB327749 BZV327717:CAX327749 CJR327717:CKT327749 CTN327717:CUP327749 DDJ327717:DEL327749 DNF327717:DOH327749 DXB327717:DYD327749 EGX327717:EHZ327749 EQT327717:ERV327749 FAP327717:FBR327749 FKL327717:FLN327749 FUH327717:FVJ327749 GED327717:GFF327749 GNZ327717:GPB327749 GXV327717:GYX327749 HHR327717:HIT327749 HRN327717:HSP327749 IBJ327717:ICL327749 ILF327717:IMH327749 IVB327717:IWD327749 JEX327717:JFZ327749 JOT327717:JPV327749 JYP327717:JZR327749 KIL327717:KJN327749 KSH327717:KTJ327749 LCD327717:LDF327749 LLZ327717:LNB327749 LVV327717:LWX327749 MFR327717:MGT327749 MPN327717:MQP327749 MZJ327717:NAL327749 NJF327717:NKH327749 NTB327717:NUD327749 OCX327717:ODZ327749 OMT327717:ONV327749 OWP327717:OXR327749 PGL327717:PHN327749 PQH327717:PRJ327749 QAD327717:QBF327749 QJZ327717:QLB327749 QTV327717:QUX327749 RDR327717:RET327749 RNN327717:ROP327749 RXJ327717:RYL327749 SHF327717:SIH327749 SRB327717:SSD327749 TAX327717:TBZ327749 TKT327717:TLV327749 TUP327717:TVR327749 UEL327717:UFN327749 UOH327717:UPJ327749 UYD327717:UZF327749 VHZ327717:VJB327749 VRV327717:VSX327749 WBR327717:WCT327749 WLN327717:WMP327749 WVJ327717:WWL327749 B393253:AD393285 IX393253:JZ393285 ST393253:TV393285 ACP393253:ADR393285 AML393253:ANN393285 AWH393253:AXJ393285 BGD393253:BHF393285 BPZ393253:BRB393285 BZV393253:CAX393285 CJR393253:CKT393285 CTN393253:CUP393285 DDJ393253:DEL393285 DNF393253:DOH393285 DXB393253:DYD393285 EGX393253:EHZ393285 EQT393253:ERV393285 FAP393253:FBR393285 FKL393253:FLN393285 FUH393253:FVJ393285 GED393253:GFF393285 GNZ393253:GPB393285 GXV393253:GYX393285 HHR393253:HIT393285 HRN393253:HSP393285 IBJ393253:ICL393285 ILF393253:IMH393285 IVB393253:IWD393285 JEX393253:JFZ393285 JOT393253:JPV393285 JYP393253:JZR393285 KIL393253:KJN393285 KSH393253:KTJ393285 LCD393253:LDF393285 LLZ393253:LNB393285 LVV393253:LWX393285 MFR393253:MGT393285 MPN393253:MQP393285 MZJ393253:NAL393285 NJF393253:NKH393285 NTB393253:NUD393285 OCX393253:ODZ393285 OMT393253:ONV393285 OWP393253:OXR393285 PGL393253:PHN393285 PQH393253:PRJ393285 QAD393253:QBF393285 QJZ393253:QLB393285 QTV393253:QUX393285 RDR393253:RET393285 RNN393253:ROP393285 RXJ393253:RYL393285 SHF393253:SIH393285 SRB393253:SSD393285 TAX393253:TBZ393285 TKT393253:TLV393285 TUP393253:TVR393285 UEL393253:UFN393285 UOH393253:UPJ393285 UYD393253:UZF393285 VHZ393253:VJB393285 VRV393253:VSX393285 WBR393253:WCT393285 WLN393253:WMP393285 WVJ393253:WWL393285 B458789:AD458821 IX458789:JZ458821 ST458789:TV458821 ACP458789:ADR458821 AML458789:ANN458821 AWH458789:AXJ458821 BGD458789:BHF458821 BPZ458789:BRB458821 BZV458789:CAX458821 CJR458789:CKT458821 CTN458789:CUP458821 DDJ458789:DEL458821 DNF458789:DOH458821 DXB458789:DYD458821 EGX458789:EHZ458821 EQT458789:ERV458821 FAP458789:FBR458821 FKL458789:FLN458821 FUH458789:FVJ458821 GED458789:GFF458821 GNZ458789:GPB458821 GXV458789:GYX458821 HHR458789:HIT458821 HRN458789:HSP458821 IBJ458789:ICL458821 ILF458789:IMH458821 IVB458789:IWD458821 JEX458789:JFZ458821 JOT458789:JPV458821 JYP458789:JZR458821 KIL458789:KJN458821 KSH458789:KTJ458821 LCD458789:LDF458821 LLZ458789:LNB458821 LVV458789:LWX458821 MFR458789:MGT458821 MPN458789:MQP458821 MZJ458789:NAL458821 NJF458789:NKH458821 NTB458789:NUD458821 OCX458789:ODZ458821 OMT458789:ONV458821 OWP458789:OXR458821 PGL458789:PHN458821 PQH458789:PRJ458821 QAD458789:QBF458821 QJZ458789:QLB458821 QTV458789:QUX458821 RDR458789:RET458821 RNN458789:ROP458821 RXJ458789:RYL458821 SHF458789:SIH458821 SRB458789:SSD458821 TAX458789:TBZ458821 TKT458789:TLV458821 TUP458789:TVR458821 UEL458789:UFN458821 UOH458789:UPJ458821 UYD458789:UZF458821 VHZ458789:VJB458821 VRV458789:VSX458821 WBR458789:WCT458821 WLN458789:WMP458821 WVJ458789:WWL458821 B524325:AD524357 IX524325:JZ524357 ST524325:TV524357 ACP524325:ADR524357 AML524325:ANN524357 AWH524325:AXJ524357 BGD524325:BHF524357 BPZ524325:BRB524357 BZV524325:CAX524357 CJR524325:CKT524357 CTN524325:CUP524357 DDJ524325:DEL524357 DNF524325:DOH524357 DXB524325:DYD524357 EGX524325:EHZ524357 EQT524325:ERV524357 FAP524325:FBR524357 FKL524325:FLN524357 FUH524325:FVJ524357 GED524325:GFF524357 GNZ524325:GPB524357 GXV524325:GYX524357 HHR524325:HIT524357 HRN524325:HSP524357 IBJ524325:ICL524357 ILF524325:IMH524357 IVB524325:IWD524357 JEX524325:JFZ524357 JOT524325:JPV524357 JYP524325:JZR524357 KIL524325:KJN524357 KSH524325:KTJ524357 LCD524325:LDF524357 LLZ524325:LNB524357 LVV524325:LWX524357 MFR524325:MGT524357 MPN524325:MQP524357 MZJ524325:NAL524357 NJF524325:NKH524357 NTB524325:NUD524357 OCX524325:ODZ524357 OMT524325:ONV524357 OWP524325:OXR524357 PGL524325:PHN524357 PQH524325:PRJ524357 QAD524325:QBF524357 QJZ524325:QLB524357 QTV524325:QUX524357 RDR524325:RET524357 RNN524325:ROP524357 RXJ524325:RYL524357 SHF524325:SIH524357 SRB524325:SSD524357 TAX524325:TBZ524357 TKT524325:TLV524357 TUP524325:TVR524357 UEL524325:UFN524357 UOH524325:UPJ524357 UYD524325:UZF524357 VHZ524325:VJB524357 VRV524325:VSX524357 WBR524325:WCT524357 WLN524325:WMP524357 WVJ524325:WWL524357 B589861:AD589893 IX589861:JZ589893 ST589861:TV589893 ACP589861:ADR589893 AML589861:ANN589893 AWH589861:AXJ589893 BGD589861:BHF589893 BPZ589861:BRB589893 BZV589861:CAX589893 CJR589861:CKT589893 CTN589861:CUP589893 DDJ589861:DEL589893 DNF589861:DOH589893 DXB589861:DYD589893 EGX589861:EHZ589893 EQT589861:ERV589893 FAP589861:FBR589893 FKL589861:FLN589893 FUH589861:FVJ589893 GED589861:GFF589893 GNZ589861:GPB589893 GXV589861:GYX589893 HHR589861:HIT589893 HRN589861:HSP589893 IBJ589861:ICL589893 ILF589861:IMH589893 IVB589861:IWD589893 JEX589861:JFZ589893 JOT589861:JPV589893 JYP589861:JZR589893 KIL589861:KJN589893 KSH589861:KTJ589893 LCD589861:LDF589893 LLZ589861:LNB589893 LVV589861:LWX589893 MFR589861:MGT589893 MPN589861:MQP589893 MZJ589861:NAL589893 NJF589861:NKH589893 NTB589861:NUD589893 OCX589861:ODZ589893 OMT589861:ONV589893 OWP589861:OXR589893 PGL589861:PHN589893 PQH589861:PRJ589893 QAD589861:QBF589893 QJZ589861:QLB589893 QTV589861:QUX589893 RDR589861:RET589893 RNN589861:ROP589893 RXJ589861:RYL589893 SHF589861:SIH589893 SRB589861:SSD589893 TAX589861:TBZ589893 TKT589861:TLV589893 TUP589861:TVR589893 UEL589861:UFN589893 UOH589861:UPJ589893 UYD589861:UZF589893 VHZ589861:VJB589893 VRV589861:VSX589893 WBR589861:WCT589893 WLN589861:WMP589893 WVJ589861:WWL589893 B655397:AD655429 IX655397:JZ655429 ST655397:TV655429 ACP655397:ADR655429 AML655397:ANN655429 AWH655397:AXJ655429 BGD655397:BHF655429 BPZ655397:BRB655429 BZV655397:CAX655429 CJR655397:CKT655429 CTN655397:CUP655429 DDJ655397:DEL655429 DNF655397:DOH655429 DXB655397:DYD655429 EGX655397:EHZ655429 EQT655397:ERV655429 FAP655397:FBR655429 FKL655397:FLN655429 FUH655397:FVJ655429 GED655397:GFF655429 GNZ655397:GPB655429 GXV655397:GYX655429 HHR655397:HIT655429 HRN655397:HSP655429 IBJ655397:ICL655429 ILF655397:IMH655429 IVB655397:IWD655429 JEX655397:JFZ655429 JOT655397:JPV655429 JYP655397:JZR655429 KIL655397:KJN655429 KSH655397:KTJ655429 LCD655397:LDF655429 LLZ655397:LNB655429 LVV655397:LWX655429 MFR655397:MGT655429 MPN655397:MQP655429 MZJ655397:NAL655429 NJF655397:NKH655429 NTB655397:NUD655429 OCX655397:ODZ655429 OMT655397:ONV655429 OWP655397:OXR655429 PGL655397:PHN655429 PQH655397:PRJ655429 QAD655397:QBF655429 QJZ655397:QLB655429 QTV655397:QUX655429 RDR655397:RET655429 RNN655397:ROP655429 RXJ655397:RYL655429 SHF655397:SIH655429 SRB655397:SSD655429 TAX655397:TBZ655429 TKT655397:TLV655429 TUP655397:TVR655429 UEL655397:UFN655429 UOH655397:UPJ655429 UYD655397:UZF655429 VHZ655397:VJB655429 VRV655397:VSX655429 WBR655397:WCT655429 WLN655397:WMP655429 WVJ655397:WWL655429 B720933:AD720965 IX720933:JZ720965 ST720933:TV720965 ACP720933:ADR720965 AML720933:ANN720965 AWH720933:AXJ720965 BGD720933:BHF720965 BPZ720933:BRB720965 BZV720933:CAX720965 CJR720933:CKT720965 CTN720933:CUP720965 DDJ720933:DEL720965 DNF720933:DOH720965 DXB720933:DYD720965 EGX720933:EHZ720965 EQT720933:ERV720965 FAP720933:FBR720965 FKL720933:FLN720965 FUH720933:FVJ720965 GED720933:GFF720965 GNZ720933:GPB720965 GXV720933:GYX720965 HHR720933:HIT720965 HRN720933:HSP720965 IBJ720933:ICL720965 ILF720933:IMH720965 IVB720933:IWD720965 JEX720933:JFZ720965 JOT720933:JPV720965 JYP720933:JZR720965 KIL720933:KJN720965 KSH720933:KTJ720965 LCD720933:LDF720965 LLZ720933:LNB720965 LVV720933:LWX720965 MFR720933:MGT720965 MPN720933:MQP720965 MZJ720933:NAL720965 NJF720933:NKH720965 NTB720933:NUD720965 OCX720933:ODZ720965 OMT720933:ONV720965 OWP720933:OXR720965 PGL720933:PHN720965 PQH720933:PRJ720965 QAD720933:QBF720965 QJZ720933:QLB720965 QTV720933:QUX720965 RDR720933:RET720965 RNN720933:ROP720965 RXJ720933:RYL720965 SHF720933:SIH720965 SRB720933:SSD720965 TAX720933:TBZ720965 TKT720933:TLV720965 TUP720933:TVR720965 UEL720933:UFN720965 UOH720933:UPJ720965 UYD720933:UZF720965 VHZ720933:VJB720965 VRV720933:VSX720965 WBR720933:WCT720965 WLN720933:WMP720965 WVJ720933:WWL720965 B786469:AD786501 IX786469:JZ786501 ST786469:TV786501 ACP786469:ADR786501 AML786469:ANN786501 AWH786469:AXJ786501 BGD786469:BHF786501 BPZ786469:BRB786501 BZV786469:CAX786501 CJR786469:CKT786501 CTN786469:CUP786501 DDJ786469:DEL786501 DNF786469:DOH786501 DXB786469:DYD786501 EGX786469:EHZ786501 EQT786469:ERV786501 FAP786469:FBR786501 FKL786469:FLN786501 FUH786469:FVJ786501 GED786469:GFF786501 GNZ786469:GPB786501 GXV786469:GYX786501 HHR786469:HIT786501 HRN786469:HSP786501 IBJ786469:ICL786501 ILF786469:IMH786501 IVB786469:IWD786501 JEX786469:JFZ786501 JOT786469:JPV786501 JYP786469:JZR786501 KIL786469:KJN786501 KSH786469:KTJ786501 LCD786469:LDF786501 LLZ786469:LNB786501 LVV786469:LWX786501 MFR786469:MGT786501 MPN786469:MQP786501 MZJ786469:NAL786501 NJF786469:NKH786501 NTB786469:NUD786501 OCX786469:ODZ786501 OMT786469:ONV786501 OWP786469:OXR786501 PGL786469:PHN786501 PQH786469:PRJ786501 QAD786469:QBF786501 QJZ786469:QLB786501 QTV786469:QUX786501 RDR786469:RET786501 RNN786469:ROP786501 RXJ786469:RYL786501 SHF786469:SIH786501 SRB786469:SSD786501 TAX786469:TBZ786501 TKT786469:TLV786501 TUP786469:TVR786501 UEL786469:UFN786501 UOH786469:UPJ786501 UYD786469:UZF786501 VHZ786469:VJB786501 VRV786469:VSX786501 WBR786469:WCT786501 WLN786469:WMP786501 WVJ786469:WWL786501 B852005:AD852037 IX852005:JZ852037 ST852005:TV852037 ACP852005:ADR852037 AML852005:ANN852037 AWH852005:AXJ852037 BGD852005:BHF852037 BPZ852005:BRB852037 BZV852005:CAX852037 CJR852005:CKT852037 CTN852005:CUP852037 DDJ852005:DEL852037 DNF852005:DOH852037 DXB852005:DYD852037 EGX852005:EHZ852037 EQT852005:ERV852037 FAP852005:FBR852037 FKL852005:FLN852037 FUH852005:FVJ852037 GED852005:GFF852037 GNZ852005:GPB852037 GXV852005:GYX852037 HHR852005:HIT852037 HRN852005:HSP852037 IBJ852005:ICL852037 ILF852005:IMH852037 IVB852005:IWD852037 JEX852005:JFZ852037 JOT852005:JPV852037 JYP852005:JZR852037 KIL852005:KJN852037 KSH852005:KTJ852037 LCD852005:LDF852037 LLZ852005:LNB852037 LVV852005:LWX852037 MFR852005:MGT852037 MPN852005:MQP852037 MZJ852005:NAL852037 NJF852005:NKH852037 NTB852005:NUD852037 OCX852005:ODZ852037 OMT852005:ONV852037 OWP852005:OXR852037 PGL852005:PHN852037 PQH852005:PRJ852037 QAD852005:QBF852037 QJZ852005:QLB852037 QTV852005:QUX852037 RDR852005:RET852037 RNN852005:ROP852037 RXJ852005:RYL852037 SHF852005:SIH852037 SRB852005:SSD852037 TAX852005:TBZ852037 TKT852005:TLV852037 TUP852005:TVR852037 UEL852005:UFN852037 UOH852005:UPJ852037 UYD852005:UZF852037 VHZ852005:VJB852037 VRV852005:VSX852037 WBR852005:WCT852037 WLN852005:WMP852037 WVJ852005:WWL852037 B917541:AD917573 IX917541:JZ917573 ST917541:TV917573 ACP917541:ADR917573 AML917541:ANN917573 AWH917541:AXJ917573 BGD917541:BHF917573 BPZ917541:BRB917573 BZV917541:CAX917573 CJR917541:CKT917573 CTN917541:CUP917573 DDJ917541:DEL917573 DNF917541:DOH917573 DXB917541:DYD917573 EGX917541:EHZ917573 EQT917541:ERV917573 FAP917541:FBR917573 FKL917541:FLN917573 FUH917541:FVJ917573 GED917541:GFF917573 GNZ917541:GPB917573 GXV917541:GYX917573 HHR917541:HIT917573 HRN917541:HSP917573 IBJ917541:ICL917573 ILF917541:IMH917573 IVB917541:IWD917573 JEX917541:JFZ917573 JOT917541:JPV917573 JYP917541:JZR917573 KIL917541:KJN917573 KSH917541:KTJ917573 LCD917541:LDF917573 LLZ917541:LNB917573 LVV917541:LWX917573 MFR917541:MGT917573 MPN917541:MQP917573 MZJ917541:NAL917573 NJF917541:NKH917573 NTB917541:NUD917573 OCX917541:ODZ917573 OMT917541:ONV917573 OWP917541:OXR917573 PGL917541:PHN917573 PQH917541:PRJ917573 QAD917541:QBF917573 QJZ917541:QLB917573 QTV917541:QUX917573 RDR917541:RET917573 RNN917541:ROP917573 RXJ917541:RYL917573 SHF917541:SIH917573 SRB917541:SSD917573 TAX917541:TBZ917573 TKT917541:TLV917573 TUP917541:TVR917573 UEL917541:UFN917573 UOH917541:UPJ917573 UYD917541:UZF917573 VHZ917541:VJB917573 VRV917541:VSX917573 WBR917541:WCT917573 WLN917541:WMP917573 WVJ917541:WWL917573 B983077:AD983109 IX983077:JZ983109 ST983077:TV983109 ACP983077:ADR983109 AML983077:ANN983109 AWH983077:AXJ983109 BGD983077:BHF983109 BPZ983077:BRB983109 BZV983077:CAX983109 CJR983077:CKT983109 CTN983077:CUP983109 DDJ983077:DEL983109 DNF983077:DOH983109 DXB983077:DYD983109 EGX983077:EHZ983109 EQT983077:ERV983109 FAP983077:FBR983109 FKL983077:FLN983109 FUH983077:FVJ983109 GED983077:GFF983109 GNZ983077:GPB983109 GXV983077:GYX983109 HHR983077:HIT983109 HRN983077:HSP983109 IBJ983077:ICL983109 ILF983077:IMH983109 IVB983077:IWD983109 JEX983077:JFZ983109 JOT983077:JPV983109 JYP983077:JZR983109 KIL983077:KJN983109 KSH983077:KTJ983109 LCD983077:LDF983109 LLZ983077:LNB983109 LVV983077:LWX983109 MFR983077:MGT983109 MPN983077:MQP983109 MZJ983077:NAL983109 NJF983077:NKH983109 NTB983077:NUD983109 OCX983077:ODZ983109 OMT983077:ONV983109 OWP983077:OXR983109 PGL983077:PHN983109 PQH983077:PRJ983109 QAD983077:QBF983109 QJZ983077:QLB983109 QTV983077:QUX983109 RDR983077:RET983109 RNN983077:ROP983109 RXJ983077:RYL983109 SHF983077:SIH983109 SRB983077:SSD983109 TAX983077:TBZ983109 TKT983077:TLV983109 TUP983077:TVR983109 UEL983077:UFN983109 UOH983077:UPJ983109 UYD983077:UZF983109 VHZ983077:VJB983109 VRV983077:VSX983109 WBR983077:WCT983109 WLN983077:WMP983109 WVJ983077:WWL983109" xr:uid="{26CDE267-F1B8-4AFC-AA35-83B8F72E068D}">
      <formula1>$A$37:$A$69</formula1>
    </dataValidation>
    <dataValidation type="list" allowBlank="1" showErrorMessage="1" sqref="B22:B30 IX22:IX30 ST22:ST30 ACP22:ACP30 AML22:AML30 AWH22:AWH30 BGD22:BGD30 BPZ22:BPZ30 BZV22:BZV30 CJR22:CJR30 CTN22:CTN30 DDJ22:DDJ30 DNF22:DNF30 DXB22:DXB30 EGX22:EGX30 EQT22:EQT30 FAP22:FAP30 FKL22:FKL30 FUH22:FUH30 GED22:GED30 GNZ22:GNZ30 GXV22:GXV30 HHR22:HHR30 HRN22:HRN30 IBJ22:IBJ30 ILF22:ILF30 IVB22:IVB30 JEX22:JEX30 JOT22:JOT30 JYP22:JYP30 KIL22:KIL30 KSH22:KSH30 LCD22:LCD30 LLZ22:LLZ30 LVV22:LVV30 MFR22:MFR30 MPN22:MPN30 MZJ22:MZJ30 NJF22:NJF30 NTB22:NTB30 OCX22:OCX30 OMT22:OMT30 OWP22:OWP30 PGL22:PGL30 PQH22:PQH30 QAD22:QAD30 QJZ22:QJZ30 QTV22:QTV30 RDR22:RDR30 RNN22:RNN30 RXJ22:RXJ30 SHF22:SHF30 SRB22:SRB30 TAX22:TAX30 TKT22:TKT30 TUP22:TUP30 UEL22:UEL30 UOH22:UOH30 UYD22:UYD30 VHZ22:VHZ30 VRV22:VRV30 WBR22:WBR30 WLN22:WLN30 WVJ22:WVJ30 B65558:B65566 IX65558:IX65566 ST65558:ST65566 ACP65558:ACP65566 AML65558:AML65566 AWH65558:AWH65566 BGD65558:BGD65566 BPZ65558:BPZ65566 BZV65558:BZV65566 CJR65558:CJR65566 CTN65558:CTN65566 DDJ65558:DDJ65566 DNF65558:DNF65566 DXB65558:DXB65566 EGX65558:EGX65566 EQT65558:EQT65566 FAP65558:FAP65566 FKL65558:FKL65566 FUH65558:FUH65566 GED65558:GED65566 GNZ65558:GNZ65566 GXV65558:GXV65566 HHR65558:HHR65566 HRN65558:HRN65566 IBJ65558:IBJ65566 ILF65558:ILF65566 IVB65558:IVB65566 JEX65558:JEX65566 JOT65558:JOT65566 JYP65558:JYP65566 KIL65558:KIL65566 KSH65558:KSH65566 LCD65558:LCD65566 LLZ65558:LLZ65566 LVV65558:LVV65566 MFR65558:MFR65566 MPN65558:MPN65566 MZJ65558:MZJ65566 NJF65558:NJF65566 NTB65558:NTB65566 OCX65558:OCX65566 OMT65558:OMT65566 OWP65558:OWP65566 PGL65558:PGL65566 PQH65558:PQH65566 QAD65558:QAD65566 QJZ65558:QJZ65566 QTV65558:QTV65566 RDR65558:RDR65566 RNN65558:RNN65566 RXJ65558:RXJ65566 SHF65558:SHF65566 SRB65558:SRB65566 TAX65558:TAX65566 TKT65558:TKT65566 TUP65558:TUP65566 UEL65558:UEL65566 UOH65558:UOH65566 UYD65558:UYD65566 VHZ65558:VHZ65566 VRV65558:VRV65566 WBR65558:WBR65566 WLN65558:WLN65566 WVJ65558:WVJ65566 B131094:B131102 IX131094:IX131102 ST131094:ST131102 ACP131094:ACP131102 AML131094:AML131102 AWH131094:AWH131102 BGD131094:BGD131102 BPZ131094:BPZ131102 BZV131094:BZV131102 CJR131094:CJR131102 CTN131094:CTN131102 DDJ131094:DDJ131102 DNF131094:DNF131102 DXB131094:DXB131102 EGX131094:EGX131102 EQT131094:EQT131102 FAP131094:FAP131102 FKL131094:FKL131102 FUH131094:FUH131102 GED131094:GED131102 GNZ131094:GNZ131102 GXV131094:GXV131102 HHR131094:HHR131102 HRN131094:HRN131102 IBJ131094:IBJ131102 ILF131094:ILF131102 IVB131094:IVB131102 JEX131094:JEX131102 JOT131094:JOT131102 JYP131094:JYP131102 KIL131094:KIL131102 KSH131094:KSH131102 LCD131094:LCD131102 LLZ131094:LLZ131102 LVV131094:LVV131102 MFR131094:MFR131102 MPN131094:MPN131102 MZJ131094:MZJ131102 NJF131094:NJF131102 NTB131094:NTB131102 OCX131094:OCX131102 OMT131094:OMT131102 OWP131094:OWP131102 PGL131094:PGL131102 PQH131094:PQH131102 QAD131094:QAD131102 QJZ131094:QJZ131102 QTV131094:QTV131102 RDR131094:RDR131102 RNN131094:RNN131102 RXJ131094:RXJ131102 SHF131094:SHF131102 SRB131094:SRB131102 TAX131094:TAX131102 TKT131094:TKT131102 TUP131094:TUP131102 UEL131094:UEL131102 UOH131094:UOH131102 UYD131094:UYD131102 VHZ131094:VHZ131102 VRV131094:VRV131102 WBR131094:WBR131102 WLN131094:WLN131102 WVJ131094:WVJ131102 B196630:B196638 IX196630:IX196638 ST196630:ST196638 ACP196630:ACP196638 AML196630:AML196638 AWH196630:AWH196638 BGD196630:BGD196638 BPZ196630:BPZ196638 BZV196630:BZV196638 CJR196630:CJR196638 CTN196630:CTN196638 DDJ196630:DDJ196638 DNF196630:DNF196638 DXB196630:DXB196638 EGX196630:EGX196638 EQT196630:EQT196638 FAP196630:FAP196638 FKL196630:FKL196638 FUH196630:FUH196638 GED196630:GED196638 GNZ196630:GNZ196638 GXV196630:GXV196638 HHR196630:HHR196638 HRN196630:HRN196638 IBJ196630:IBJ196638 ILF196630:ILF196638 IVB196630:IVB196638 JEX196630:JEX196638 JOT196630:JOT196638 JYP196630:JYP196638 KIL196630:KIL196638 KSH196630:KSH196638 LCD196630:LCD196638 LLZ196630:LLZ196638 LVV196630:LVV196638 MFR196630:MFR196638 MPN196630:MPN196638 MZJ196630:MZJ196638 NJF196630:NJF196638 NTB196630:NTB196638 OCX196630:OCX196638 OMT196630:OMT196638 OWP196630:OWP196638 PGL196630:PGL196638 PQH196630:PQH196638 QAD196630:QAD196638 QJZ196630:QJZ196638 QTV196630:QTV196638 RDR196630:RDR196638 RNN196630:RNN196638 RXJ196630:RXJ196638 SHF196630:SHF196638 SRB196630:SRB196638 TAX196630:TAX196638 TKT196630:TKT196638 TUP196630:TUP196638 UEL196630:UEL196638 UOH196630:UOH196638 UYD196630:UYD196638 VHZ196630:VHZ196638 VRV196630:VRV196638 WBR196630:WBR196638 WLN196630:WLN196638 WVJ196630:WVJ196638 B262166:B262174 IX262166:IX262174 ST262166:ST262174 ACP262166:ACP262174 AML262166:AML262174 AWH262166:AWH262174 BGD262166:BGD262174 BPZ262166:BPZ262174 BZV262166:BZV262174 CJR262166:CJR262174 CTN262166:CTN262174 DDJ262166:DDJ262174 DNF262166:DNF262174 DXB262166:DXB262174 EGX262166:EGX262174 EQT262166:EQT262174 FAP262166:FAP262174 FKL262166:FKL262174 FUH262166:FUH262174 GED262166:GED262174 GNZ262166:GNZ262174 GXV262166:GXV262174 HHR262166:HHR262174 HRN262166:HRN262174 IBJ262166:IBJ262174 ILF262166:ILF262174 IVB262166:IVB262174 JEX262166:JEX262174 JOT262166:JOT262174 JYP262166:JYP262174 KIL262166:KIL262174 KSH262166:KSH262174 LCD262166:LCD262174 LLZ262166:LLZ262174 LVV262166:LVV262174 MFR262166:MFR262174 MPN262166:MPN262174 MZJ262166:MZJ262174 NJF262166:NJF262174 NTB262166:NTB262174 OCX262166:OCX262174 OMT262166:OMT262174 OWP262166:OWP262174 PGL262166:PGL262174 PQH262166:PQH262174 QAD262166:QAD262174 QJZ262166:QJZ262174 QTV262166:QTV262174 RDR262166:RDR262174 RNN262166:RNN262174 RXJ262166:RXJ262174 SHF262166:SHF262174 SRB262166:SRB262174 TAX262166:TAX262174 TKT262166:TKT262174 TUP262166:TUP262174 UEL262166:UEL262174 UOH262166:UOH262174 UYD262166:UYD262174 VHZ262166:VHZ262174 VRV262166:VRV262174 WBR262166:WBR262174 WLN262166:WLN262174 WVJ262166:WVJ262174 B327702:B327710 IX327702:IX327710 ST327702:ST327710 ACP327702:ACP327710 AML327702:AML327710 AWH327702:AWH327710 BGD327702:BGD327710 BPZ327702:BPZ327710 BZV327702:BZV327710 CJR327702:CJR327710 CTN327702:CTN327710 DDJ327702:DDJ327710 DNF327702:DNF327710 DXB327702:DXB327710 EGX327702:EGX327710 EQT327702:EQT327710 FAP327702:FAP327710 FKL327702:FKL327710 FUH327702:FUH327710 GED327702:GED327710 GNZ327702:GNZ327710 GXV327702:GXV327710 HHR327702:HHR327710 HRN327702:HRN327710 IBJ327702:IBJ327710 ILF327702:ILF327710 IVB327702:IVB327710 JEX327702:JEX327710 JOT327702:JOT327710 JYP327702:JYP327710 KIL327702:KIL327710 KSH327702:KSH327710 LCD327702:LCD327710 LLZ327702:LLZ327710 LVV327702:LVV327710 MFR327702:MFR327710 MPN327702:MPN327710 MZJ327702:MZJ327710 NJF327702:NJF327710 NTB327702:NTB327710 OCX327702:OCX327710 OMT327702:OMT327710 OWP327702:OWP327710 PGL327702:PGL327710 PQH327702:PQH327710 QAD327702:QAD327710 QJZ327702:QJZ327710 QTV327702:QTV327710 RDR327702:RDR327710 RNN327702:RNN327710 RXJ327702:RXJ327710 SHF327702:SHF327710 SRB327702:SRB327710 TAX327702:TAX327710 TKT327702:TKT327710 TUP327702:TUP327710 UEL327702:UEL327710 UOH327702:UOH327710 UYD327702:UYD327710 VHZ327702:VHZ327710 VRV327702:VRV327710 WBR327702:WBR327710 WLN327702:WLN327710 WVJ327702:WVJ327710 B393238:B393246 IX393238:IX393246 ST393238:ST393246 ACP393238:ACP393246 AML393238:AML393246 AWH393238:AWH393246 BGD393238:BGD393246 BPZ393238:BPZ393246 BZV393238:BZV393246 CJR393238:CJR393246 CTN393238:CTN393246 DDJ393238:DDJ393246 DNF393238:DNF393246 DXB393238:DXB393246 EGX393238:EGX393246 EQT393238:EQT393246 FAP393238:FAP393246 FKL393238:FKL393246 FUH393238:FUH393246 GED393238:GED393246 GNZ393238:GNZ393246 GXV393238:GXV393246 HHR393238:HHR393246 HRN393238:HRN393246 IBJ393238:IBJ393246 ILF393238:ILF393246 IVB393238:IVB393246 JEX393238:JEX393246 JOT393238:JOT393246 JYP393238:JYP393246 KIL393238:KIL393246 KSH393238:KSH393246 LCD393238:LCD393246 LLZ393238:LLZ393246 LVV393238:LVV393246 MFR393238:MFR393246 MPN393238:MPN393246 MZJ393238:MZJ393246 NJF393238:NJF393246 NTB393238:NTB393246 OCX393238:OCX393246 OMT393238:OMT393246 OWP393238:OWP393246 PGL393238:PGL393246 PQH393238:PQH393246 QAD393238:QAD393246 QJZ393238:QJZ393246 QTV393238:QTV393246 RDR393238:RDR393246 RNN393238:RNN393246 RXJ393238:RXJ393246 SHF393238:SHF393246 SRB393238:SRB393246 TAX393238:TAX393246 TKT393238:TKT393246 TUP393238:TUP393246 UEL393238:UEL393246 UOH393238:UOH393246 UYD393238:UYD393246 VHZ393238:VHZ393246 VRV393238:VRV393246 WBR393238:WBR393246 WLN393238:WLN393246 WVJ393238:WVJ393246 B458774:B458782 IX458774:IX458782 ST458774:ST458782 ACP458774:ACP458782 AML458774:AML458782 AWH458774:AWH458782 BGD458774:BGD458782 BPZ458774:BPZ458782 BZV458774:BZV458782 CJR458774:CJR458782 CTN458774:CTN458782 DDJ458774:DDJ458782 DNF458774:DNF458782 DXB458774:DXB458782 EGX458774:EGX458782 EQT458774:EQT458782 FAP458774:FAP458782 FKL458774:FKL458782 FUH458774:FUH458782 GED458774:GED458782 GNZ458774:GNZ458782 GXV458774:GXV458782 HHR458774:HHR458782 HRN458774:HRN458782 IBJ458774:IBJ458782 ILF458774:ILF458782 IVB458774:IVB458782 JEX458774:JEX458782 JOT458774:JOT458782 JYP458774:JYP458782 KIL458774:KIL458782 KSH458774:KSH458782 LCD458774:LCD458782 LLZ458774:LLZ458782 LVV458774:LVV458782 MFR458774:MFR458782 MPN458774:MPN458782 MZJ458774:MZJ458782 NJF458774:NJF458782 NTB458774:NTB458782 OCX458774:OCX458782 OMT458774:OMT458782 OWP458774:OWP458782 PGL458774:PGL458782 PQH458774:PQH458782 QAD458774:QAD458782 QJZ458774:QJZ458782 QTV458774:QTV458782 RDR458774:RDR458782 RNN458774:RNN458782 RXJ458774:RXJ458782 SHF458774:SHF458782 SRB458774:SRB458782 TAX458774:TAX458782 TKT458774:TKT458782 TUP458774:TUP458782 UEL458774:UEL458782 UOH458774:UOH458782 UYD458774:UYD458782 VHZ458774:VHZ458782 VRV458774:VRV458782 WBR458774:WBR458782 WLN458774:WLN458782 WVJ458774:WVJ458782 B524310:B524318 IX524310:IX524318 ST524310:ST524318 ACP524310:ACP524318 AML524310:AML524318 AWH524310:AWH524318 BGD524310:BGD524318 BPZ524310:BPZ524318 BZV524310:BZV524318 CJR524310:CJR524318 CTN524310:CTN524318 DDJ524310:DDJ524318 DNF524310:DNF524318 DXB524310:DXB524318 EGX524310:EGX524318 EQT524310:EQT524318 FAP524310:FAP524318 FKL524310:FKL524318 FUH524310:FUH524318 GED524310:GED524318 GNZ524310:GNZ524318 GXV524310:GXV524318 HHR524310:HHR524318 HRN524310:HRN524318 IBJ524310:IBJ524318 ILF524310:ILF524318 IVB524310:IVB524318 JEX524310:JEX524318 JOT524310:JOT524318 JYP524310:JYP524318 KIL524310:KIL524318 KSH524310:KSH524318 LCD524310:LCD524318 LLZ524310:LLZ524318 LVV524310:LVV524318 MFR524310:MFR524318 MPN524310:MPN524318 MZJ524310:MZJ524318 NJF524310:NJF524318 NTB524310:NTB524318 OCX524310:OCX524318 OMT524310:OMT524318 OWP524310:OWP524318 PGL524310:PGL524318 PQH524310:PQH524318 QAD524310:QAD524318 QJZ524310:QJZ524318 QTV524310:QTV524318 RDR524310:RDR524318 RNN524310:RNN524318 RXJ524310:RXJ524318 SHF524310:SHF524318 SRB524310:SRB524318 TAX524310:TAX524318 TKT524310:TKT524318 TUP524310:TUP524318 UEL524310:UEL524318 UOH524310:UOH524318 UYD524310:UYD524318 VHZ524310:VHZ524318 VRV524310:VRV524318 WBR524310:WBR524318 WLN524310:WLN524318 WVJ524310:WVJ524318 B589846:B589854 IX589846:IX589854 ST589846:ST589854 ACP589846:ACP589854 AML589846:AML589854 AWH589846:AWH589854 BGD589846:BGD589854 BPZ589846:BPZ589854 BZV589846:BZV589854 CJR589846:CJR589854 CTN589846:CTN589854 DDJ589846:DDJ589854 DNF589846:DNF589854 DXB589846:DXB589854 EGX589846:EGX589854 EQT589846:EQT589854 FAP589846:FAP589854 FKL589846:FKL589854 FUH589846:FUH589854 GED589846:GED589854 GNZ589846:GNZ589854 GXV589846:GXV589854 HHR589846:HHR589854 HRN589846:HRN589854 IBJ589846:IBJ589854 ILF589846:ILF589854 IVB589846:IVB589854 JEX589846:JEX589854 JOT589846:JOT589854 JYP589846:JYP589854 KIL589846:KIL589854 KSH589846:KSH589854 LCD589846:LCD589854 LLZ589846:LLZ589854 LVV589846:LVV589854 MFR589846:MFR589854 MPN589846:MPN589854 MZJ589846:MZJ589854 NJF589846:NJF589854 NTB589846:NTB589854 OCX589846:OCX589854 OMT589846:OMT589854 OWP589846:OWP589854 PGL589846:PGL589854 PQH589846:PQH589854 QAD589846:QAD589854 QJZ589846:QJZ589854 QTV589846:QTV589854 RDR589846:RDR589854 RNN589846:RNN589854 RXJ589846:RXJ589854 SHF589846:SHF589854 SRB589846:SRB589854 TAX589846:TAX589854 TKT589846:TKT589854 TUP589846:TUP589854 UEL589846:UEL589854 UOH589846:UOH589854 UYD589846:UYD589854 VHZ589846:VHZ589854 VRV589846:VRV589854 WBR589846:WBR589854 WLN589846:WLN589854 WVJ589846:WVJ589854 B655382:B655390 IX655382:IX655390 ST655382:ST655390 ACP655382:ACP655390 AML655382:AML655390 AWH655382:AWH655390 BGD655382:BGD655390 BPZ655382:BPZ655390 BZV655382:BZV655390 CJR655382:CJR655390 CTN655382:CTN655390 DDJ655382:DDJ655390 DNF655382:DNF655390 DXB655382:DXB655390 EGX655382:EGX655390 EQT655382:EQT655390 FAP655382:FAP655390 FKL655382:FKL655390 FUH655382:FUH655390 GED655382:GED655390 GNZ655382:GNZ655390 GXV655382:GXV655390 HHR655382:HHR655390 HRN655382:HRN655390 IBJ655382:IBJ655390 ILF655382:ILF655390 IVB655382:IVB655390 JEX655382:JEX655390 JOT655382:JOT655390 JYP655382:JYP655390 KIL655382:KIL655390 KSH655382:KSH655390 LCD655382:LCD655390 LLZ655382:LLZ655390 LVV655382:LVV655390 MFR655382:MFR655390 MPN655382:MPN655390 MZJ655382:MZJ655390 NJF655382:NJF655390 NTB655382:NTB655390 OCX655382:OCX655390 OMT655382:OMT655390 OWP655382:OWP655390 PGL655382:PGL655390 PQH655382:PQH655390 QAD655382:QAD655390 QJZ655382:QJZ655390 QTV655382:QTV655390 RDR655382:RDR655390 RNN655382:RNN655390 RXJ655382:RXJ655390 SHF655382:SHF655390 SRB655382:SRB655390 TAX655382:TAX655390 TKT655382:TKT655390 TUP655382:TUP655390 UEL655382:UEL655390 UOH655382:UOH655390 UYD655382:UYD655390 VHZ655382:VHZ655390 VRV655382:VRV655390 WBR655382:WBR655390 WLN655382:WLN655390 WVJ655382:WVJ655390 B720918:B720926 IX720918:IX720926 ST720918:ST720926 ACP720918:ACP720926 AML720918:AML720926 AWH720918:AWH720926 BGD720918:BGD720926 BPZ720918:BPZ720926 BZV720918:BZV720926 CJR720918:CJR720926 CTN720918:CTN720926 DDJ720918:DDJ720926 DNF720918:DNF720926 DXB720918:DXB720926 EGX720918:EGX720926 EQT720918:EQT720926 FAP720918:FAP720926 FKL720918:FKL720926 FUH720918:FUH720926 GED720918:GED720926 GNZ720918:GNZ720926 GXV720918:GXV720926 HHR720918:HHR720926 HRN720918:HRN720926 IBJ720918:IBJ720926 ILF720918:ILF720926 IVB720918:IVB720926 JEX720918:JEX720926 JOT720918:JOT720926 JYP720918:JYP720926 KIL720918:KIL720926 KSH720918:KSH720926 LCD720918:LCD720926 LLZ720918:LLZ720926 LVV720918:LVV720926 MFR720918:MFR720926 MPN720918:MPN720926 MZJ720918:MZJ720926 NJF720918:NJF720926 NTB720918:NTB720926 OCX720918:OCX720926 OMT720918:OMT720926 OWP720918:OWP720926 PGL720918:PGL720926 PQH720918:PQH720926 QAD720918:QAD720926 QJZ720918:QJZ720926 QTV720918:QTV720926 RDR720918:RDR720926 RNN720918:RNN720926 RXJ720918:RXJ720926 SHF720918:SHF720926 SRB720918:SRB720926 TAX720918:TAX720926 TKT720918:TKT720926 TUP720918:TUP720926 UEL720918:UEL720926 UOH720918:UOH720926 UYD720918:UYD720926 VHZ720918:VHZ720926 VRV720918:VRV720926 WBR720918:WBR720926 WLN720918:WLN720926 WVJ720918:WVJ720926 B786454:B786462 IX786454:IX786462 ST786454:ST786462 ACP786454:ACP786462 AML786454:AML786462 AWH786454:AWH786462 BGD786454:BGD786462 BPZ786454:BPZ786462 BZV786454:BZV786462 CJR786454:CJR786462 CTN786454:CTN786462 DDJ786454:DDJ786462 DNF786454:DNF786462 DXB786454:DXB786462 EGX786454:EGX786462 EQT786454:EQT786462 FAP786454:FAP786462 FKL786454:FKL786462 FUH786454:FUH786462 GED786454:GED786462 GNZ786454:GNZ786462 GXV786454:GXV786462 HHR786454:HHR786462 HRN786454:HRN786462 IBJ786454:IBJ786462 ILF786454:ILF786462 IVB786454:IVB786462 JEX786454:JEX786462 JOT786454:JOT786462 JYP786454:JYP786462 KIL786454:KIL786462 KSH786454:KSH786462 LCD786454:LCD786462 LLZ786454:LLZ786462 LVV786454:LVV786462 MFR786454:MFR786462 MPN786454:MPN786462 MZJ786454:MZJ786462 NJF786454:NJF786462 NTB786454:NTB786462 OCX786454:OCX786462 OMT786454:OMT786462 OWP786454:OWP786462 PGL786454:PGL786462 PQH786454:PQH786462 QAD786454:QAD786462 QJZ786454:QJZ786462 QTV786454:QTV786462 RDR786454:RDR786462 RNN786454:RNN786462 RXJ786454:RXJ786462 SHF786454:SHF786462 SRB786454:SRB786462 TAX786454:TAX786462 TKT786454:TKT786462 TUP786454:TUP786462 UEL786454:UEL786462 UOH786454:UOH786462 UYD786454:UYD786462 VHZ786454:VHZ786462 VRV786454:VRV786462 WBR786454:WBR786462 WLN786454:WLN786462 WVJ786454:WVJ786462 B851990:B851998 IX851990:IX851998 ST851990:ST851998 ACP851990:ACP851998 AML851990:AML851998 AWH851990:AWH851998 BGD851990:BGD851998 BPZ851990:BPZ851998 BZV851990:BZV851998 CJR851990:CJR851998 CTN851990:CTN851998 DDJ851990:DDJ851998 DNF851990:DNF851998 DXB851990:DXB851998 EGX851990:EGX851998 EQT851990:EQT851998 FAP851990:FAP851998 FKL851990:FKL851998 FUH851990:FUH851998 GED851990:GED851998 GNZ851990:GNZ851998 GXV851990:GXV851998 HHR851990:HHR851998 HRN851990:HRN851998 IBJ851990:IBJ851998 ILF851990:ILF851998 IVB851990:IVB851998 JEX851990:JEX851998 JOT851990:JOT851998 JYP851990:JYP851998 KIL851990:KIL851998 KSH851990:KSH851998 LCD851990:LCD851998 LLZ851990:LLZ851998 LVV851990:LVV851998 MFR851990:MFR851998 MPN851990:MPN851998 MZJ851990:MZJ851998 NJF851990:NJF851998 NTB851990:NTB851998 OCX851990:OCX851998 OMT851990:OMT851998 OWP851990:OWP851998 PGL851990:PGL851998 PQH851990:PQH851998 QAD851990:QAD851998 QJZ851990:QJZ851998 QTV851990:QTV851998 RDR851990:RDR851998 RNN851990:RNN851998 RXJ851990:RXJ851998 SHF851990:SHF851998 SRB851990:SRB851998 TAX851990:TAX851998 TKT851990:TKT851998 TUP851990:TUP851998 UEL851990:UEL851998 UOH851990:UOH851998 UYD851990:UYD851998 VHZ851990:VHZ851998 VRV851990:VRV851998 WBR851990:WBR851998 WLN851990:WLN851998 WVJ851990:WVJ851998 B917526:B917534 IX917526:IX917534 ST917526:ST917534 ACP917526:ACP917534 AML917526:AML917534 AWH917526:AWH917534 BGD917526:BGD917534 BPZ917526:BPZ917534 BZV917526:BZV917534 CJR917526:CJR917534 CTN917526:CTN917534 DDJ917526:DDJ917534 DNF917526:DNF917534 DXB917526:DXB917534 EGX917526:EGX917534 EQT917526:EQT917534 FAP917526:FAP917534 FKL917526:FKL917534 FUH917526:FUH917534 GED917526:GED917534 GNZ917526:GNZ917534 GXV917526:GXV917534 HHR917526:HHR917534 HRN917526:HRN917534 IBJ917526:IBJ917534 ILF917526:ILF917534 IVB917526:IVB917534 JEX917526:JEX917534 JOT917526:JOT917534 JYP917526:JYP917534 KIL917526:KIL917534 KSH917526:KSH917534 LCD917526:LCD917534 LLZ917526:LLZ917534 LVV917526:LVV917534 MFR917526:MFR917534 MPN917526:MPN917534 MZJ917526:MZJ917534 NJF917526:NJF917534 NTB917526:NTB917534 OCX917526:OCX917534 OMT917526:OMT917534 OWP917526:OWP917534 PGL917526:PGL917534 PQH917526:PQH917534 QAD917526:QAD917534 QJZ917526:QJZ917534 QTV917526:QTV917534 RDR917526:RDR917534 RNN917526:RNN917534 RXJ917526:RXJ917534 SHF917526:SHF917534 SRB917526:SRB917534 TAX917526:TAX917534 TKT917526:TKT917534 TUP917526:TUP917534 UEL917526:UEL917534 UOH917526:UOH917534 UYD917526:UYD917534 VHZ917526:VHZ917534 VRV917526:VRV917534 WBR917526:WBR917534 WLN917526:WLN917534 WVJ917526:WVJ917534 B983062:B983070 IX983062:IX983070 ST983062:ST983070 ACP983062:ACP983070 AML983062:AML983070 AWH983062:AWH983070 BGD983062:BGD983070 BPZ983062:BPZ983070 BZV983062:BZV983070 CJR983062:CJR983070 CTN983062:CTN983070 DDJ983062:DDJ983070 DNF983062:DNF983070 DXB983062:DXB983070 EGX983062:EGX983070 EQT983062:EQT983070 FAP983062:FAP983070 FKL983062:FKL983070 FUH983062:FUH983070 GED983062:GED983070 GNZ983062:GNZ983070 GXV983062:GXV983070 HHR983062:HHR983070 HRN983062:HRN983070 IBJ983062:IBJ983070 ILF983062:ILF983070 IVB983062:IVB983070 JEX983062:JEX983070 JOT983062:JOT983070 JYP983062:JYP983070 KIL983062:KIL983070 KSH983062:KSH983070 LCD983062:LCD983070 LLZ983062:LLZ983070 LVV983062:LVV983070 MFR983062:MFR983070 MPN983062:MPN983070 MZJ983062:MZJ983070 NJF983062:NJF983070 NTB983062:NTB983070 OCX983062:OCX983070 OMT983062:OMT983070 OWP983062:OWP983070 PGL983062:PGL983070 PQH983062:PQH983070 QAD983062:QAD983070 QJZ983062:QJZ983070 QTV983062:QTV983070 RDR983062:RDR983070 RNN983062:RNN983070 RXJ983062:RXJ983070 SHF983062:SHF983070 SRB983062:SRB983070 TAX983062:TAX983070 TKT983062:TKT983070 TUP983062:TUP983070 UEL983062:UEL983070 UOH983062:UOH983070 UYD983062:UYD983070 VHZ983062:VHZ983070 VRV983062:VRV983070 WBR983062:WBR983070 WLN983062:WLN983070 WVJ983062:WVJ983070" xr:uid="{74AE0873-F02F-4683-A9E0-8442CD647705}">
      <formula1>$A$37:$A$77</formula1>
    </dataValidation>
  </dataValidations>
  <printOptions horizontalCentered="1"/>
  <pageMargins left="0.74803149606299213" right="0.70866141732283472" top="0.74803149606299213" bottom="0.9055118110236221" header="0.39370078740157483" footer="0.39370078740157483"/>
  <pageSetup paperSize="9" scale="95" orientation="portrait" r:id="rId1"/>
  <headerFooter scaleWithDoc="0" alignWithMargins="0">
    <oddHeader xml:space="preserve">&amp;L&amp;"-,Regular"&amp;8&amp;F&amp;R&amp;"-,Regular"&amp;8&amp;A
________________________________________________________________________________________
</oddHeader>
    <oddFooter>&amp;L&amp;"-,Regular"&amp;8________________________________________________________________________________________
NZ Transport Agency’s Economic evaluation manual 
Effective from Jul 2013</oddFooter>
  </headerFooter>
  <drawing r:id="rId2"/>
  <legacyDrawing r:id="rId3"/>
</worksheet>
</file>

<file path=xl/worksheets/sheet9.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3055658F-580D-43A4-B340-06DF8BB0016B}">
  <sheetPr>
    <pageSetUpPr fitToPage="1"/>
  </sheetPr>
  <dimension ref="A1:Z82"/>
  <sheetViews>
    <sheetView zoomScaleNormal="100" workbookViewId="0"/>
  </sheetViews>
  <sheetFormatPr defaultRowHeight="12.6"/>
  <cols>
    <col min="1" max="1" width="2.5" style="55" customWidth="1"/>
    <col min="2" max="2" width="0.8984375" style="55" customWidth="1"/>
    <col min="3" max="4" width="6" style="55" customWidth="1"/>
    <col min="5" max="5" width="6.8984375" style="55" customWidth="1"/>
    <col min="6" max="6" width="5.09765625" style="55" customWidth="1"/>
    <col min="7" max="7" width="7.19921875" style="55" customWidth="1"/>
    <col min="8" max="8" width="7.5" style="55" customWidth="1"/>
    <col min="9" max="10" width="5.59765625" style="55" customWidth="1"/>
    <col min="11" max="18" width="4.5" style="55" customWidth="1"/>
    <col min="19" max="19" width="3.19921875" style="56" customWidth="1"/>
    <col min="20" max="256" width="9" style="55"/>
    <col min="257" max="257" width="2.5" style="55" customWidth="1"/>
    <col min="258" max="258" width="0.8984375" style="55" customWidth="1"/>
    <col min="259" max="260" width="6" style="55" customWidth="1"/>
    <col min="261" max="261" width="6.8984375" style="55" customWidth="1"/>
    <col min="262" max="262" width="5.09765625" style="55" customWidth="1"/>
    <col min="263" max="263" width="4.5" style="55" customWidth="1"/>
    <col min="264" max="264" width="5.69921875" style="55" customWidth="1"/>
    <col min="265" max="274" width="4.5" style="55" customWidth="1"/>
    <col min="275" max="275" width="3.19921875" style="55" customWidth="1"/>
    <col min="276" max="512" width="9" style="55"/>
    <col min="513" max="513" width="2.5" style="55" customWidth="1"/>
    <col min="514" max="514" width="0.8984375" style="55" customWidth="1"/>
    <col min="515" max="516" width="6" style="55" customWidth="1"/>
    <col min="517" max="517" width="6.8984375" style="55" customWidth="1"/>
    <col min="518" max="518" width="5.09765625" style="55" customWidth="1"/>
    <col min="519" max="519" width="4.5" style="55" customWidth="1"/>
    <col min="520" max="520" width="5.69921875" style="55" customWidth="1"/>
    <col min="521" max="530" width="4.5" style="55" customWidth="1"/>
    <col min="531" max="531" width="3.19921875" style="55" customWidth="1"/>
    <col min="532" max="768" width="9" style="55"/>
    <col min="769" max="769" width="2.5" style="55" customWidth="1"/>
    <col min="770" max="770" width="0.8984375" style="55" customWidth="1"/>
    <col min="771" max="772" width="6" style="55" customWidth="1"/>
    <col min="773" max="773" width="6.8984375" style="55" customWidth="1"/>
    <col min="774" max="774" width="5.09765625" style="55" customWidth="1"/>
    <col min="775" max="775" width="4.5" style="55" customWidth="1"/>
    <col min="776" max="776" width="5.69921875" style="55" customWidth="1"/>
    <col min="777" max="786" width="4.5" style="55" customWidth="1"/>
    <col min="787" max="787" width="3.19921875" style="55" customWidth="1"/>
    <col min="788" max="1024" width="9" style="55"/>
    <col min="1025" max="1025" width="2.5" style="55" customWidth="1"/>
    <col min="1026" max="1026" width="0.8984375" style="55" customWidth="1"/>
    <col min="1027" max="1028" width="6" style="55" customWidth="1"/>
    <col min="1029" max="1029" width="6.8984375" style="55" customWidth="1"/>
    <col min="1030" max="1030" width="5.09765625" style="55" customWidth="1"/>
    <col min="1031" max="1031" width="4.5" style="55" customWidth="1"/>
    <col min="1032" max="1032" width="5.69921875" style="55" customWidth="1"/>
    <col min="1033" max="1042" width="4.5" style="55" customWidth="1"/>
    <col min="1043" max="1043" width="3.19921875" style="55" customWidth="1"/>
    <col min="1044" max="1280" width="9" style="55"/>
    <col min="1281" max="1281" width="2.5" style="55" customWidth="1"/>
    <col min="1282" max="1282" width="0.8984375" style="55" customWidth="1"/>
    <col min="1283" max="1284" width="6" style="55" customWidth="1"/>
    <col min="1285" max="1285" width="6.8984375" style="55" customWidth="1"/>
    <col min="1286" max="1286" width="5.09765625" style="55" customWidth="1"/>
    <col min="1287" max="1287" width="4.5" style="55" customWidth="1"/>
    <col min="1288" max="1288" width="5.69921875" style="55" customWidth="1"/>
    <col min="1289" max="1298" width="4.5" style="55" customWidth="1"/>
    <col min="1299" max="1299" width="3.19921875" style="55" customWidth="1"/>
    <col min="1300" max="1536" width="9" style="55"/>
    <col min="1537" max="1537" width="2.5" style="55" customWidth="1"/>
    <col min="1538" max="1538" width="0.8984375" style="55" customWidth="1"/>
    <col min="1539" max="1540" width="6" style="55" customWidth="1"/>
    <col min="1541" max="1541" width="6.8984375" style="55" customWidth="1"/>
    <col min="1542" max="1542" width="5.09765625" style="55" customWidth="1"/>
    <col min="1543" max="1543" width="4.5" style="55" customWidth="1"/>
    <col min="1544" max="1544" width="5.69921875" style="55" customWidth="1"/>
    <col min="1545" max="1554" width="4.5" style="55" customWidth="1"/>
    <col min="1555" max="1555" width="3.19921875" style="55" customWidth="1"/>
    <col min="1556" max="1792" width="9" style="55"/>
    <col min="1793" max="1793" width="2.5" style="55" customWidth="1"/>
    <col min="1794" max="1794" width="0.8984375" style="55" customWidth="1"/>
    <col min="1795" max="1796" width="6" style="55" customWidth="1"/>
    <col min="1797" max="1797" width="6.8984375" style="55" customWidth="1"/>
    <col min="1798" max="1798" width="5.09765625" style="55" customWidth="1"/>
    <col min="1799" max="1799" width="4.5" style="55" customWidth="1"/>
    <col min="1800" max="1800" width="5.69921875" style="55" customWidth="1"/>
    <col min="1801" max="1810" width="4.5" style="55" customWidth="1"/>
    <col min="1811" max="1811" width="3.19921875" style="55" customWidth="1"/>
    <col min="1812" max="2048" width="9" style="55"/>
    <col min="2049" max="2049" width="2.5" style="55" customWidth="1"/>
    <col min="2050" max="2050" width="0.8984375" style="55" customWidth="1"/>
    <col min="2051" max="2052" width="6" style="55" customWidth="1"/>
    <col min="2053" max="2053" width="6.8984375" style="55" customWidth="1"/>
    <col min="2054" max="2054" width="5.09765625" style="55" customWidth="1"/>
    <col min="2055" max="2055" width="4.5" style="55" customWidth="1"/>
    <col min="2056" max="2056" width="5.69921875" style="55" customWidth="1"/>
    <col min="2057" max="2066" width="4.5" style="55" customWidth="1"/>
    <col min="2067" max="2067" width="3.19921875" style="55" customWidth="1"/>
    <col min="2068" max="2304" width="9" style="55"/>
    <col min="2305" max="2305" width="2.5" style="55" customWidth="1"/>
    <col min="2306" max="2306" width="0.8984375" style="55" customWidth="1"/>
    <col min="2307" max="2308" width="6" style="55" customWidth="1"/>
    <col min="2309" max="2309" width="6.8984375" style="55" customWidth="1"/>
    <col min="2310" max="2310" width="5.09765625" style="55" customWidth="1"/>
    <col min="2311" max="2311" width="4.5" style="55" customWidth="1"/>
    <col min="2312" max="2312" width="5.69921875" style="55" customWidth="1"/>
    <col min="2313" max="2322" width="4.5" style="55" customWidth="1"/>
    <col min="2323" max="2323" width="3.19921875" style="55" customWidth="1"/>
    <col min="2324" max="2560" width="9" style="55"/>
    <col min="2561" max="2561" width="2.5" style="55" customWidth="1"/>
    <col min="2562" max="2562" width="0.8984375" style="55" customWidth="1"/>
    <col min="2563" max="2564" width="6" style="55" customWidth="1"/>
    <col min="2565" max="2565" width="6.8984375" style="55" customWidth="1"/>
    <col min="2566" max="2566" width="5.09765625" style="55" customWidth="1"/>
    <col min="2567" max="2567" width="4.5" style="55" customWidth="1"/>
    <col min="2568" max="2568" width="5.69921875" style="55" customWidth="1"/>
    <col min="2569" max="2578" width="4.5" style="55" customWidth="1"/>
    <col min="2579" max="2579" width="3.19921875" style="55" customWidth="1"/>
    <col min="2580" max="2816" width="9" style="55"/>
    <col min="2817" max="2817" width="2.5" style="55" customWidth="1"/>
    <col min="2818" max="2818" width="0.8984375" style="55" customWidth="1"/>
    <col min="2819" max="2820" width="6" style="55" customWidth="1"/>
    <col min="2821" max="2821" width="6.8984375" style="55" customWidth="1"/>
    <col min="2822" max="2822" width="5.09765625" style="55" customWidth="1"/>
    <col min="2823" max="2823" width="4.5" style="55" customWidth="1"/>
    <col min="2824" max="2824" width="5.69921875" style="55" customWidth="1"/>
    <col min="2825" max="2834" width="4.5" style="55" customWidth="1"/>
    <col min="2835" max="2835" width="3.19921875" style="55" customWidth="1"/>
    <col min="2836" max="3072" width="9" style="55"/>
    <col min="3073" max="3073" width="2.5" style="55" customWidth="1"/>
    <col min="3074" max="3074" width="0.8984375" style="55" customWidth="1"/>
    <col min="3075" max="3076" width="6" style="55" customWidth="1"/>
    <col min="3077" max="3077" width="6.8984375" style="55" customWidth="1"/>
    <col min="3078" max="3078" width="5.09765625" style="55" customWidth="1"/>
    <col min="3079" max="3079" width="4.5" style="55" customWidth="1"/>
    <col min="3080" max="3080" width="5.69921875" style="55" customWidth="1"/>
    <col min="3081" max="3090" width="4.5" style="55" customWidth="1"/>
    <col min="3091" max="3091" width="3.19921875" style="55" customWidth="1"/>
    <col min="3092" max="3328" width="9" style="55"/>
    <col min="3329" max="3329" width="2.5" style="55" customWidth="1"/>
    <col min="3330" max="3330" width="0.8984375" style="55" customWidth="1"/>
    <col min="3331" max="3332" width="6" style="55" customWidth="1"/>
    <col min="3333" max="3333" width="6.8984375" style="55" customWidth="1"/>
    <col min="3334" max="3334" width="5.09765625" style="55" customWidth="1"/>
    <col min="3335" max="3335" width="4.5" style="55" customWidth="1"/>
    <col min="3336" max="3336" width="5.69921875" style="55" customWidth="1"/>
    <col min="3337" max="3346" width="4.5" style="55" customWidth="1"/>
    <col min="3347" max="3347" width="3.19921875" style="55" customWidth="1"/>
    <col min="3348" max="3584" width="9" style="55"/>
    <col min="3585" max="3585" width="2.5" style="55" customWidth="1"/>
    <col min="3586" max="3586" width="0.8984375" style="55" customWidth="1"/>
    <col min="3587" max="3588" width="6" style="55" customWidth="1"/>
    <col min="3589" max="3589" width="6.8984375" style="55" customWidth="1"/>
    <col min="3590" max="3590" width="5.09765625" style="55" customWidth="1"/>
    <col min="3591" max="3591" width="4.5" style="55" customWidth="1"/>
    <col min="3592" max="3592" width="5.69921875" style="55" customWidth="1"/>
    <col min="3593" max="3602" width="4.5" style="55" customWidth="1"/>
    <col min="3603" max="3603" width="3.19921875" style="55" customWidth="1"/>
    <col min="3604" max="3840" width="9" style="55"/>
    <col min="3841" max="3841" width="2.5" style="55" customWidth="1"/>
    <col min="3842" max="3842" width="0.8984375" style="55" customWidth="1"/>
    <col min="3843" max="3844" width="6" style="55" customWidth="1"/>
    <col min="3845" max="3845" width="6.8984375" style="55" customWidth="1"/>
    <col min="3846" max="3846" width="5.09765625" style="55" customWidth="1"/>
    <col min="3847" max="3847" width="4.5" style="55" customWidth="1"/>
    <col min="3848" max="3848" width="5.69921875" style="55" customWidth="1"/>
    <col min="3849" max="3858" width="4.5" style="55" customWidth="1"/>
    <col min="3859" max="3859" width="3.19921875" style="55" customWidth="1"/>
    <col min="3860" max="4096" width="9" style="55"/>
    <col min="4097" max="4097" width="2.5" style="55" customWidth="1"/>
    <col min="4098" max="4098" width="0.8984375" style="55" customWidth="1"/>
    <col min="4099" max="4100" width="6" style="55" customWidth="1"/>
    <col min="4101" max="4101" width="6.8984375" style="55" customWidth="1"/>
    <col min="4102" max="4102" width="5.09765625" style="55" customWidth="1"/>
    <col min="4103" max="4103" width="4.5" style="55" customWidth="1"/>
    <col min="4104" max="4104" width="5.69921875" style="55" customWidth="1"/>
    <col min="4105" max="4114" width="4.5" style="55" customWidth="1"/>
    <col min="4115" max="4115" width="3.19921875" style="55" customWidth="1"/>
    <col min="4116" max="4352" width="9" style="55"/>
    <col min="4353" max="4353" width="2.5" style="55" customWidth="1"/>
    <col min="4354" max="4354" width="0.8984375" style="55" customWidth="1"/>
    <col min="4355" max="4356" width="6" style="55" customWidth="1"/>
    <col min="4357" max="4357" width="6.8984375" style="55" customWidth="1"/>
    <col min="4358" max="4358" width="5.09765625" style="55" customWidth="1"/>
    <col min="4359" max="4359" width="4.5" style="55" customWidth="1"/>
    <col min="4360" max="4360" width="5.69921875" style="55" customWidth="1"/>
    <col min="4361" max="4370" width="4.5" style="55" customWidth="1"/>
    <col min="4371" max="4371" width="3.19921875" style="55" customWidth="1"/>
    <col min="4372" max="4608" width="9" style="55"/>
    <col min="4609" max="4609" width="2.5" style="55" customWidth="1"/>
    <col min="4610" max="4610" width="0.8984375" style="55" customWidth="1"/>
    <col min="4611" max="4612" width="6" style="55" customWidth="1"/>
    <col min="4613" max="4613" width="6.8984375" style="55" customWidth="1"/>
    <col min="4614" max="4614" width="5.09765625" style="55" customWidth="1"/>
    <col min="4615" max="4615" width="4.5" style="55" customWidth="1"/>
    <col min="4616" max="4616" width="5.69921875" style="55" customWidth="1"/>
    <col min="4617" max="4626" width="4.5" style="55" customWidth="1"/>
    <col min="4627" max="4627" width="3.19921875" style="55" customWidth="1"/>
    <col min="4628" max="4864" width="9" style="55"/>
    <col min="4865" max="4865" width="2.5" style="55" customWidth="1"/>
    <col min="4866" max="4866" width="0.8984375" style="55" customWidth="1"/>
    <col min="4867" max="4868" width="6" style="55" customWidth="1"/>
    <col min="4869" max="4869" width="6.8984375" style="55" customWidth="1"/>
    <col min="4870" max="4870" width="5.09765625" style="55" customWidth="1"/>
    <col min="4871" max="4871" width="4.5" style="55" customWidth="1"/>
    <col min="4872" max="4872" width="5.69921875" style="55" customWidth="1"/>
    <col min="4873" max="4882" width="4.5" style="55" customWidth="1"/>
    <col min="4883" max="4883" width="3.19921875" style="55" customWidth="1"/>
    <col min="4884" max="5120" width="9" style="55"/>
    <col min="5121" max="5121" width="2.5" style="55" customWidth="1"/>
    <col min="5122" max="5122" width="0.8984375" style="55" customWidth="1"/>
    <col min="5123" max="5124" width="6" style="55" customWidth="1"/>
    <col min="5125" max="5125" width="6.8984375" style="55" customWidth="1"/>
    <col min="5126" max="5126" width="5.09765625" style="55" customWidth="1"/>
    <col min="5127" max="5127" width="4.5" style="55" customWidth="1"/>
    <col min="5128" max="5128" width="5.69921875" style="55" customWidth="1"/>
    <col min="5129" max="5138" width="4.5" style="55" customWidth="1"/>
    <col min="5139" max="5139" width="3.19921875" style="55" customWidth="1"/>
    <col min="5140" max="5376" width="9" style="55"/>
    <col min="5377" max="5377" width="2.5" style="55" customWidth="1"/>
    <col min="5378" max="5378" width="0.8984375" style="55" customWidth="1"/>
    <col min="5379" max="5380" width="6" style="55" customWidth="1"/>
    <col min="5381" max="5381" width="6.8984375" style="55" customWidth="1"/>
    <col min="5382" max="5382" width="5.09765625" style="55" customWidth="1"/>
    <col min="5383" max="5383" width="4.5" style="55" customWidth="1"/>
    <col min="5384" max="5384" width="5.69921875" style="55" customWidth="1"/>
    <col min="5385" max="5394" width="4.5" style="55" customWidth="1"/>
    <col min="5395" max="5395" width="3.19921875" style="55" customWidth="1"/>
    <col min="5396" max="5632" width="9" style="55"/>
    <col min="5633" max="5633" width="2.5" style="55" customWidth="1"/>
    <col min="5634" max="5634" width="0.8984375" style="55" customWidth="1"/>
    <col min="5635" max="5636" width="6" style="55" customWidth="1"/>
    <col min="5637" max="5637" width="6.8984375" style="55" customWidth="1"/>
    <col min="5638" max="5638" width="5.09765625" style="55" customWidth="1"/>
    <col min="5639" max="5639" width="4.5" style="55" customWidth="1"/>
    <col min="5640" max="5640" width="5.69921875" style="55" customWidth="1"/>
    <col min="5641" max="5650" width="4.5" style="55" customWidth="1"/>
    <col min="5651" max="5651" width="3.19921875" style="55" customWidth="1"/>
    <col min="5652" max="5888" width="9" style="55"/>
    <col min="5889" max="5889" width="2.5" style="55" customWidth="1"/>
    <col min="5890" max="5890" width="0.8984375" style="55" customWidth="1"/>
    <col min="5891" max="5892" width="6" style="55" customWidth="1"/>
    <col min="5893" max="5893" width="6.8984375" style="55" customWidth="1"/>
    <col min="5894" max="5894" width="5.09765625" style="55" customWidth="1"/>
    <col min="5895" max="5895" width="4.5" style="55" customWidth="1"/>
    <col min="5896" max="5896" width="5.69921875" style="55" customWidth="1"/>
    <col min="5897" max="5906" width="4.5" style="55" customWidth="1"/>
    <col min="5907" max="5907" width="3.19921875" style="55" customWidth="1"/>
    <col min="5908" max="6144" width="9" style="55"/>
    <col min="6145" max="6145" width="2.5" style="55" customWidth="1"/>
    <col min="6146" max="6146" width="0.8984375" style="55" customWidth="1"/>
    <col min="6147" max="6148" width="6" style="55" customWidth="1"/>
    <col min="6149" max="6149" width="6.8984375" style="55" customWidth="1"/>
    <col min="6150" max="6150" width="5.09765625" style="55" customWidth="1"/>
    <col min="6151" max="6151" width="4.5" style="55" customWidth="1"/>
    <col min="6152" max="6152" width="5.69921875" style="55" customWidth="1"/>
    <col min="6153" max="6162" width="4.5" style="55" customWidth="1"/>
    <col min="6163" max="6163" width="3.19921875" style="55" customWidth="1"/>
    <col min="6164" max="6400" width="9" style="55"/>
    <col min="6401" max="6401" width="2.5" style="55" customWidth="1"/>
    <col min="6402" max="6402" width="0.8984375" style="55" customWidth="1"/>
    <col min="6403" max="6404" width="6" style="55" customWidth="1"/>
    <col min="6405" max="6405" width="6.8984375" style="55" customWidth="1"/>
    <col min="6406" max="6406" width="5.09765625" style="55" customWidth="1"/>
    <col min="6407" max="6407" width="4.5" style="55" customWidth="1"/>
    <col min="6408" max="6408" width="5.69921875" style="55" customWidth="1"/>
    <col min="6409" max="6418" width="4.5" style="55" customWidth="1"/>
    <col min="6419" max="6419" width="3.19921875" style="55" customWidth="1"/>
    <col min="6420" max="6656" width="9" style="55"/>
    <col min="6657" max="6657" width="2.5" style="55" customWidth="1"/>
    <col min="6658" max="6658" width="0.8984375" style="55" customWidth="1"/>
    <col min="6659" max="6660" width="6" style="55" customWidth="1"/>
    <col min="6661" max="6661" width="6.8984375" style="55" customWidth="1"/>
    <col min="6662" max="6662" width="5.09765625" style="55" customWidth="1"/>
    <col min="6663" max="6663" width="4.5" style="55" customWidth="1"/>
    <col min="6664" max="6664" width="5.69921875" style="55" customWidth="1"/>
    <col min="6665" max="6674" width="4.5" style="55" customWidth="1"/>
    <col min="6675" max="6675" width="3.19921875" style="55" customWidth="1"/>
    <col min="6676" max="6912" width="9" style="55"/>
    <col min="6913" max="6913" width="2.5" style="55" customWidth="1"/>
    <col min="6914" max="6914" width="0.8984375" style="55" customWidth="1"/>
    <col min="6915" max="6916" width="6" style="55" customWidth="1"/>
    <col min="6917" max="6917" width="6.8984375" style="55" customWidth="1"/>
    <col min="6918" max="6918" width="5.09765625" style="55" customWidth="1"/>
    <col min="6919" max="6919" width="4.5" style="55" customWidth="1"/>
    <col min="6920" max="6920" width="5.69921875" style="55" customWidth="1"/>
    <col min="6921" max="6930" width="4.5" style="55" customWidth="1"/>
    <col min="6931" max="6931" width="3.19921875" style="55" customWidth="1"/>
    <col min="6932" max="7168" width="9" style="55"/>
    <col min="7169" max="7169" width="2.5" style="55" customWidth="1"/>
    <col min="7170" max="7170" width="0.8984375" style="55" customWidth="1"/>
    <col min="7171" max="7172" width="6" style="55" customWidth="1"/>
    <col min="7173" max="7173" width="6.8984375" style="55" customWidth="1"/>
    <col min="7174" max="7174" width="5.09765625" style="55" customWidth="1"/>
    <col min="7175" max="7175" width="4.5" style="55" customWidth="1"/>
    <col min="7176" max="7176" width="5.69921875" style="55" customWidth="1"/>
    <col min="7177" max="7186" width="4.5" style="55" customWidth="1"/>
    <col min="7187" max="7187" width="3.19921875" style="55" customWidth="1"/>
    <col min="7188" max="7424" width="9" style="55"/>
    <col min="7425" max="7425" width="2.5" style="55" customWidth="1"/>
    <col min="7426" max="7426" width="0.8984375" style="55" customWidth="1"/>
    <col min="7427" max="7428" width="6" style="55" customWidth="1"/>
    <col min="7429" max="7429" width="6.8984375" style="55" customWidth="1"/>
    <col min="7430" max="7430" width="5.09765625" style="55" customWidth="1"/>
    <col min="7431" max="7431" width="4.5" style="55" customWidth="1"/>
    <col min="7432" max="7432" width="5.69921875" style="55" customWidth="1"/>
    <col min="7433" max="7442" width="4.5" style="55" customWidth="1"/>
    <col min="7443" max="7443" width="3.19921875" style="55" customWidth="1"/>
    <col min="7444" max="7680" width="9" style="55"/>
    <col min="7681" max="7681" width="2.5" style="55" customWidth="1"/>
    <col min="7682" max="7682" width="0.8984375" style="55" customWidth="1"/>
    <col min="7683" max="7684" width="6" style="55" customWidth="1"/>
    <col min="7685" max="7685" width="6.8984375" style="55" customWidth="1"/>
    <col min="7686" max="7686" width="5.09765625" style="55" customWidth="1"/>
    <col min="7687" max="7687" width="4.5" style="55" customWidth="1"/>
    <col min="7688" max="7688" width="5.69921875" style="55" customWidth="1"/>
    <col min="7689" max="7698" width="4.5" style="55" customWidth="1"/>
    <col min="7699" max="7699" width="3.19921875" style="55" customWidth="1"/>
    <col min="7700" max="7936" width="9" style="55"/>
    <col min="7937" max="7937" width="2.5" style="55" customWidth="1"/>
    <col min="7938" max="7938" width="0.8984375" style="55" customWidth="1"/>
    <col min="7939" max="7940" width="6" style="55" customWidth="1"/>
    <col min="7941" max="7941" width="6.8984375" style="55" customWidth="1"/>
    <col min="7942" max="7942" width="5.09765625" style="55" customWidth="1"/>
    <col min="7943" max="7943" width="4.5" style="55" customWidth="1"/>
    <col min="7944" max="7944" width="5.69921875" style="55" customWidth="1"/>
    <col min="7945" max="7954" width="4.5" style="55" customWidth="1"/>
    <col min="7955" max="7955" width="3.19921875" style="55" customWidth="1"/>
    <col min="7956" max="8192" width="9" style="55"/>
    <col min="8193" max="8193" width="2.5" style="55" customWidth="1"/>
    <col min="8194" max="8194" width="0.8984375" style="55" customWidth="1"/>
    <col min="8195" max="8196" width="6" style="55" customWidth="1"/>
    <col min="8197" max="8197" width="6.8984375" style="55" customWidth="1"/>
    <col min="8198" max="8198" width="5.09765625" style="55" customWidth="1"/>
    <col min="8199" max="8199" width="4.5" style="55" customWidth="1"/>
    <col min="8200" max="8200" width="5.69921875" style="55" customWidth="1"/>
    <col min="8201" max="8210" width="4.5" style="55" customWidth="1"/>
    <col min="8211" max="8211" width="3.19921875" style="55" customWidth="1"/>
    <col min="8212" max="8448" width="9" style="55"/>
    <col min="8449" max="8449" width="2.5" style="55" customWidth="1"/>
    <col min="8450" max="8450" width="0.8984375" style="55" customWidth="1"/>
    <col min="8451" max="8452" width="6" style="55" customWidth="1"/>
    <col min="8453" max="8453" width="6.8984375" style="55" customWidth="1"/>
    <col min="8454" max="8454" width="5.09765625" style="55" customWidth="1"/>
    <col min="8455" max="8455" width="4.5" style="55" customWidth="1"/>
    <col min="8456" max="8456" width="5.69921875" style="55" customWidth="1"/>
    <col min="8457" max="8466" width="4.5" style="55" customWidth="1"/>
    <col min="8467" max="8467" width="3.19921875" style="55" customWidth="1"/>
    <col min="8468" max="8704" width="9" style="55"/>
    <col min="8705" max="8705" width="2.5" style="55" customWidth="1"/>
    <col min="8706" max="8706" width="0.8984375" style="55" customWidth="1"/>
    <col min="8707" max="8708" width="6" style="55" customWidth="1"/>
    <col min="8709" max="8709" width="6.8984375" style="55" customWidth="1"/>
    <col min="8710" max="8710" width="5.09765625" style="55" customWidth="1"/>
    <col min="8711" max="8711" width="4.5" style="55" customWidth="1"/>
    <col min="8712" max="8712" width="5.69921875" style="55" customWidth="1"/>
    <col min="8713" max="8722" width="4.5" style="55" customWidth="1"/>
    <col min="8723" max="8723" width="3.19921875" style="55" customWidth="1"/>
    <col min="8724" max="8960" width="9" style="55"/>
    <col min="8961" max="8961" width="2.5" style="55" customWidth="1"/>
    <col min="8962" max="8962" width="0.8984375" style="55" customWidth="1"/>
    <col min="8963" max="8964" width="6" style="55" customWidth="1"/>
    <col min="8965" max="8965" width="6.8984375" style="55" customWidth="1"/>
    <col min="8966" max="8966" width="5.09765625" style="55" customWidth="1"/>
    <col min="8967" max="8967" width="4.5" style="55" customWidth="1"/>
    <col min="8968" max="8968" width="5.69921875" style="55" customWidth="1"/>
    <col min="8969" max="8978" width="4.5" style="55" customWidth="1"/>
    <col min="8979" max="8979" width="3.19921875" style="55" customWidth="1"/>
    <col min="8980" max="9216" width="9" style="55"/>
    <col min="9217" max="9217" width="2.5" style="55" customWidth="1"/>
    <col min="9218" max="9218" width="0.8984375" style="55" customWidth="1"/>
    <col min="9219" max="9220" width="6" style="55" customWidth="1"/>
    <col min="9221" max="9221" width="6.8984375" style="55" customWidth="1"/>
    <col min="9222" max="9222" width="5.09765625" style="55" customWidth="1"/>
    <col min="9223" max="9223" width="4.5" style="55" customWidth="1"/>
    <col min="9224" max="9224" width="5.69921875" style="55" customWidth="1"/>
    <col min="9225" max="9234" width="4.5" style="55" customWidth="1"/>
    <col min="9235" max="9235" width="3.19921875" style="55" customWidth="1"/>
    <col min="9236" max="9472" width="9" style="55"/>
    <col min="9473" max="9473" width="2.5" style="55" customWidth="1"/>
    <col min="9474" max="9474" width="0.8984375" style="55" customWidth="1"/>
    <col min="9475" max="9476" width="6" style="55" customWidth="1"/>
    <col min="9477" max="9477" width="6.8984375" style="55" customWidth="1"/>
    <col min="9478" max="9478" width="5.09765625" style="55" customWidth="1"/>
    <col min="9479" max="9479" width="4.5" style="55" customWidth="1"/>
    <col min="9480" max="9480" width="5.69921875" style="55" customWidth="1"/>
    <col min="9481" max="9490" width="4.5" style="55" customWidth="1"/>
    <col min="9491" max="9491" width="3.19921875" style="55" customWidth="1"/>
    <col min="9492" max="9728" width="9" style="55"/>
    <col min="9729" max="9729" width="2.5" style="55" customWidth="1"/>
    <col min="9730" max="9730" width="0.8984375" style="55" customWidth="1"/>
    <col min="9731" max="9732" width="6" style="55" customWidth="1"/>
    <col min="9733" max="9733" width="6.8984375" style="55" customWidth="1"/>
    <col min="9734" max="9734" width="5.09765625" style="55" customWidth="1"/>
    <col min="9735" max="9735" width="4.5" style="55" customWidth="1"/>
    <col min="9736" max="9736" width="5.69921875" style="55" customWidth="1"/>
    <col min="9737" max="9746" width="4.5" style="55" customWidth="1"/>
    <col min="9747" max="9747" width="3.19921875" style="55" customWidth="1"/>
    <col min="9748" max="9984" width="9" style="55"/>
    <col min="9985" max="9985" width="2.5" style="55" customWidth="1"/>
    <col min="9986" max="9986" width="0.8984375" style="55" customWidth="1"/>
    <col min="9987" max="9988" width="6" style="55" customWidth="1"/>
    <col min="9989" max="9989" width="6.8984375" style="55" customWidth="1"/>
    <col min="9990" max="9990" width="5.09765625" style="55" customWidth="1"/>
    <col min="9991" max="9991" width="4.5" style="55" customWidth="1"/>
    <col min="9992" max="9992" width="5.69921875" style="55" customWidth="1"/>
    <col min="9993" max="10002" width="4.5" style="55" customWidth="1"/>
    <col min="10003" max="10003" width="3.19921875" style="55" customWidth="1"/>
    <col min="10004" max="10240" width="9" style="55"/>
    <col min="10241" max="10241" width="2.5" style="55" customWidth="1"/>
    <col min="10242" max="10242" width="0.8984375" style="55" customWidth="1"/>
    <col min="10243" max="10244" width="6" style="55" customWidth="1"/>
    <col min="10245" max="10245" width="6.8984375" style="55" customWidth="1"/>
    <col min="10246" max="10246" width="5.09765625" style="55" customWidth="1"/>
    <col min="10247" max="10247" width="4.5" style="55" customWidth="1"/>
    <col min="10248" max="10248" width="5.69921875" style="55" customWidth="1"/>
    <col min="10249" max="10258" width="4.5" style="55" customWidth="1"/>
    <col min="10259" max="10259" width="3.19921875" style="55" customWidth="1"/>
    <col min="10260" max="10496" width="9" style="55"/>
    <col min="10497" max="10497" width="2.5" style="55" customWidth="1"/>
    <col min="10498" max="10498" width="0.8984375" style="55" customWidth="1"/>
    <col min="10499" max="10500" width="6" style="55" customWidth="1"/>
    <col min="10501" max="10501" width="6.8984375" style="55" customWidth="1"/>
    <col min="10502" max="10502" width="5.09765625" style="55" customWidth="1"/>
    <col min="10503" max="10503" width="4.5" style="55" customWidth="1"/>
    <col min="10504" max="10504" width="5.69921875" style="55" customWidth="1"/>
    <col min="10505" max="10514" width="4.5" style="55" customWidth="1"/>
    <col min="10515" max="10515" width="3.19921875" style="55" customWidth="1"/>
    <col min="10516" max="10752" width="9" style="55"/>
    <col min="10753" max="10753" width="2.5" style="55" customWidth="1"/>
    <col min="10754" max="10754" width="0.8984375" style="55" customWidth="1"/>
    <col min="10755" max="10756" width="6" style="55" customWidth="1"/>
    <col min="10757" max="10757" width="6.8984375" style="55" customWidth="1"/>
    <col min="10758" max="10758" width="5.09765625" style="55" customWidth="1"/>
    <col min="10759" max="10759" width="4.5" style="55" customWidth="1"/>
    <col min="10760" max="10760" width="5.69921875" style="55" customWidth="1"/>
    <col min="10761" max="10770" width="4.5" style="55" customWidth="1"/>
    <col min="10771" max="10771" width="3.19921875" style="55" customWidth="1"/>
    <col min="10772" max="11008" width="9" style="55"/>
    <col min="11009" max="11009" width="2.5" style="55" customWidth="1"/>
    <col min="11010" max="11010" width="0.8984375" style="55" customWidth="1"/>
    <col min="11011" max="11012" width="6" style="55" customWidth="1"/>
    <col min="11013" max="11013" width="6.8984375" style="55" customWidth="1"/>
    <col min="11014" max="11014" width="5.09765625" style="55" customWidth="1"/>
    <col min="11015" max="11015" width="4.5" style="55" customWidth="1"/>
    <col min="11016" max="11016" width="5.69921875" style="55" customWidth="1"/>
    <col min="11017" max="11026" width="4.5" style="55" customWidth="1"/>
    <col min="11027" max="11027" width="3.19921875" style="55" customWidth="1"/>
    <col min="11028" max="11264" width="9" style="55"/>
    <col min="11265" max="11265" width="2.5" style="55" customWidth="1"/>
    <col min="11266" max="11266" width="0.8984375" style="55" customWidth="1"/>
    <col min="11267" max="11268" width="6" style="55" customWidth="1"/>
    <col min="11269" max="11269" width="6.8984375" style="55" customWidth="1"/>
    <col min="11270" max="11270" width="5.09765625" style="55" customWidth="1"/>
    <col min="11271" max="11271" width="4.5" style="55" customWidth="1"/>
    <col min="11272" max="11272" width="5.69921875" style="55" customWidth="1"/>
    <col min="11273" max="11282" width="4.5" style="55" customWidth="1"/>
    <col min="11283" max="11283" width="3.19921875" style="55" customWidth="1"/>
    <col min="11284" max="11520" width="9" style="55"/>
    <col min="11521" max="11521" width="2.5" style="55" customWidth="1"/>
    <col min="11522" max="11522" width="0.8984375" style="55" customWidth="1"/>
    <col min="11523" max="11524" width="6" style="55" customWidth="1"/>
    <col min="11525" max="11525" width="6.8984375" style="55" customWidth="1"/>
    <col min="11526" max="11526" width="5.09765625" style="55" customWidth="1"/>
    <col min="11527" max="11527" width="4.5" style="55" customWidth="1"/>
    <col min="11528" max="11528" width="5.69921875" style="55" customWidth="1"/>
    <col min="11529" max="11538" width="4.5" style="55" customWidth="1"/>
    <col min="11539" max="11539" width="3.19921875" style="55" customWidth="1"/>
    <col min="11540" max="11776" width="9" style="55"/>
    <col min="11777" max="11777" width="2.5" style="55" customWidth="1"/>
    <col min="11778" max="11778" width="0.8984375" style="55" customWidth="1"/>
    <col min="11779" max="11780" width="6" style="55" customWidth="1"/>
    <col min="11781" max="11781" width="6.8984375" style="55" customWidth="1"/>
    <col min="11782" max="11782" width="5.09765625" style="55" customWidth="1"/>
    <col min="11783" max="11783" width="4.5" style="55" customWidth="1"/>
    <col min="11784" max="11784" width="5.69921875" style="55" customWidth="1"/>
    <col min="11785" max="11794" width="4.5" style="55" customWidth="1"/>
    <col min="11795" max="11795" width="3.19921875" style="55" customWidth="1"/>
    <col min="11796" max="12032" width="9" style="55"/>
    <col min="12033" max="12033" width="2.5" style="55" customWidth="1"/>
    <col min="12034" max="12034" width="0.8984375" style="55" customWidth="1"/>
    <col min="12035" max="12036" width="6" style="55" customWidth="1"/>
    <col min="12037" max="12037" width="6.8984375" style="55" customWidth="1"/>
    <col min="12038" max="12038" width="5.09765625" style="55" customWidth="1"/>
    <col min="12039" max="12039" width="4.5" style="55" customWidth="1"/>
    <col min="12040" max="12040" width="5.69921875" style="55" customWidth="1"/>
    <col min="12041" max="12050" width="4.5" style="55" customWidth="1"/>
    <col min="12051" max="12051" width="3.19921875" style="55" customWidth="1"/>
    <col min="12052" max="12288" width="9" style="55"/>
    <col min="12289" max="12289" width="2.5" style="55" customWidth="1"/>
    <col min="12290" max="12290" width="0.8984375" style="55" customWidth="1"/>
    <col min="12291" max="12292" width="6" style="55" customWidth="1"/>
    <col min="12293" max="12293" width="6.8984375" style="55" customWidth="1"/>
    <col min="12294" max="12294" width="5.09765625" style="55" customWidth="1"/>
    <col min="12295" max="12295" width="4.5" style="55" customWidth="1"/>
    <col min="12296" max="12296" width="5.69921875" style="55" customWidth="1"/>
    <col min="12297" max="12306" width="4.5" style="55" customWidth="1"/>
    <col min="12307" max="12307" width="3.19921875" style="55" customWidth="1"/>
    <col min="12308" max="12544" width="9" style="55"/>
    <col min="12545" max="12545" width="2.5" style="55" customWidth="1"/>
    <col min="12546" max="12546" width="0.8984375" style="55" customWidth="1"/>
    <col min="12547" max="12548" width="6" style="55" customWidth="1"/>
    <col min="12549" max="12549" width="6.8984375" style="55" customWidth="1"/>
    <col min="12550" max="12550" width="5.09765625" style="55" customWidth="1"/>
    <col min="12551" max="12551" width="4.5" style="55" customWidth="1"/>
    <col min="12552" max="12552" width="5.69921875" style="55" customWidth="1"/>
    <col min="12553" max="12562" width="4.5" style="55" customWidth="1"/>
    <col min="12563" max="12563" width="3.19921875" style="55" customWidth="1"/>
    <col min="12564" max="12800" width="9" style="55"/>
    <col min="12801" max="12801" width="2.5" style="55" customWidth="1"/>
    <col min="12802" max="12802" width="0.8984375" style="55" customWidth="1"/>
    <col min="12803" max="12804" width="6" style="55" customWidth="1"/>
    <col min="12805" max="12805" width="6.8984375" style="55" customWidth="1"/>
    <col min="12806" max="12806" width="5.09765625" style="55" customWidth="1"/>
    <col min="12807" max="12807" width="4.5" style="55" customWidth="1"/>
    <col min="12808" max="12808" width="5.69921875" style="55" customWidth="1"/>
    <col min="12809" max="12818" width="4.5" style="55" customWidth="1"/>
    <col min="12819" max="12819" width="3.19921875" style="55" customWidth="1"/>
    <col min="12820" max="13056" width="9" style="55"/>
    <col min="13057" max="13057" width="2.5" style="55" customWidth="1"/>
    <col min="13058" max="13058" width="0.8984375" style="55" customWidth="1"/>
    <col min="13059" max="13060" width="6" style="55" customWidth="1"/>
    <col min="13061" max="13061" width="6.8984375" style="55" customWidth="1"/>
    <col min="13062" max="13062" width="5.09765625" style="55" customWidth="1"/>
    <col min="13063" max="13063" width="4.5" style="55" customWidth="1"/>
    <col min="13064" max="13064" width="5.69921875" style="55" customWidth="1"/>
    <col min="13065" max="13074" width="4.5" style="55" customWidth="1"/>
    <col min="13075" max="13075" width="3.19921875" style="55" customWidth="1"/>
    <col min="13076" max="13312" width="9" style="55"/>
    <col min="13313" max="13313" width="2.5" style="55" customWidth="1"/>
    <col min="13314" max="13314" width="0.8984375" style="55" customWidth="1"/>
    <col min="13315" max="13316" width="6" style="55" customWidth="1"/>
    <col min="13317" max="13317" width="6.8984375" style="55" customWidth="1"/>
    <col min="13318" max="13318" width="5.09765625" style="55" customWidth="1"/>
    <col min="13319" max="13319" width="4.5" style="55" customWidth="1"/>
    <col min="13320" max="13320" width="5.69921875" style="55" customWidth="1"/>
    <col min="13321" max="13330" width="4.5" style="55" customWidth="1"/>
    <col min="13331" max="13331" width="3.19921875" style="55" customWidth="1"/>
    <col min="13332" max="13568" width="9" style="55"/>
    <col min="13569" max="13569" width="2.5" style="55" customWidth="1"/>
    <col min="13570" max="13570" width="0.8984375" style="55" customWidth="1"/>
    <col min="13571" max="13572" width="6" style="55" customWidth="1"/>
    <col min="13573" max="13573" width="6.8984375" style="55" customWidth="1"/>
    <col min="13574" max="13574" width="5.09765625" style="55" customWidth="1"/>
    <col min="13575" max="13575" width="4.5" style="55" customWidth="1"/>
    <col min="13576" max="13576" width="5.69921875" style="55" customWidth="1"/>
    <col min="13577" max="13586" width="4.5" style="55" customWidth="1"/>
    <col min="13587" max="13587" width="3.19921875" style="55" customWidth="1"/>
    <col min="13588" max="13824" width="9" style="55"/>
    <col min="13825" max="13825" width="2.5" style="55" customWidth="1"/>
    <col min="13826" max="13826" width="0.8984375" style="55" customWidth="1"/>
    <col min="13827" max="13828" width="6" style="55" customWidth="1"/>
    <col min="13829" max="13829" width="6.8984375" style="55" customWidth="1"/>
    <col min="13830" max="13830" width="5.09765625" style="55" customWidth="1"/>
    <col min="13831" max="13831" width="4.5" style="55" customWidth="1"/>
    <col min="13832" max="13832" width="5.69921875" style="55" customWidth="1"/>
    <col min="13833" max="13842" width="4.5" style="55" customWidth="1"/>
    <col min="13843" max="13843" width="3.19921875" style="55" customWidth="1"/>
    <col min="13844" max="14080" width="9" style="55"/>
    <col min="14081" max="14081" width="2.5" style="55" customWidth="1"/>
    <col min="14082" max="14082" width="0.8984375" style="55" customWidth="1"/>
    <col min="14083" max="14084" width="6" style="55" customWidth="1"/>
    <col min="14085" max="14085" width="6.8984375" style="55" customWidth="1"/>
    <col min="14086" max="14086" width="5.09765625" style="55" customWidth="1"/>
    <col min="14087" max="14087" width="4.5" style="55" customWidth="1"/>
    <col min="14088" max="14088" width="5.69921875" style="55" customWidth="1"/>
    <col min="14089" max="14098" width="4.5" style="55" customWidth="1"/>
    <col min="14099" max="14099" width="3.19921875" style="55" customWidth="1"/>
    <col min="14100" max="14336" width="9" style="55"/>
    <col min="14337" max="14337" width="2.5" style="55" customWidth="1"/>
    <col min="14338" max="14338" width="0.8984375" style="55" customWidth="1"/>
    <col min="14339" max="14340" width="6" style="55" customWidth="1"/>
    <col min="14341" max="14341" width="6.8984375" style="55" customWidth="1"/>
    <col min="14342" max="14342" width="5.09765625" style="55" customWidth="1"/>
    <col min="14343" max="14343" width="4.5" style="55" customWidth="1"/>
    <col min="14344" max="14344" width="5.69921875" style="55" customWidth="1"/>
    <col min="14345" max="14354" width="4.5" style="55" customWidth="1"/>
    <col min="14355" max="14355" width="3.19921875" style="55" customWidth="1"/>
    <col min="14356" max="14592" width="9" style="55"/>
    <col min="14593" max="14593" width="2.5" style="55" customWidth="1"/>
    <col min="14594" max="14594" width="0.8984375" style="55" customWidth="1"/>
    <col min="14595" max="14596" width="6" style="55" customWidth="1"/>
    <col min="14597" max="14597" width="6.8984375" style="55" customWidth="1"/>
    <col min="14598" max="14598" width="5.09765625" style="55" customWidth="1"/>
    <col min="14599" max="14599" width="4.5" style="55" customWidth="1"/>
    <col min="14600" max="14600" width="5.69921875" style="55" customWidth="1"/>
    <col min="14601" max="14610" width="4.5" style="55" customWidth="1"/>
    <col min="14611" max="14611" width="3.19921875" style="55" customWidth="1"/>
    <col min="14612" max="14848" width="9" style="55"/>
    <col min="14849" max="14849" width="2.5" style="55" customWidth="1"/>
    <col min="14850" max="14850" width="0.8984375" style="55" customWidth="1"/>
    <col min="14851" max="14852" width="6" style="55" customWidth="1"/>
    <col min="14853" max="14853" width="6.8984375" style="55" customWidth="1"/>
    <col min="14854" max="14854" width="5.09765625" style="55" customWidth="1"/>
    <col min="14855" max="14855" width="4.5" style="55" customWidth="1"/>
    <col min="14856" max="14856" width="5.69921875" style="55" customWidth="1"/>
    <col min="14857" max="14866" width="4.5" style="55" customWidth="1"/>
    <col min="14867" max="14867" width="3.19921875" style="55" customWidth="1"/>
    <col min="14868" max="15104" width="9" style="55"/>
    <col min="15105" max="15105" width="2.5" style="55" customWidth="1"/>
    <col min="15106" max="15106" width="0.8984375" style="55" customWidth="1"/>
    <col min="15107" max="15108" width="6" style="55" customWidth="1"/>
    <col min="15109" max="15109" width="6.8984375" style="55" customWidth="1"/>
    <col min="15110" max="15110" width="5.09765625" style="55" customWidth="1"/>
    <col min="15111" max="15111" width="4.5" style="55" customWidth="1"/>
    <col min="15112" max="15112" width="5.69921875" style="55" customWidth="1"/>
    <col min="15113" max="15122" width="4.5" style="55" customWidth="1"/>
    <col min="15123" max="15123" width="3.19921875" style="55" customWidth="1"/>
    <col min="15124" max="15360" width="9" style="55"/>
    <col min="15361" max="15361" width="2.5" style="55" customWidth="1"/>
    <col min="15362" max="15362" width="0.8984375" style="55" customWidth="1"/>
    <col min="15363" max="15364" width="6" style="55" customWidth="1"/>
    <col min="15365" max="15365" width="6.8984375" style="55" customWidth="1"/>
    <col min="15366" max="15366" width="5.09765625" style="55" customWidth="1"/>
    <col min="15367" max="15367" width="4.5" style="55" customWidth="1"/>
    <col min="15368" max="15368" width="5.69921875" style="55" customWidth="1"/>
    <col min="15369" max="15378" width="4.5" style="55" customWidth="1"/>
    <col min="15379" max="15379" width="3.19921875" style="55" customWidth="1"/>
    <col min="15380" max="15616" width="9" style="55"/>
    <col min="15617" max="15617" width="2.5" style="55" customWidth="1"/>
    <col min="15618" max="15618" width="0.8984375" style="55" customWidth="1"/>
    <col min="15619" max="15620" width="6" style="55" customWidth="1"/>
    <col min="15621" max="15621" width="6.8984375" style="55" customWidth="1"/>
    <col min="15622" max="15622" width="5.09765625" style="55" customWidth="1"/>
    <col min="15623" max="15623" width="4.5" style="55" customWidth="1"/>
    <col min="15624" max="15624" width="5.69921875" style="55" customWidth="1"/>
    <col min="15625" max="15634" width="4.5" style="55" customWidth="1"/>
    <col min="15635" max="15635" width="3.19921875" style="55" customWidth="1"/>
    <col min="15636" max="15872" width="9" style="55"/>
    <col min="15873" max="15873" width="2.5" style="55" customWidth="1"/>
    <col min="15874" max="15874" width="0.8984375" style="55" customWidth="1"/>
    <col min="15875" max="15876" width="6" style="55" customWidth="1"/>
    <col min="15877" max="15877" width="6.8984375" style="55" customWidth="1"/>
    <col min="15878" max="15878" width="5.09765625" style="55" customWidth="1"/>
    <col min="15879" max="15879" width="4.5" style="55" customWidth="1"/>
    <col min="15880" max="15880" width="5.69921875" style="55" customWidth="1"/>
    <col min="15881" max="15890" width="4.5" style="55" customWidth="1"/>
    <col min="15891" max="15891" width="3.19921875" style="55" customWidth="1"/>
    <col min="15892" max="16128" width="9" style="55"/>
    <col min="16129" max="16129" width="2.5" style="55" customWidth="1"/>
    <col min="16130" max="16130" width="0.8984375" style="55" customWidth="1"/>
    <col min="16131" max="16132" width="6" style="55" customWidth="1"/>
    <col min="16133" max="16133" width="6.8984375" style="55" customWidth="1"/>
    <col min="16134" max="16134" width="5.09765625" style="55" customWidth="1"/>
    <col min="16135" max="16135" width="4.5" style="55" customWidth="1"/>
    <col min="16136" max="16136" width="5.69921875" style="55" customWidth="1"/>
    <col min="16137" max="16146" width="4.5" style="55" customWidth="1"/>
    <col min="16147" max="16147" width="3.19921875" style="55" customWidth="1"/>
    <col min="16148" max="16384" width="9" style="55"/>
  </cols>
  <sheetData>
    <row r="1" spans="1:26" s="60" customFormat="1" ht="16.5" customHeight="1">
      <c r="B1" s="174"/>
      <c r="C1" s="174"/>
      <c r="D1" s="174"/>
      <c r="S1" s="174"/>
      <c r="T1" s="59" t="s">
        <v>340</v>
      </c>
    </row>
    <row r="2" spans="1:26" s="66" customFormat="1" ht="19.5" customHeight="1">
      <c r="A2" s="67" t="s">
        <v>730</v>
      </c>
      <c r="B2" s="65"/>
      <c r="C2" s="65"/>
      <c r="D2" s="65"/>
      <c r="E2" s="59"/>
      <c r="F2" s="59"/>
      <c r="G2" s="59"/>
      <c r="H2" s="59"/>
      <c r="I2" s="59"/>
      <c r="J2" s="59"/>
      <c r="K2" s="59"/>
      <c r="L2" s="59"/>
      <c r="M2" s="59"/>
      <c r="N2" s="59"/>
      <c r="O2" s="171" t="str">
        <f>'SP4-1'!L2</f>
        <v>Spreadsheet May 2025</v>
      </c>
      <c r="P2" s="59"/>
      <c r="Q2" s="59"/>
      <c r="R2" s="59"/>
      <c r="S2" s="123"/>
      <c r="T2" s="236" t="s">
        <v>341</v>
      </c>
      <c r="U2" s="59"/>
      <c r="V2" s="59"/>
      <c r="W2" s="59"/>
      <c r="X2" s="59"/>
      <c r="Y2" s="59"/>
      <c r="Z2" s="59"/>
    </row>
    <row r="3" spans="1:26" s="60" customFormat="1" ht="11.25" customHeight="1">
      <c r="A3" s="65" t="s">
        <v>775</v>
      </c>
      <c r="B3" s="65"/>
      <c r="C3" s="65"/>
      <c r="D3" s="65"/>
      <c r="E3" s="59"/>
      <c r="F3" s="59"/>
      <c r="G3" s="59"/>
      <c r="H3" s="59"/>
      <c r="I3" s="59"/>
      <c r="J3" s="59"/>
      <c r="K3" s="59"/>
      <c r="L3" s="59"/>
      <c r="M3" s="59"/>
      <c r="N3" s="59"/>
      <c r="O3" s="59"/>
      <c r="P3" s="59"/>
      <c r="Q3" s="59"/>
      <c r="R3" s="59"/>
      <c r="S3" s="123"/>
      <c r="T3" s="59"/>
      <c r="U3" s="59"/>
      <c r="V3" s="59"/>
      <c r="W3" s="59"/>
      <c r="X3" s="59"/>
      <c r="Y3" s="59"/>
      <c r="Z3" s="59"/>
    </row>
    <row r="4" spans="1:26" s="66" customFormat="1" ht="13.5" customHeight="1">
      <c r="A4" s="67"/>
      <c r="B4" s="65"/>
      <c r="C4" s="580" t="s">
        <v>776</v>
      </c>
      <c r="D4" s="580"/>
      <c r="E4" s="580"/>
      <c r="F4" s="580"/>
      <c r="G4" s="580"/>
      <c r="H4" s="580"/>
      <c r="I4" s="580"/>
      <c r="J4" s="580"/>
      <c r="K4" s="580"/>
      <c r="L4" s="580"/>
      <c r="M4" s="580"/>
      <c r="N4" s="580"/>
      <c r="O4" s="580"/>
      <c r="P4" s="580"/>
      <c r="Q4" s="580"/>
      <c r="R4" s="580"/>
      <c r="S4" s="580"/>
      <c r="T4" s="59"/>
      <c r="U4" s="59"/>
      <c r="V4" s="59"/>
      <c r="W4" s="59"/>
      <c r="X4" s="59"/>
      <c r="Y4" s="59"/>
      <c r="Z4" s="59"/>
    </row>
    <row r="5" spans="1:26" s="60" customFormat="1" ht="16.5" customHeight="1">
      <c r="A5" s="123"/>
      <c r="B5" s="123"/>
      <c r="C5" s="123"/>
      <c r="D5" s="123"/>
      <c r="E5" s="59"/>
      <c r="F5" s="59"/>
      <c r="G5" s="59"/>
      <c r="H5" s="59"/>
      <c r="I5" s="59"/>
      <c r="J5" s="59"/>
      <c r="K5" s="59"/>
      <c r="L5" s="59"/>
      <c r="M5" s="59"/>
      <c r="N5" s="59"/>
      <c r="O5" s="59"/>
      <c r="P5" s="59"/>
      <c r="Q5" s="59"/>
      <c r="R5" s="59"/>
      <c r="S5" s="123"/>
      <c r="T5" s="59"/>
      <c r="U5" s="534"/>
      <c r="V5" s="534"/>
      <c r="W5" s="534"/>
      <c r="X5" s="59"/>
      <c r="Y5" s="59"/>
      <c r="Z5" s="59"/>
    </row>
    <row r="6" spans="1:26" s="59" customFormat="1" ht="3.75" customHeight="1">
      <c r="A6" s="298"/>
      <c r="B6" s="298"/>
      <c r="C6" s="298"/>
      <c r="D6" s="298"/>
      <c r="E6" s="299"/>
      <c r="F6" s="299"/>
      <c r="G6" s="299"/>
      <c r="H6" s="299"/>
      <c r="I6" s="299"/>
      <c r="J6" s="299"/>
      <c r="K6" s="299"/>
      <c r="L6" s="299"/>
      <c r="M6" s="299"/>
      <c r="N6" s="299"/>
      <c r="O6" s="299"/>
      <c r="P6" s="299"/>
      <c r="Q6" s="299"/>
      <c r="R6" s="299"/>
      <c r="S6" s="298"/>
    </row>
    <row r="7" spans="1:26" s="60" customFormat="1" ht="19.5" customHeight="1">
      <c r="A7" s="314">
        <v>1</v>
      </c>
      <c r="B7" s="314"/>
      <c r="C7" s="487" t="s">
        <v>628</v>
      </c>
      <c r="D7" s="487"/>
      <c r="E7" s="487"/>
      <c r="F7" s="299"/>
      <c r="G7" s="299"/>
      <c r="H7" s="299"/>
      <c r="I7" s="299"/>
      <c r="J7" s="299"/>
      <c r="K7" s="299"/>
      <c r="L7" s="299"/>
      <c r="M7" s="299"/>
      <c r="N7" s="299"/>
      <c r="O7" s="581"/>
      <c r="P7" s="581"/>
      <c r="Q7" s="581"/>
      <c r="R7" s="581"/>
      <c r="S7" s="298"/>
      <c r="T7" s="59"/>
      <c r="U7" s="59"/>
      <c r="V7" s="59"/>
      <c r="W7" s="59"/>
      <c r="X7" s="59"/>
      <c r="Y7" s="59"/>
      <c r="Z7" s="59"/>
    </row>
    <row r="8" spans="1:26" s="172" customFormat="1" ht="4.5" customHeight="1">
      <c r="A8" s="302"/>
      <c r="B8" s="302"/>
      <c r="C8" s="301"/>
      <c r="D8" s="301"/>
      <c r="E8" s="301"/>
      <c r="F8" s="301"/>
      <c r="G8" s="315"/>
      <c r="H8" s="582"/>
      <c r="I8" s="582"/>
      <c r="J8" s="582"/>
      <c r="K8" s="582"/>
      <c r="L8" s="301"/>
      <c r="M8" s="301"/>
      <c r="N8" s="315"/>
      <c r="O8" s="301"/>
      <c r="P8" s="301"/>
      <c r="Q8" s="301"/>
      <c r="R8" s="301"/>
      <c r="S8" s="300"/>
      <c r="T8" s="237"/>
      <c r="U8" s="237"/>
      <c r="V8" s="237"/>
      <c r="W8" s="237"/>
      <c r="X8" s="237"/>
      <c r="Y8" s="237"/>
      <c r="Z8" s="237"/>
    </row>
    <row r="9" spans="1:26" s="60" customFormat="1" ht="19.5" customHeight="1" thickBot="1">
      <c r="A9" s="314">
        <v>2</v>
      </c>
      <c r="B9" s="314"/>
      <c r="C9" s="529" t="s">
        <v>637</v>
      </c>
      <c r="D9" s="529"/>
      <c r="E9" s="299"/>
      <c r="F9" s="299"/>
      <c r="G9" s="299"/>
      <c r="H9" s="299"/>
      <c r="I9" s="299"/>
      <c r="J9" s="299"/>
      <c r="K9" s="299"/>
      <c r="L9" s="299"/>
      <c r="M9" s="299"/>
      <c r="N9" s="299"/>
      <c r="O9" s="299"/>
      <c r="P9" s="299"/>
      <c r="Q9" s="299"/>
      <c r="R9" s="299"/>
      <c r="S9" s="314"/>
      <c r="T9" s="59"/>
      <c r="U9" s="59"/>
      <c r="V9" s="59"/>
      <c r="W9" s="59"/>
      <c r="X9" s="59"/>
      <c r="Y9" s="59"/>
      <c r="Z9" s="59"/>
    </row>
    <row r="10" spans="1:26" s="60" customFormat="1" ht="19.5" customHeight="1" thickTop="1" thickBot="1">
      <c r="A10" s="298"/>
      <c r="B10" s="298"/>
      <c r="C10" s="299" t="s">
        <v>629</v>
      </c>
      <c r="D10" s="299"/>
      <c r="E10" s="299"/>
      <c r="F10" s="299"/>
      <c r="G10" s="313"/>
      <c r="H10" s="299"/>
      <c r="I10" s="299"/>
      <c r="J10" s="299"/>
      <c r="K10" s="299"/>
      <c r="L10" s="299"/>
      <c r="M10" s="299"/>
      <c r="N10" s="313"/>
      <c r="O10" s="567">
        <f>'SP4-1'!I33</f>
        <v>0</v>
      </c>
      <c r="P10" s="568"/>
      <c r="Q10" s="568"/>
      <c r="R10" s="569"/>
      <c r="S10" s="298"/>
      <c r="T10" s="59"/>
      <c r="U10" s="59"/>
      <c r="V10" s="59"/>
      <c r="W10" s="59"/>
      <c r="X10" s="59"/>
      <c r="Y10" s="59"/>
      <c r="Z10" s="59"/>
    </row>
    <row r="11" spans="1:26" s="60" customFormat="1" ht="19.5" customHeight="1" thickTop="1" thickBot="1">
      <c r="A11" s="298"/>
      <c r="B11" s="298"/>
      <c r="C11" s="299" t="s">
        <v>630</v>
      </c>
      <c r="D11" s="299"/>
      <c r="E11" s="299"/>
      <c r="F11" s="299"/>
      <c r="G11" s="299"/>
      <c r="H11" s="299"/>
      <c r="I11" s="299"/>
      <c r="J11" s="299"/>
      <c r="K11" s="299"/>
      <c r="L11" s="299"/>
      <c r="M11" s="299"/>
      <c r="N11" s="299"/>
      <c r="O11" s="570">
        <f>'SP4-1'!I34</f>
        <v>0</v>
      </c>
      <c r="P11" s="571"/>
      <c r="Q11" s="571"/>
      <c r="R11" s="572"/>
      <c r="S11" s="298"/>
      <c r="T11" s="59"/>
      <c r="U11" s="59"/>
      <c r="V11" s="59"/>
      <c r="W11" s="59"/>
      <c r="X11" s="59"/>
      <c r="Y11" s="59"/>
      <c r="Z11" s="59"/>
    </row>
    <row r="12" spans="1:26" s="60" customFormat="1" ht="19.5" customHeight="1" thickTop="1" thickBot="1">
      <c r="A12" s="298"/>
      <c r="B12" s="298"/>
      <c r="C12" s="299" t="s">
        <v>777</v>
      </c>
      <c r="D12" s="299"/>
      <c r="E12" s="299"/>
      <c r="F12" s="299"/>
      <c r="G12" s="299"/>
      <c r="H12" s="299" t="s">
        <v>824</v>
      </c>
      <c r="I12" s="299"/>
      <c r="J12" s="299"/>
      <c r="K12" s="299"/>
      <c r="L12" s="299"/>
      <c r="M12" s="299"/>
      <c r="N12" s="313" t="s">
        <v>631</v>
      </c>
      <c r="O12" s="573"/>
      <c r="P12" s="574"/>
      <c r="Q12" s="574"/>
      <c r="R12" s="575"/>
      <c r="S12" s="298"/>
      <c r="T12" s="59"/>
      <c r="U12" s="59"/>
      <c r="V12" s="59"/>
      <c r="W12" s="59"/>
      <c r="X12" s="59"/>
      <c r="Y12" s="59"/>
      <c r="Z12" s="59"/>
    </row>
    <row r="13" spans="1:26" s="60" customFormat="1" ht="3.75" customHeight="1" thickTop="1">
      <c r="A13" s="298"/>
      <c r="B13" s="298"/>
      <c r="C13" s="298"/>
      <c r="D13" s="299"/>
      <c r="E13" s="299"/>
      <c r="F13" s="299"/>
      <c r="G13" s="299"/>
      <c r="H13" s="299"/>
      <c r="I13" s="299"/>
      <c r="J13" s="299"/>
      <c r="K13" s="299"/>
      <c r="L13" s="299"/>
      <c r="M13" s="299"/>
      <c r="N13" s="299"/>
      <c r="O13" s="299"/>
      <c r="P13" s="299"/>
      <c r="Q13" s="299"/>
      <c r="R13" s="299"/>
      <c r="S13" s="298"/>
      <c r="T13" s="59"/>
      <c r="U13" s="59"/>
      <c r="V13" s="59"/>
      <c r="W13" s="59"/>
      <c r="X13" s="59"/>
      <c r="Y13" s="59"/>
      <c r="Z13" s="59"/>
    </row>
    <row r="14" spans="1:26" s="60" customFormat="1" ht="19.5" customHeight="1">
      <c r="A14" s="298"/>
      <c r="B14" s="298"/>
      <c r="C14" s="576"/>
      <c r="D14" s="577"/>
      <c r="E14" s="577"/>
      <c r="F14" s="577"/>
      <c r="G14" s="578" t="s">
        <v>395</v>
      </c>
      <c r="H14" s="578"/>
      <c r="I14" s="578"/>
      <c r="J14" s="578"/>
      <c r="K14" s="578"/>
      <c r="L14" s="578"/>
      <c r="M14" s="578" t="s">
        <v>396</v>
      </c>
      <c r="N14" s="578"/>
      <c r="O14" s="578"/>
      <c r="P14" s="578"/>
      <c r="Q14" s="578"/>
      <c r="R14" s="579"/>
      <c r="S14" s="298"/>
      <c r="T14" s="59"/>
      <c r="U14" s="59"/>
      <c r="V14" s="59"/>
      <c r="W14" s="59"/>
      <c r="X14" s="59"/>
      <c r="Y14" s="59"/>
      <c r="Z14" s="59"/>
    </row>
    <row r="15" spans="1:26" s="60" customFormat="1" ht="19.5" customHeight="1">
      <c r="A15" s="298"/>
      <c r="B15" s="298"/>
      <c r="C15" s="562" t="s">
        <v>397</v>
      </c>
      <c r="D15" s="562"/>
      <c r="E15" s="562"/>
      <c r="F15" s="562"/>
      <c r="G15" s="563" t="s">
        <v>398</v>
      </c>
      <c r="H15" s="564"/>
      <c r="I15" s="565"/>
      <c r="J15" s="565"/>
      <c r="K15" s="565"/>
      <c r="L15" s="565"/>
      <c r="M15" s="566" t="s">
        <v>399</v>
      </c>
      <c r="N15" s="566"/>
      <c r="O15" s="565"/>
      <c r="P15" s="565"/>
      <c r="Q15" s="565"/>
      <c r="R15" s="565"/>
      <c r="S15" s="298"/>
      <c r="T15" s="59"/>
      <c r="U15" s="59"/>
      <c r="V15" s="59"/>
      <c r="W15" s="59"/>
      <c r="X15" s="59"/>
      <c r="Y15" s="59"/>
      <c r="Z15" s="59"/>
    </row>
    <row r="16" spans="1:26" s="60" customFormat="1" ht="19.5" customHeight="1">
      <c r="A16" s="298"/>
      <c r="B16" s="298"/>
      <c r="C16" s="562" t="s">
        <v>632</v>
      </c>
      <c r="D16" s="562"/>
      <c r="E16" s="562"/>
      <c r="F16" s="562"/>
      <c r="G16" s="563" t="s">
        <v>400</v>
      </c>
      <c r="H16" s="564"/>
      <c r="I16" s="565"/>
      <c r="J16" s="565"/>
      <c r="K16" s="565"/>
      <c r="L16" s="565"/>
      <c r="M16" s="566" t="s">
        <v>401</v>
      </c>
      <c r="N16" s="566"/>
      <c r="O16" s="565"/>
      <c r="P16" s="565"/>
      <c r="Q16" s="565"/>
      <c r="R16" s="565"/>
      <c r="S16" s="298"/>
      <c r="T16" s="59"/>
      <c r="U16" s="59"/>
      <c r="V16" s="59"/>
      <c r="W16" s="59"/>
      <c r="X16" s="59"/>
      <c r="Y16" s="59"/>
      <c r="Z16" s="59"/>
    </row>
    <row r="17" spans="1:26" s="172" customFormat="1" ht="4.5" customHeight="1">
      <c r="A17" s="303"/>
      <c r="B17" s="303"/>
      <c r="C17" s="329"/>
      <c r="D17" s="329"/>
      <c r="E17" s="329"/>
      <c r="F17" s="329"/>
      <c r="G17" s="329"/>
      <c r="H17" s="329"/>
      <c r="I17" s="329"/>
      <c r="J17" s="329"/>
      <c r="K17" s="329"/>
      <c r="L17" s="329"/>
      <c r="M17" s="329"/>
      <c r="N17" s="329"/>
      <c r="O17" s="329"/>
      <c r="P17" s="329"/>
      <c r="Q17" s="329"/>
      <c r="R17" s="329"/>
      <c r="S17" s="302"/>
      <c r="T17" s="237"/>
      <c r="U17" s="237"/>
      <c r="V17" s="237"/>
      <c r="W17" s="237"/>
      <c r="X17" s="237"/>
      <c r="Y17" s="237"/>
      <c r="Z17" s="237"/>
    </row>
    <row r="18" spans="1:26" s="60" customFormat="1" ht="19.5" customHeight="1">
      <c r="A18" s="314">
        <v>3</v>
      </c>
      <c r="B18" s="314"/>
      <c r="C18" s="529" t="s">
        <v>633</v>
      </c>
      <c r="D18" s="529"/>
      <c r="E18" s="529"/>
      <c r="F18" s="529"/>
      <c r="G18" s="529"/>
      <c r="H18" s="529"/>
      <c r="I18" s="309"/>
      <c r="J18" s="309"/>
      <c r="K18" s="309"/>
      <c r="L18" s="309"/>
      <c r="M18" s="309"/>
      <c r="N18" s="309"/>
      <c r="O18" s="309"/>
      <c r="P18" s="309"/>
      <c r="Q18" s="309"/>
      <c r="R18" s="309"/>
      <c r="S18" s="298"/>
      <c r="T18" s="59"/>
      <c r="U18" s="59"/>
      <c r="V18" s="59"/>
      <c r="W18" s="59"/>
      <c r="X18" s="59"/>
      <c r="Y18" s="59"/>
      <c r="Z18" s="59"/>
    </row>
    <row r="19" spans="1:26" s="60" customFormat="1" ht="19.5" customHeight="1">
      <c r="A19" s="298"/>
      <c r="B19" s="298"/>
      <c r="C19" s="309"/>
      <c r="D19" s="309"/>
      <c r="E19" s="309"/>
      <c r="F19" s="309"/>
      <c r="G19" s="309"/>
      <c r="H19" s="492" t="s">
        <v>402</v>
      </c>
      <c r="I19" s="492"/>
      <c r="J19" s="492"/>
      <c r="K19" s="492"/>
      <c r="L19" s="492"/>
      <c r="M19" s="492"/>
      <c r="N19" s="560" t="s">
        <v>367</v>
      </c>
      <c r="O19" s="535">
        <f>IF(I16=0,0,(O10*365*I15*O12)/I16)</f>
        <v>0</v>
      </c>
      <c r="P19" s="535"/>
      <c r="Q19" s="535"/>
      <c r="R19" s="535"/>
      <c r="S19" s="490" t="s">
        <v>376</v>
      </c>
      <c r="T19" s="59"/>
      <c r="U19" s="59"/>
      <c r="V19" s="59"/>
      <c r="W19" s="59"/>
      <c r="X19" s="59"/>
      <c r="Y19" s="59"/>
      <c r="Z19" s="59"/>
    </row>
    <row r="20" spans="1:26" s="60" customFormat="1" ht="19.5" customHeight="1">
      <c r="A20" s="298"/>
      <c r="B20" s="298"/>
      <c r="C20" s="309"/>
      <c r="D20" s="309"/>
      <c r="E20" s="309"/>
      <c r="F20" s="309"/>
      <c r="G20" s="309"/>
      <c r="H20" s="488" t="s">
        <v>400</v>
      </c>
      <c r="I20" s="488"/>
      <c r="J20" s="488"/>
      <c r="K20" s="488"/>
      <c r="L20" s="488"/>
      <c r="M20" s="488"/>
      <c r="N20" s="561"/>
      <c r="O20" s="535"/>
      <c r="P20" s="535"/>
      <c r="Q20" s="535"/>
      <c r="R20" s="535"/>
      <c r="S20" s="490"/>
      <c r="T20" s="59"/>
      <c r="U20" s="59"/>
      <c r="V20" s="59"/>
      <c r="W20" s="59"/>
      <c r="X20" s="59"/>
      <c r="Y20" s="59"/>
      <c r="Z20" s="59"/>
    </row>
    <row r="21" spans="1:26" s="172" customFormat="1" ht="4.5" customHeight="1">
      <c r="A21" s="302"/>
      <c r="B21" s="302"/>
      <c r="C21" s="303"/>
      <c r="D21" s="303"/>
      <c r="E21" s="303"/>
      <c r="F21" s="303"/>
      <c r="G21" s="303"/>
      <c r="H21" s="303"/>
      <c r="I21" s="303"/>
      <c r="J21" s="303"/>
      <c r="K21" s="303"/>
      <c r="L21" s="303"/>
      <c r="M21" s="303"/>
      <c r="N21" s="303"/>
      <c r="O21" s="303"/>
      <c r="P21" s="303"/>
      <c r="Q21" s="303"/>
      <c r="R21" s="303"/>
      <c r="S21" s="302"/>
      <c r="T21" s="237"/>
      <c r="U21" s="237"/>
      <c r="V21" s="237"/>
      <c r="W21" s="237"/>
      <c r="X21" s="237"/>
      <c r="Y21" s="237"/>
      <c r="Z21" s="237"/>
    </row>
    <row r="22" spans="1:26" s="60" customFormat="1" ht="19.5" customHeight="1">
      <c r="A22" s="314">
        <v>4</v>
      </c>
      <c r="B22" s="314"/>
      <c r="C22" s="529" t="s">
        <v>634</v>
      </c>
      <c r="D22" s="529"/>
      <c r="E22" s="529"/>
      <c r="F22" s="529"/>
      <c r="G22" s="529"/>
      <c r="H22" s="309"/>
      <c r="I22" s="309"/>
      <c r="J22" s="325"/>
      <c r="K22" s="309"/>
      <c r="L22" s="309"/>
      <c r="M22" s="309"/>
      <c r="N22" s="309"/>
      <c r="O22" s="309"/>
      <c r="P22" s="309"/>
      <c r="Q22" s="309"/>
      <c r="R22" s="309"/>
      <c r="S22" s="298"/>
      <c r="T22" s="59"/>
      <c r="U22" s="59"/>
      <c r="V22" s="59"/>
      <c r="W22" s="59"/>
      <c r="X22" s="59"/>
      <c r="Y22" s="59"/>
      <c r="Z22" s="59"/>
    </row>
    <row r="23" spans="1:26" s="60" customFormat="1" ht="19.5" customHeight="1">
      <c r="A23" s="298"/>
      <c r="B23" s="298"/>
      <c r="C23" s="309"/>
      <c r="D23" s="309"/>
      <c r="E23" s="309"/>
      <c r="F23" s="309"/>
      <c r="G23" s="309"/>
      <c r="H23" s="492" t="s">
        <v>403</v>
      </c>
      <c r="I23" s="492"/>
      <c r="J23" s="492"/>
      <c r="K23" s="492"/>
      <c r="L23" s="492"/>
      <c r="M23" s="492"/>
      <c r="N23" s="560" t="s">
        <v>367</v>
      </c>
      <c r="O23" s="535">
        <f>IF(O16=0,0,(O10*365*O15*O12)/O16)</f>
        <v>0</v>
      </c>
      <c r="P23" s="535"/>
      <c r="Q23" s="535"/>
      <c r="R23" s="535"/>
      <c r="S23" s="490" t="s">
        <v>386</v>
      </c>
      <c r="T23" s="59"/>
      <c r="U23" s="59"/>
      <c r="V23" s="59"/>
      <c r="W23" s="59"/>
      <c r="X23" s="59"/>
      <c r="Y23" s="59"/>
      <c r="Z23" s="59"/>
    </row>
    <row r="24" spans="1:26" s="60" customFormat="1" ht="19.5" customHeight="1">
      <c r="A24" s="298"/>
      <c r="B24" s="298"/>
      <c r="C24" s="309"/>
      <c r="D24" s="309"/>
      <c r="E24" s="309"/>
      <c r="F24" s="309"/>
      <c r="G24" s="309"/>
      <c r="H24" s="488" t="s">
        <v>401</v>
      </c>
      <c r="I24" s="488"/>
      <c r="J24" s="488"/>
      <c r="K24" s="488"/>
      <c r="L24" s="488"/>
      <c r="M24" s="488"/>
      <c r="N24" s="561"/>
      <c r="O24" s="535"/>
      <c r="P24" s="535"/>
      <c r="Q24" s="535"/>
      <c r="R24" s="535"/>
      <c r="S24" s="490"/>
      <c r="T24" s="59"/>
      <c r="U24" s="59"/>
      <c r="V24" s="59"/>
      <c r="W24" s="59"/>
      <c r="X24" s="59"/>
      <c r="Y24" s="59"/>
      <c r="Z24" s="59"/>
    </row>
    <row r="25" spans="1:26" s="172" customFormat="1" ht="3.75" customHeight="1">
      <c r="A25" s="302"/>
      <c r="B25" s="302"/>
      <c r="C25" s="303"/>
      <c r="D25" s="303"/>
      <c r="E25" s="303"/>
      <c r="F25" s="303"/>
      <c r="G25" s="303"/>
      <c r="H25" s="303"/>
      <c r="I25" s="303"/>
      <c r="J25" s="327"/>
      <c r="K25" s="303"/>
      <c r="L25" s="303"/>
      <c r="M25" s="303"/>
      <c r="N25" s="303"/>
      <c r="O25" s="303"/>
      <c r="P25" s="303"/>
      <c r="Q25" s="303"/>
      <c r="R25" s="303"/>
      <c r="S25" s="302"/>
      <c r="T25" s="237"/>
      <c r="U25" s="237"/>
      <c r="V25" s="237"/>
      <c r="W25" s="237"/>
      <c r="X25" s="237"/>
      <c r="Y25" s="237"/>
      <c r="Z25" s="237"/>
    </row>
    <row r="26" spans="1:26" s="173" customFormat="1" ht="3.75" customHeight="1">
      <c r="A26" s="306"/>
      <c r="B26" s="306"/>
      <c r="C26" s="307"/>
      <c r="D26" s="307"/>
      <c r="E26" s="307"/>
      <c r="F26" s="307"/>
      <c r="G26" s="307"/>
      <c r="H26" s="307"/>
      <c r="I26" s="307"/>
      <c r="J26" s="328"/>
      <c r="K26" s="307"/>
      <c r="L26" s="307"/>
      <c r="M26" s="307"/>
      <c r="N26" s="307"/>
      <c r="O26" s="307"/>
      <c r="P26" s="307"/>
      <c r="Q26" s="307"/>
      <c r="R26" s="307"/>
      <c r="S26" s="306"/>
      <c r="T26" s="239"/>
      <c r="U26" s="239"/>
      <c r="V26" s="239"/>
      <c r="W26" s="239"/>
      <c r="X26" s="239"/>
      <c r="Y26" s="239"/>
      <c r="Z26" s="239"/>
    </row>
    <row r="27" spans="1:26" s="60" customFormat="1" ht="19.5" customHeight="1">
      <c r="A27" s="314">
        <v>5</v>
      </c>
      <c r="B27" s="314"/>
      <c r="C27" s="487" t="s">
        <v>635</v>
      </c>
      <c r="D27" s="487"/>
      <c r="E27" s="487"/>
      <c r="F27" s="487"/>
      <c r="G27" s="487"/>
      <c r="H27" s="487"/>
      <c r="I27" s="309"/>
      <c r="J27" s="309"/>
      <c r="K27" s="309"/>
      <c r="L27" s="309"/>
      <c r="M27" s="309"/>
      <c r="N27" s="316" t="s">
        <v>404</v>
      </c>
      <c r="O27" s="535">
        <f>O19-O23</f>
        <v>0</v>
      </c>
      <c r="P27" s="535"/>
      <c r="Q27" s="535"/>
      <c r="R27" s="535"/>
      <c r="S27" s="314" t="s">
        <v>387</v>
      </c>
      <c r="T27" s="59"/>
      <c r="U27" s="59"/>
      <c r="V27" s="59"/>
      <c r="W27" s="59"/>
      <c r="X27" s="59"/>
      <c r="Y27" s="59"/>
      <c r="Z27" s="59"/>
    </row>
    <row r="28" spans="1:26" s="172" customFormat="1" ht="3.75" customHeight="1">
      <c r="A28" s="300"/>
      <c r="B28" s="300"/>
      <c r="C28" s="303"/>
      <c r="D28" s="303"/>
      <c r="E28" s="303"/>
      <c r="F28" s="303"/>
      <c r="G28" s="303"/>
      <c r="H28" s="303"/>
      <c r="I28" s="303"/>
      <c r="J28" s="303"/>
      <c r="K28" s="303"/>
      <c r="L28" s="303"/>
      <c r="M28" s="303"/>
      <c r="N28" s="320"/>
      <c r="O28" s="303"/>
      <c r="P28" s="303"/>
      <c r="Q28" s="303"/>
      <c r="R28" s="303"/>
      <c r="S28" s="300"/>
      <c r="T28" s="237"/>
      <c r="U28" s="237"/>
      <c r="V28" s="237"/>
      <c r="W28" s="237"/>
      <c r="X28" s="237"/>
      <c r="Y28" s="237"/>
      <c r="Z28" s="237"/>
    </row>
    <row r="29" spans="1:26" s="173" customFormat="1" ht="3.75" customHeight="1">
      <c r="A29" s="306"/>
      <c r="B29" s="306"/>
      <c r="C29" s="307"/>
      <c r="D29" s="307"/>
      <c r="E29" s="307"/>
      <c r="F29" s="307"/>
      <c r="G29" s="307"/>
      <c r="H29" s="307"/>
      <c r="I29" s="307"/>
      <c r="J29" s="307"/>
      <c r="K29" s="307"/>
      <c r="L29" s="307"/>
      <c r="M29" s="307"/>
      <c r="N29" s="307"/>
      <c r="O29" s="307"/>
      <c r="P29" s="307"/>
      <c r="Q29" s="307"/>
      <c r="R29" s="307"/>
      <c r="S29" s="306"/>
      <c r="T29" s="239"/>
      <c r="U29" s="239"/>
      <c r="V29" s="239"/>
      <c r="W29" s="239"/>
      <c r="X29" s="239"/>
      <c r="Y29" s="239"/>
      <c r="Z29" s="239"/>
    </row>
    <row r="30" spans="1:26" s="60" customFormat="1" ht="19.5" customHeight="1">
      <c r="A30" s="314">
        <v>6</v>
      </c>
      <c r="B30" s="314"/>
      <c r="C30" s="487" t="s">
        <v>405</v>
      </c>
      <c r="D30" s="487"/>
      <c r="E30" s="487"/>
      <c r="F30" s="487"/>
      <c r="G30" s="309"/>
      <c r="H30" s="309"/>
      <c r="I30" s="309"/>
      <c r="J30" s="309"/>
      <c r="K30" s="309"/>
      <c r="L30" s="309"/>
      <c r="M30" s="309"/>
      <c r="N30" s="316" t="s">
        <v>778</v>
      </c>
      <c r="O30" s="535">
        <f>O27*L44</f>
        <v>0</v>
      </c>
      <c r="P30" s="535"/>
      <c r="Q30" s="535"/>
      <c r="R30" s="535"/>
      <c r="S30" s="314" t="s">
        <v>406</v>
      </c>
      <c r="T30" s="59"/>
      <c r="U30" s="59"/>
      <c r="V30" s="59"/>
      <c r="W30" s="59"/>
      <c r="X30" s="59"/>
      <c r="Y30" s="59"/>
      <c r="Z30" s="59"/>
    </row>
    <row r="31" spans="1:26" s="60" customFormat="1" ht="18.75" customHeight="1">
      <c r="A31" s="298"/>
      <c r="B31" s="298"/>
      <c r="C31" s="309" t="s">
        <v>779</v>
      </c>
      <c r="D31" s="299"/>
      <c r="E31" s="309"/>
      <c r="F31" s="309"/>
      <c r="G31" s="309"/>
      <c r="H31" s="309"/>
      <c r="I31" s="309"/>
      <c r="J31" s="309"/>
      <c r="K31" s="309"/>
      <c r="L31" s="309"/>
      <c r="M31" s="309"/>
      <c r="N31" s="309"/>
      <c r="O31" s="309"/>
      <c r="P31" s="309"/>
      <c r="Q31" s="309"/>
      <c r="R31" s="313"/>
      <c r="S31" s="298"/>
      <c r="T31" s="59"/>
      <c r="U31" s="59"/>
      <c r="V31" s="59"/>
      <c r="W31" s="59"/>
      <c r="X31" s="59"/>
      <c r="Y31" s="59"/>
      <c r="Z31" s="59"/>
    </row>
    <row r="32" spans="1:26" s="172" customFormat="1" ht="3" customHeight="1">
      <c r="A32" s="302"/>
      <c r="B32" s="302"/>
      <c r="C32" s="303"/>
      <c r="D32" s="303"/>
      <c r="E32" s="303"/>
      <c r="F32" s="303"/>
      <c r="G32" s="303"/>
      <c r="H32" s="303"/>
      <c r="I32" s="303"/>
      <c r="J32" s="303"/>
      <c r="K32" s="303"/>
      <c r="L32" s="303"/>
      <c r="M32" s="303"/>
      <c r="N32" s="303"/>
      <c r="O32" s="303"/>
      <c r="P32" s="303"/>
      <c r="Q32" s="303"/>
      <c r="R32" s="303"/>
      <c r="S32" s="302"/>
      <c r="T32" s="237"/>
      <c r="U32" s="237"/>
      <c r="V32" s="237"/>
      <c r="W32" s="237"/>
      <c r="X32" s="237"/>
      <c r="Y32" s="237"/>
      <c r="Z32" s="237"/>
    </row>
    <row r="33" spans="1:26" s="60" customFormat="1" ht="19.5" customHeight="1" thickBot="1">
      <c r="A33" s="314">
        <v>7</v>
      </c>
      <c r="B33" s="314"/>
      <c r="C33" s="529" t="s">
        <v>780</v>
      </c>
      <c r="D33" s="529"/>
      <c r="E33" s="529"/>
      <c r="F33" s="529"/>
      <c r="G33" s="529"/>
      <c r="H33" s="529"/>
      <c r="I33" s="309"/>
      <c r="J33" s="309"/>
      <c r="K33" s="309"/>
      <c r="L33" s="309"/>
      <c r="M33" s="309"/>
      <c r="N33" s="309"/>
      <c r="O33" s="325"/>
      <c r="P33" s="309"/>
      <c r="Q33" s="309"/>
      <c r="R33" s="309"/>
      <c r="S33" s="298"/>
      <c r="T33" s="59"/>
      <c r="U33" s="59"/>
      <c r="V33" s="59"/>
      <c r="W33" s="59"/>
      <c r="X33" s="59"/>
      <c r="Y33" s="59"/>
      <c r="Z33" s="59"/>
    </row>
    <row r="34" spans="1:26" s="60" customFormat="1" ht="19.5" customHeight="1" thickTop="1" thickBot="1">
      <c r="A34" s="298"/>
      <c r="B34" s="298"/>
      <c r="C34" s="309" t="s">
        <v>781</v>
      </c>
      <c r="D34" s="309"/>
      <c r="E34" s="309"/>
      <c r="F34" s="309"/>
      <c r="G34" s="309"/>
      <c r="H34" s="309"/>
      <c r="I34" s="309"/>
      <c r="J34" s="309"/>
      <c r="K34" s="309"/>
      <c r="L34" s="309"/>
      <c r="M34" s="309"/>
      <c r="N34" s="313" t="s">
        <v>782</v>
      </c>
      <c r="O34" s="555">
        <f>O10*365*I15*0.1</f>
        <v>0</v>
      </c>
      <c r="P34" s="556"/>
      <c r="Q34" s="556"/>
      <c r="R34" s="557"/>
      <c r="S34" s="314" t="s">
        <v>393</v>
      </c>
      <c r="T34" s="59"/>
      <c r="U34" s="59"/>
      <c r="V34" s="59"/>
      <c r="W34" s="59"/>
      <c r="X34" s="59"/>
      <c r="Y34" s="59"/>
      <c r="Z34" s="59"/>
    </row>
    <row r="35" spans="1:26" s="60" customFormat="1" ht="19.5" customHeight="1" thickTop="1" thickBot="1">
      <c r="A35" s="298"/>
      <c r="B35" s="298"/>
      <c r="C35" s="309" t="s">
        <v>783</v>
      </c>
      <c r="D35" s="309"/>
      <c r="E35" s="309"/>
      <c r="F35" s="309"/>
      <c r="G35" s="309"/>
      <c r="H35" s="313" t="s">
        <v>784</v>
      </c>
      <c r="I35" s="309" t="s">
        <v>785</v>
      </c>
      <c r="J35" s="309"/>
      <c r="K35" s="552"/>
      <c r="L35" s="552"/>
      <c r="M35" s="552"/>
      <c r="N35" s="313" t="s">
        <v>755</v>
      </c>
      <c r="O35" s="555">
        <f>K35*I15</f>
        <v>0</v>
      </c>
      <c r="P35" s="556"/>
      <c r="Q35" s="556"/>
      <c r="R35" s="557"/>
      <c r="S35" s="314" t="s">
        <v>394</v>
      </c>
      <c r="T35" s="59"/>
      <c r="U35" s="59"/>
      <c r="V35" s="59"/>
      <c r="W35" s="59"/>
      <c r="X35" s="59"/>
      <c r="Y35" s="59"/>
      <c r="Z35" s="59"/>
    </row>
    <row r="36" spans="1:26" s="172" customFormat="1" ht="3.75" customHeight="1" thickTop="1">
      <c r="A36" s="302"/>
      <c r="B36" s="302"/>
      <c r="C36" s="303"/>
      <c r="D36" s="303"/>
      <c r="E36" s="303"/>
      <c r="F36" s="303"/>
      <c r="G36" s="303"/>
      <c r="H36" s="303"/>
      <c r="I36" s="303"/>
      <c r="J36" s="315"/>
      <c r="K36" s="303"/>
      <c r="L36" s="303"/>
      <c r="M36" s="303"/>
      <c r="N36" s="303"/>
      <c r="O36" s="303"/>
      <c r="P36" s="303"/>
      <c r="Q36" s="303"/>
      <c r="R36" s="303"/>
      <c r="S36" s="300"/>
      <c r="T36" s="237"/>
      <c r="U36" s="237"/>
      <c r="V36" s="237"/>
      <c r="W36" s="237"/>
      <c r="X36" s="237"/>
      <c r="Y36" s="237"/>
      <c r="Z36" s="237"/>
    </row>
    <row r="37" spans="1:26" s="173" customFormat="1" ht="3.75" customHeight="1" thickBot="1">
      <c r="A37" s="306"/>
      <c r="B37" s="306"/>
      <c r="C37" s="307"/>
      <c r="D37" s="307"/>
      <c r="E37" s="307"/>
      <c r="F37" s="307"/>
      <c r="G37" s="307"/>
      <c r="H37" s="307"/>
      <c r="I37" s="307"/>
      <c r="J37" s="326"/>
      <c r="K37" s="307"/>
      <c r="L37" s="307"/>
      <c r="M37" s="307"/>
      <c r="N37" s="307"/>
      <c r="O37" s="307"/>
      <c r="P37" s="307"/>
      <c r="Q37" s="307"/>
      <c r="R37" s="307"/>
      <c r="S37" s="304"/>
      <c r="T37" s="239"/>
      <c r="U37" s="239"/>
      <c r="V37" s="239"/>
      <c r="W37" s="239"/>
      <c r="X37" s="239"/>
      <c r="Y37" s="239"/>
      <c r="Z37" s="239"/>
    </row>
    <row r="38" spans="1:26" s="60" customFormat="1" ht="19.5" customHeight="1" thickTop="1" thickBot="1">
      <c r="A38" s="314">
        <v>8</v>
      </c>
      <c r="B38" s="314"/>
      <c r="C38" s="487" t="s">
        <v>786</v>
      </c>
      <c r="D38" s="487"/>
      <c r="E38" s="487"/>
      <c r="F38" s="487"/>
      <c r="G38" s="309"/>
      <c r="H38" s="309"/>
      <c r="I38" s="309"/>
      <c r="J38" s="309"/>
      <c r="K38" s="309"/>
      <c r="L38" s="309"/>
      <c r="M38" s="309"/>
      <c r="N38" s="313" t="s">
        <v>787</v>
      </c>
      <c r="O38" s="555">
        <f>(O34+O35)*L44</f>
        <v>0</v>
      </c>
      <c r="P38" s="556"/>
      <c r="Q38" s="556"/>
      <c r="R38" s="557"/>
      <c r="S38" s="314" t="s">
        <v>788</v>
      </c>
      <c r="T38" s="59"/>
      <c r="U38" s="59"/>
      <c r="V38" s="59"/>
      <c r="W38" s="59"/>
      <c r="X38" s="59"/>
      <c r="Y38" s="59"/>
      <c r="Z38" s="59"/>
    </row>
    <row r="39" spans="1:26" s="60" customFormat="1" ht="19.5" customHeight="1" thickTop="1">
      <c r="A39" s="298"/>
      <c r="B39" s="298"/>
      <c r="C39" s="309" t="s">
        <v>789</v>
      </c>
      <c r="D39" s="309"/>
      <c r="E39" s="309"/>
      <c r="F39" s="309"/>
      <c r="G39" s="309"/>
      <c r="H39" s="309"/>
      <c r="I39" s="309"/>
      <c r="J39" s="309"/>
      <c r="K39" s="309"/>
      <c r="L39" s="309"/>
      <c r="M39" s="309"/>
      <c r="N39" s="309"/>
      <c r="O39" s="325"/>
      <c r="P39" s="309"/>
      <c r="Q39" s="309"/>
      <c r="R39" s="313"/>
      <c r="S39" s="298"/>
      <c r="T39" s="59"/>
      <c r="U39" s="59"/>
      <c r="V39" s="59"/>
      <c r="W39" s="59"/>
      <c r="X39" s="59"/>
      <c r="Y39" s="59"/>
      <c r="Z39" s="59"/>
    </row>
    <row r="40" spans="1:26" s="60" customFormat="1" ht="11.4">
      <c r="A40" s="59"/>
      <c r="B40" s="59"/>
      <c r="C40" s="59"/>
      <c r="D40" s="59"/>
      <c r="E40" s="59"/>
      <c r="F40" s="59"/>
      <c r="G40" s="59"/>
      <c r="H40" s="59"/>
      <c r="I40" s="59"/>
      <c r="J40" s="59"/>
      <c r="K40" s="59"/>
      <c r="L40" s="59"/>
      <c r="M40" s="59"/>
      <c r="N40" s="59"/>
      <c r="O40" s="59"/>
      <c r="P40" s="59"/>
      <c r="Q40" s="59"/>
      <c r="R40" s="59"/>
      <c r="S40" s="123"/>
      <c r="T40" s="59"/>
      <c r="U40" s="59"/>
      <c r="V40" s="59"/>
      <c r="W40" s="59"/>
      <c r="X40" s="59"/>
      <c r="Y40" s="59"/>
      <c r="Z40" s="59"/>
    </row>
    <row r="41" spans="1:26" s="60" customFormat="1" ht="11.4">
      <c r="A41" s="59"/>
      <c r="B41" s="59"/>
      <c r="C41" s="59"/>
      <c r="D41" s="59"/>
      <c r="E41" s="59"/>
      <c r="F41" s="59"/>
      <c r="G41" s="59"/>
      <c r="H41" s="59"/>
      <c r="I41" s="59"/>
      <c r="J41" s="59"/>
      <c r="K41" s="59"/>
      <c r="L41" s="59"/>
      <c r="M41" s="59"/>
      <c r="N41" s="59"/>
      <c r="O41" s="59"/>
      <c r="P41" s="59"/>
      <c r="Q41" s="59"/>
      <c r="R41" s="59"/>
      <c r="S41" s="123"/>
      <c r="T41" s="59"/>
      <c r="U41" s="59"/>
      <c r="V41" s="59"/>
      <c r="W41" s="59"/>
      <c r="X41" s="59"/>
      <c r="Y41" s="59"/>
      <c r="Z41" s="59"/>
    </row>
    <row r="42" spans="1:26">
      <c r="A42" s="57"/>
      <c r="B42" s="57"/>
      <c r="C42" s="57"/>
      <c r="D42" s="57"/>
      <c r="E42" s="57"/>
      <c r="F42" s="57"/>
      <c r="G42" s="57"/>
      <c r="H42" s="57"/>
      <c r="I42" s="57"/>
      <c r="J42" s="57"/>
      <c r="K42" s="57"/>
      <c r="L42" s="57"/>
      <c r="M42" s="57"/>
      <c r="N42" s="57"/>
      <c r="O42" s="57"/>
      <c r="P42" s="57"/>
      <c r="Q42" s="57"/>
      <c r="R42" s="57"/>
      <c r="S42" s="58"/>
      <c r="T42" s="57"/>
      <c r="U42" s="57"/>
      <c r="V42" s="57"/>
      <c r="W42" s="57"/>
      <c r="X42" s="57"/>
      <c r="Y42" s="57"/>
      <c r="Z42" s="57"/>
    </row>
    <row r="43" spans="1:26">
      <c r="A43" s="57"/>
      <c r="B43" s="57"/>
      <c r="C43" s="57"/>
      <c r="D43" s="57"/>
      <c r="E43" s="57"/>
      <c r="F43" s="57"/>
      <c r="G43" s="57"/>
      <c r="H43" s="57"/>
      <c r="I43" s="57"/>
      <c r="J43" s="57"/>
      <c r="K43" s="57"/>
      <c r="L43" s="57"/>
      <c r="M43" s="57"/>
      <c r="N43" s="57"/>
      <c r="O43" s="57"/>
      <c r="P43" s="57"/>
      <c r="Q43" s="57"/>
      <c r="R43" s="57"/>
      <c r="S43" s="58"/>
      <c r="T43" s="57"/>
      <c r="U43" s="57"/>
      <c r="V43" s="57"/>
      <c r="W43" s="57"/>
      <c r="X43" s="57"/>
      <c r="Y43" s="57"/>
      <c r="Z43" s="57"/>
    </row>
    <row r="44" spans="1:26" hidden="1">
      <c r="A44" s="249" t="s">
        <v>325</v>
      </c>
      <c r="B44" s="249"/>
      <c r="C44" s="57"/>
      <c r="D44" s="57"/>
      <c r="E44" s="57"/>
      <c r="F44" s="57"/>
      <c r="G44" s="57">
        <f>Tables!$O$11</f>
        <v>0.99016372140870601</v>
      </c>
      <c r="H44" s="57">
        <f>Tables!$O$12</f>
        <v>27.749070548666339</v>
      </c>
      <c r="I44" s="57">
        <f>Tables!$O$13</f>
        <v>0.49344788445523591</v>
      </c>
      <c r="J44" s="57">
        <f>Tables!$O$14</f>
        <v>484.78895313845783</v>
      </c>
      <c r="K44" s="57"/>
      <c r="L44" s="558">
        <f>H44-G44+O44*(J44-I44)</f>
        <v>26.758906827257633</v>
      </c>
      <c r="M44" s="558"/>
      <c r="N44" s="558"/>
      <c r="O44" s="559">
        <f>O11</f>
        <v>0</v>
      </c>
      <c r="P44" s="558"/>
      <c r="Q44" s="558"/>
      <c r="R44" s="558"/>
      <c r="S44" s="558"/>
      <c r="T44" s="57"/>
      <c r="U44" s="57"/>
      <c r="V44" s="57"/>
      <c r="W44" s="57"/>
      <c r="X44" s="57"/>
      <c r="Y44" s="57"/>
      <c r="Z44" s="57"/>
    </row>
    <row r="45" spans="1:26" hidden="1">
      <c r="A45" s="57" t="s">
        <v>326</v>
      </c>
      <c r="B45" s="57"/>
      <c r="C45" s="57"/>
      <c r="D45" s="57"/>
      <c r="E45" s="57"/>
      <c r="F45" s="57"/>
      <c r="G45" s="57"/>
      <c r="H45" s="57"/>
      <c r="I45" s="57"/>
      <c r="J45" s="57"/>
      <c r="K45" s="57"/>
      <c r="L45" s="57"/>
      <c r="M45" s="57"/>
      <c r="N45" s="57"/>
      <c r="O45" s="57"/>
      <c r="P45" s="57"/>
      <c r="Q45" s="57"/>
      <c r="R45" s="57"/>
      <c r="S45" s="58"/>
      <c r="T45" s="57"/>
      <c r="U45" s="57"/>
      <c r="V45" s="57"/>
      <c r="W45" s="57"/>
      <c r="X45" s="57"/>
      <c r="Y45" s="57"/>
      <c r="Z45" s="57"/>
    </row>
    <row r="46" spans="1:26" hidden="1">
      <c r="A46" s="57" t="s">
        <v>327</v>
      </c>
      <c r="B46" s="57"/>
      <c r="C46" s="57"/>
      <c r="D46" s="57"/>
      <c r="E46" s="57"/>
      <c r="F46" s="57"/>
      <c r="G46" s="57"/>
      <c r="H46" s="57"/>
      <c r="I46" s="57"/>
      <c r="J46" s="57"/>
      <c r="K46" s="57"/>
      <c r="L46" s="57"/>
      <c r="M46" s="57"/>
      <c r="N46" s="57"/>
      <c r="O46" s="57"/>
      <c r="P46" s="57"/>
      <c r="Q46" s="57"/>
      <c r="R46" s="57"/>
      <c r="S46" s="58"/>
      <c r="T46" s="57"/>
      <c r="U46" s="57"/>
      <c r="V46" s="57"/>
      <c r="W46" s="57"/>
      <c r="X46" s="57"/>
      <c r="Y46" s="57"/>
      <c r="Z46" s="57"/>
    </row>
    <row r="47" spans="1:26" hidden="1">
      <c r="A47" s="57" t="s">
        <v>328</v>
      </c>
      <c r="B47" s="57"/>
      <c r="C47" s="57"/>
      <c r="D47" s="57"/>
      <c r="E47" s="57"/>
      <c r="F47" s="57"/>
      <c r="G47" s="57"/>
      <c r="H47" s="57"/>
      <c r="I47" s="57"/>
      <c r="J47" s="57"/>
      <c r="K47" s="57"/>
      <c r="L47" s="57"/>
      <c r="M47" s="57"/>
      <c r="N47" s="57"/>
      <c r="O47" s="57"/>
      <c r="P47" s="57"/>
      <c r="Q47" s="57"/>
      <c r="R47" s="57"/>
      <c r="S47" s="58"/>
      <c r="T47" s="57"/>
      <c r="U47" s="57"/>
      <c r="V47" s="57"/>
      <c r="W47" s="57"/>
      <c r="X47" s="57"/>
      <c r="Y47" s="57"/>
      <c r="Z47" s="57"/>
    </row>
    <row r="48" spans="1:26">
      <c r="A48" s="57"/>
      <c r="B48" s="57"/>
      <c r="C48" s="57"/>
      <c r="D48" s="57"/>
      <c r="E48" s="57"/>
      <c r="F48" s="57"/>
      <c r="G48" s="57"/>
      <c r="H48" s="57"/>
      <c r="I48" s="57"/>
      <c r="J48" s="57"/>
      <c r="K48" s="57"/>
      <c r="L48" s="57"/>
      <c r="M48" s="57"/>
      <c r="N48" s="57"/>
      <c r="O48" s="57"/>
      <c r="P48" s="57"/>
      <c r="Q48" s="57"/>
      <c r="R48" s="57"/>
      <c r="S48" s="58"/>
      <c r="T48" s="57"/>
      <c r="U48" s="57"/>
      <c r="V48" s="57"/>
      <c r="W48" s="57"/>
      <c r="X48" s="57"/>
      <c r="Y48" s="57"/>
      <c r="Z48" s="57"/>
    </row>
    <row r="49" spans="1:26">
      <c r="A49" s="57"/>
      <c r="B49" s="57"/>
      <c r="C49" s="57"/>
      <c r="D49" s="57"/>
      <c r="E49" s="57"/>
      <c r="F49" s="57"/>
      <c r="G49" s="57"/>
      <c r="H49" s="57"/>
      <c r="I49" s="57"/>
      <c r="J49" s="57"/>
      <c r="K49" s="57"/>
      <c r="L49" s="57"/>
      <c r="M49" s="57"/>
      <c r="N49" s="57"/>
      <c r="O49" s="57"/>
      <c r="P49" s="57"/>
      <c r="Q49" s="57"/>
      <c r="R49" s="57"/>
      <c r="S49" s="58"/>
      <c r="T49" s="57"/>
      <c r="U49" s="57"/>
      <c r="V49" s="57"/>
      <c r="W49" s="57"/>
      <c r="X49" s="57"/>
      <c r="Y49" s="57"/>
      <c r="Z49" s="57"/>
    </row>
    <row r="50" spans="1:26">
      <c r="A50" s="57"/>
      <c r="B50" s="57"/>
      <c r="C50" s="57"/>
      <c r="D50" s="57"/>
      <c r="E50" s="57"/>
      <c r="F50" s="57"/>
      <c r="G50" s="57"/>
      <c r="H50" s="57"/>
      <c r="I50" s="57"/>
      <c r="J50" s="57"/>
      <c r="K50" s="57"/>
      <c r="L50" s="57"/>
      <c r="M50" s="57"/>
      <c r="N50" s="57"/>
      <c r="O50" s="57"/>
      <c r="P50" s="57"/>
      <c r="Q50" s="57"/>
      <c r="R50" s="57"/>
      <c r="S50" s="58"/>
      <c r="T50" s="57"/>
      <c r="U50" s="57"/>
      <c r="V50" s="57"/>
      <c r="W50" s="57"/>
      <c r="X50" s="57"/>
      <c r="Y50" s="57"/>
      <c r="Z50" s="57"/>
    </row>
    <row r="51" spans="1:26">
      <c r="A51" s="57"/>
      <c r="B51" s="57"/>
      <c r="C51" s="57"/>
      <c r="D51" s="57"/>
      <c r="E51" s="57"/>
      <c r="F51" s="57"/>
      <c r="G51" s="57"/>
      <c r="H51" s="57"/>
      <c r="I51" s="57"/>
      <c r="J51" s="57"/>
      <c r="K51" s="57"/>
      <c r="L51" s="57"/>
      <c r="M51" s="57"/>
      <c r="N51" s="57"/>
      <c r="O51" s="57"/>
      <c r="P51" s="57"/>
      <c r="Q51" s="57"/>
      <c r="R51" s="57"/>
      <c r="S51" s="58"/>
      <c r="T51" s="57"/>
      <c r="U51" s="57"/>
      <c r="V51" s="57"/>
      <c r="W51" s="57"/>
      <c r="X51" s="57"/>
      <c r="Y51" s="57"/>
      <c r="Z51" s="57"/>
    </row>
    <row r="52" spans="1:26">
      <c r="A52" s="57"/>
      <c r="B52" s="57"/>
      <c r="C52" s="57"/>
      <c r="D52" s="57"/>
      <c r="E52" s="57"/>
      <c r="F52" s="57"/>
      <c r="G52" s="57"/>
      <c r="H52" s="57"/>
      <c r="I52" s="57"/>
      <c r="J52" s="57"/>
      <c r="K52" s="57"/>
      <c r="L52" s="57"/>
      <c r="M52" s="57"/>
      <c r="N52" s="57"/>
      <c r="O52" s="57"/>
      <c r="P52" s="57"/>
      <c r="Q52" s="57"/>
      <c r="R52" s="57"/>
      <c r="S52" s="58"/>
      <c r="T52" s="57"/>
      <c r="U52" s="57"/>
      <c r="V52" s="57"/>
      <c r="W52" s="57"/>
      <c r="X52" s="57"/>
      <c r="Y52" s="57"/>
      <c r="Z52" s="57"/>
    </row>
    <row r="53" spans="1:26">
      <c r="A53" s="57"/>
      <c r="B53" s="57"/>
      <c r="C53" s="57"/>
      <c r="D53" s="57"/>
      <c r="E53" s="57"/>
      <c r="F53" s="57"/>
      <c r="G53" s="57"/>
      <c r="H53" s="57"/>
      <c r="I53" s="57"/>
      <c r="J53" s="57"/>
      <c r="K53" s="57"/>
      <c r="L53" s="57"/>
      <c r="M53" s="57"/>
      <c r="N53" s="57"/>
      <c r="O53" s="57"/>
      <c r="P53" s="57"/>
      <c r="Q53" s="57"/>
      <c r="R53" s="57"/>
      <c r="S53" s="58"/>
      <c r="T53" s="57"/>
      <c r="U53" s="57"/>
      <c r="V53" s="57"/>
      <c r="W53" s="57"/>
      <c r="X53" s="57"/>
      <c r="Y53" s="57"/>
      <c r="Z53" s="57"/>
    </row>
    <row r="54" spans="1:26">
      <c r="A54" s="57"/>
      <c r="B54" s="57"/>
      <c r="C54" s="57"/>
      <c r="D54" s="57"/>
      <c r="E54" s="57"/>
      <c r="F54" s="57"/>
      <c r="G54" s="57"/>
      <c r="H54" s="57"/>
      <c r="I54" s="57"/>
      <c r="J54" s="57"/>
      <c r="K54" s="57"/>
      <c r="L54" s="57"/>
      <c r="M54" s="57"/>
      <c r="N54" s="57"/>
      <c r="O54" s="57"/>
      <c r="P54" s="57"/>
      <c r="Q54" s="57"/>
      <c r="R54" s="57"/>
      <c r="S54" s="58"/>
      <c r="T54" s="57"/>
      <c r="U54" s="57"/>
      <c r="V54" s="57"/>
      <c r="W54" s="57"/>
      <c r="X54" s="57"/>
      <c r="Y54" s="57"/>
      <c r="Z54" s="57"/>
    </row>
    <row r="55" spans="1:26">
      <c r="A55" s="57"/>
      <c r="B55" s="57"/>
      <c r="C55" s="57"/>
      <c r="D55" s="57"/>
      <c r="E55" s="57"/>
      <c r="F55" s="57"/>
      <c r="G55" s="57"/>
      <c r="H55" s="57"/>
      <c r="I55" s="57"/>
      <c r="J55" s="57"/>
      <c r="K55" s="57"/>
      <c r="L55" s="57"/>
      <c r="M55" s="57"/>
      <c r="N55" s="57"/>
      <c r="O55" s="57"/>
      <c r="P55" s="57"/>
      <c r="Q55" s="57"/>
      <c r="R55" s="57"/>
      <c r="S55" s="58"/>
      <c r="T55" s="57"/>
      <c r="U55" s="57"/>
      <c r="V55" s="57"/>
      <c r="W55" s="57"/>
      <c r="X55" s="57"/>
      <c r="Y55" s="57"/>
      <c r="Z55" s="57"/>
    </row>
    <row r="56" spans="1:26">
      <c r="A56" s="57"/>
      <c r="B56" s="57"/>
      <c r="C56" s="57"/>
      <c r="D56" s="57"/>
      <c r="E56" s="57"/>
      <c r="F56" s="57"/>
      <c r="G56" s="57"/>
      <c r="H56" s="57"/>
      <c r="I56" s="57"/>
      <c r="J56" s="57"/>
      <c r="K56" s="57"/>
      <c r="L56" s="57"/>
      <c r="M56" s="57"/>
      <c r="N56" s="57"/>
      <c r="O56" s="57"/>
      <c r="P56" s="57"/>
      <c r="Q56" s="57"/>
      <c r="R56" s="57"/>
      <c r="S56" s="58"/>
      <c r="T56" s="57"/>
      <c r="U56" s="57"/>
      <c r="V56" s="57"/>
      <c r="W56" s="57"/>
      <c r="X56" s="57"/>
      <c r="Y56" s="57"/>
      <c r="Z56" s="57"/>
    </row>
    <row r="57" spans="1:26">
      <c r="A57" s="57"/>
      <c r="B57" s="57"/>
      <c r="C57" s="57"/>
      <c r="D57" s="57"/>
      <c r="E57" s="57"/>
      <c r="F57" s="57"/>
      <c r="G57" s="57"/>
      <c r="H57" s="57"/>
      <c r="I57" s="57"/>
      <c r="J57" s="57"/>
      <c r="K57" s="57"/>
      <c r="L57" s="57"/>
      <c r="M57" s="57"/>
      <c r="N57" s="57"/>
      <c r="O57" s="57"/>
      <c r="P57" s="57"/>
      <c r="Q57" s="57"/>
      <c r="R57" s="57"/>
      <c r="S57" s="58"/>
      <c r="T57" s="57"/>
      <c r="U57" s="57"/>
      <c r="V57" s="57"/>
      <c r="W57" s="57"/>
      <c r="X57" s="57"/>
      <c r="Y57" s="57"/>
      <c r="Z57" s="57"/>
    </row>
    <row r="58" spans="1:26">
      <c r="A58" s="57"/>
      <c r="B58" s="57"/>
      <c r="C58" s="57"/>
      <c r="D58" s="57"/>
      <c r="E58" s="57"/>
      <c r="F58" s="57"/>
      <c r="G58" s="57"/>
      <c r="H58" s="57"/>
      <c r="I58" s="57"/>
      <c r="J58" s="57"/>
      <c r="K58" s="57"/>
      <c r="L58" s="57"/>
      <c r="M58" s="57"/>
      <c r="N58" s="57"/>
      <c r="O58" s="57"/>
      <c r="P58" s="57"/>
      <c r="Q58" s="57"/>
      <c r="R58" s="57"/>
      <c r="S58" s="58"/>
      <c r="T58" s="57"/>
      <c r="U58" s="57"/>
      <c r="V58" s="57"/>
      <c r="W58" s="57"/>
      <c r="X58" s="57"/>
      <c r="Y58" s="57"/>
      <c r="Z58" s="57"/>
    </row>
    <row r="59" spans="1:26">
      <c r="A59" s="57"/>
      <c r="B59" s="57"/>
      <c r="C59" s="57"/>
      <c r="D59" s="57"/>
      <c r="E59" s="57"/>
      <c r="F59" s="57"/>
      <c r="G59" s="57"/>
      <c r="H59" s="57"/>
      <c r="I59" s="57"/>
      <c r="J59" s="57"/>
      <c r="K59" s="57"/>
      <c r="L59" s="57"/>
      <c r="M59" s="57"/>
      <c r="N59" s="57"/>
      <c r="O59" s="57"/>
      <c r="P59" s="57"/>
      <c r="Q59" s="57"/>
      <c r="R59" s="57"/>
      <c r="S59" s="58"/>
      <c r="T59" s="57"/>
      <c r="U59" s="57"/>
      <c r="V59" s="57"/>
      <c r="W59" s="57"/>
      <c r="X59" s="57"/>
      <c r="Y59" s="57"/>
      <c r="Z59" s="57"/>
    </row>
    <row r="60" spans="1:26">
      <c r="A60" s="57"/>
      <c r="B60" s="57"/>
      <c r="C60" s="57"/>
      <c r="D60" s="57"/>
      <c r="E60" s="57"/>
      <c r="F60" s="57"/>
      <c r="G60" s="57"/>
      <c r="H60" s="57"/>
      <c r="I60" s="57"/>
      <c r="J60" s="57"/>
      <c r="K60" s="57"/>
      <c r="L60" s="57"/>
      <c r="M60" s="57"/>
      <c r="N60" s="57"/>
      <c r="O60" s="57"/>
      <c r="P60" s="57"/>
      <c r="Q60" s="57"/>
      <c r="R60" s="57"/>
      <c r="S60" s="58"/>
      <c r="T60" s="57"/>
      <c r="U60" s="57"/>
      <c r="V60" s="57"/>
      <c r="W60" s="57"/>
      <c r="X60" s="57"/>
      <c r="Y60" s="57"/>
      <c r="Z60" s="57"/>
    </row>
    <row r="61" spans="1:26">
      <c r="A61" s="57"/>
      <c r="B61" s="57"/>
      <c r="C61" s="57"/>
      <c r="D61" s="57"/>
      <c r="E61" s="57"/>
      <c r="F61" s="57"/>
      <c r="G61" s="57"/>
      <c r="H61" s="57"/>
      <c r="I61" s="57"/>
      <c r="J61" s="57"/>
      <c r="K61" s="57"/>
      <c r="L61" s="57"/>
      <c r="M61" s="57"/>
      <c r="N61" s="57"/>
      <c r="O61" s="57"/>
      <c r="P61" s="57"/>
      <c r="Q61" s="57"/>
      <c r="R61" s="57"/>
      <c r="S61" s="58"/>
      <c r="T61" s="57"/>
      <c r="U61" s="57"/>
      <c r="V61" s="57"/>
      <c r="W61" s="57"/>
      <c r="X61" s="57"/>
      <c r="Y61" s="57"/>
      <c r="Z61" s="57"/>
    </row>
    <row r="62" spans="1:26">
      <c r="A62" s="57"/>
      <c r="B62" s="57"/>
      <c r="C62" s="57"/>
      <c r="D62" s="57"/>
      <c r="E62" s="57"/>
      <c r="F62" s="57"/>
      <c r="G62" s="57"/>
      <c r="H62" s="57"/>
      <c r="I62" s="57"/>
      <c r="J62" s="57"/>
      <c r="K62" s="57"/>
      <c r="L62" s="57"/>
      <c r="M62" s="57"/>
      <c r="N62" s="57"/>
      <c r="O62" s="57"/>
      <c r="P62" s="57"/>
      <c r="Q62" s="57"/>
      <c r="R62" s="57"/>
      <c r="S62" s="58"/>
      <c r="T62" s="57"/>
      <c r="U62" s="57"/>
      <c r="V62" s="57"/>
      <c r="W62" s="57"/>
      <c r="X62" s="57"/>
      <c r="Y62" s="57"/>
      <c r="Z62" s="57"/>
    </row>
    <row r="63" spans="1:26">
      <c r="A63" s="57"/>
      <c r="B63" s="57"/>
      <c r="C63" s="57"/>
      <c r="D63" s="57"/>
      <c r="E63" s="57"/>
      <c r="F63" s="57"/>
      <c r="G63" s="57"/>
      <c r="H63" s="57"/>
      <c r="I63" s="57"/>
      <c r="J63" s="57"/>
      <c r="K63" s="57"/>
      <c r="L63" s="57"/>
      <c r="M63" s="57"/>
      <c r="N63" s="57"/>
      <c r="O63" s="57"/>
      <c r="P63" s="57"/>
      <c r="Q63" s="57"/>
      <c r="R63" s="57"/>
      <c r="S63" s="58"/>
      <c r="T63" s="57"/>
      <c r="U63" s="57"/>
      <c r="V63" s="57"/>
      <c r="W63" s="57"/>
      <c r="X63" s="57"/>
      <c r="Y63" s="57"/>
      <c r="Z63" s="57"/>
    </row>
    <row r="64" spans="1:26">
      <c r="A64" s="57"/>
      <c r="B64" s="57"/>
      <c r="C64" s="57"/>
      <c r="D64" s="57"/>
      <c r="E64" s="57"/>
      <c r="F64" s="57"/>
      <c r="G64" s="57"/>
      <c r="H64" s="57"/>
      <c r="I64" s="57"/>
      <c r="J64" s="57"/>
      <c r="K64" s="57"/>
      <c r="L64" s="57"/>
      <c r="M64" s="57"/>
      <c r="N64" s="57"/>
      <c r="O64" s="57"/>
      <c r="P64" s="57"/>
      <c r="Q64" s="57"/>
      <c r="R64" s="57"/>
      <c r="S64" s="58"/>
      <c r="T64" s="57"/>
      <c r="U64" s="57"/>
      <c r="V64" s="57"/>
      <c r="W64" s="57"/>
      <c r="X64" s="57"/>
      <c r="Y64" s="57"/>
      <c r="Z64" s="57"/>
    </row>
    <row r="65" spans="1:26">
      <c r="A65" s="57"/>
      <c r="B65" s="57"/>
      <c r="C65" s="57"/>
      <c r="D65" s="57"/>
      <c r="E65" s="57"/>
      <c r="F65" s="57"/>
      <c r="G65" s="57"/>
      <c r="H65" s="57"/>
      <c r="I65" s="57"/>
      <c r="J65" s="57"/>
      <c r="K65" s="57"/>
      <c r="L65" s="57"/>
      <c r="M65" s="57"/>
      <c r="N65" s="57"/>
      <c r="O65" s="57"/>
      <c r="P65" s="57"/>
      <c r="Q65" s="57"/>
      <c r="R65" s="57"/>
      <c r="S65" s="58"/>
      <c r="T65" s="57"/>
      <c r="U65" s="57"/>
      <c r="V65" s="57"/>
      <c r="W65" s="57"/>
      <c r="X65" s="57"/>
      <c r="Y65" s="57"/>
      <c r="Z65" s="57"/>
    </row>
    <row r="66" spans="1:26">
      <c r="A66" s="57"/>
      <c r="B66" s="57"/>
      <c r="C66" s="57"/>
      <c r="D66" s="57"/>
      <c r="E66" s="57"/>
      <c r="F66" s="57"/>
      <c r="G66" s="57"/>
      <c r="H66" s="57"/>
      <c r="I66" s="57"/>
      <c r="J66" s="57"/>
      <c r="K66" s="57"/>
      <c r="L66" s="57"/>
      <c r="M66" s="57"/>
      <c r="N66" s="57"/>
      <c r="O66" s="57"/>
      <c r="P66" s="57"/>
      <c r="Q66" s="57"/>
      <c r="R66" s="57"/>
      <c r="S66" s="58"/>
      <c r="T66" s="57"/>
      <c r="U66" s="57"/>
      <c r="V66" s="57"/>
      <c r="W66" s="57"/>
      <c r="X66" s="57"/>
      <c r="Y66" s="57"/>
      <c r="Z66" s="57"/>
    </row>
    <row r="67" spans="1:26">
      <c r="A67" s="57"/>
      <c r="B67" s="57"/>
      <c r="C67" s="57"/>
      <c r="D67" s="57"/>
      <c r="E67" s="57"/>
      <c r="F67" s="57"/>
      <c r="G67" s="57"/>
      <c r="H67" s="57"/>
      <c r="I67" s="57"/>
      <c r="J67" s="57"/>
      <c r="K67" s="57"/>
      <c r="L67" s="57"/>
      <c r="M67" s="57"/>
      <c r="N67" s="57"/>
      <c r="O67" s="57"/>
      <c r="P67" s="57"/>
      <c r="Q67" s="57"/>
      <c r="R67" s="57"/>
      <c r="S67" s="58"/>
      <c r="T67" s="57"/>
      <c r="U67" s="57"/>
      <c r="V67" s="57"/>
      <c r="W67" s="57"/>
      <c r="X67" s="57"/>
      <c r="Y67" s="57"/>
      <c r="Z67" s="57"/>
    </row>
    <row r="68" spans="1:26">
      <c r="A68" s="57"/>
      <c r="B68" s="57"/>
      <c r="C68" s="57"/>
      <c r="D68" s="57"/>
      <c r="E68" s="57"/>
      <c r="F68" s="57"/>
      <c r="G68" s="57"/>
      <c r="H68" s="57"/>
      <c r="I68" s="57"/>
      <c r="J68" s="57"/>
      <c r="K68" s="57"/>
      <c r="L68" s="57"/>
      <c r="M68" s="57"/>
      <c r="N68" s="57"/>
      <c r="O68" s="57"/>
      <c r="P68" s="57"/>
      <c r="Q68" s="57"/>
      <c r="R68" s="57"/>
      <c r="S68" s="58"/>
      <c r="T68" s="57"/>
      <c r="U68" s="57"/>
      <c r="V68" s="57"/>
      <c r="W68" s="57"/>
      <c r="X68" s="57"/>
      <c r="Y68" s="57"/>
      <c r="Z68" s="57"/>
    </row>
    <row r="69" spans="1:26">
      <c r="A69" s="57"/>
      <c r="B69" s="57"/>
      <c r="C69" s="57"/>
      <c r="D69" s="57"/>
      <c r="E69" s="57"/>
      <c r="F69" s="57"/>
      <c r="G69" s="57"/>
      <c r="H69" s="57"/>
      <c r="I69" s="57"/>
      <c r="J69" s="57"/>
      <c r="K69" s="57"/>
      <c r="L69" s="57"/>
      <c r="M69" s="57"/>
      <c r="N69" s="57"/>
      <c r="O69" s="57"/>
      <c r="P69" s="57"/>
      <c r="Q69" s="57"/>
      <c r="R69" s="57"/>
      <c r="S69" s="58"/>
      <c r="T69" s="57"/>
      <c r="U69" s="57"/>
      <c r="V69" s="57"/>
      <c r="W69" s="57"/>
      <c r="X69" s="57"/>
      <c r="Y69" s="57"/>
      <c r="Z69" s="57"/>
    </row>
    <row r="70" spans="1:26">
      <c r="A70" s="57"/>
      <c r="B70" s="57"/>
      <c r="C70" s="57"/>
      <c r="D70" s="57"/>
      <c r="E70" s="57"/>
      <c r="F70" s="57"/>
      <c r="G70" s="57"/>
      <c r="H70" s="57"/>
      <c r="I70" s="57"/>
      <c r="J70" s="57"/>
      <c r="K70" s="57"/>
      <c r="L70" s="57"/>
      <c r="M70" s="57"/>
      <c r="N70" s="57"/>
      <c r="O70" s="57"/>
      <c r="P70" s="57"/>
      <c r="Q70" s="57"/>
      <c r="R70" s="57"/>
      <c r="S70" s="58"/>
      <c r="T70" s="57"/>
      <c r="U70" s="57"/>
      <c r="V70" s="57"/>
      <c r="W70" s="57"/>
      <c r="X70" s="57"/>
      <c r="Y70" s="57"/>
      <c r="Z70" s="57"/>
    </row>
    <row r="71" spans="1:26">
      <c r="A71" s="57"/>
      <c r="B71" s="57"/>
      <c r="C71" s="57"/>
      <c r="D71" s="57"/>
      <c r="E71" s="57"/>
      <c r="F71" s="57"/>
      <c r="G71" s="57"/>
      <c r="H71" s="57"/>
      <c r="I71" s="57"/>
      <c r="J71" s="57"/>
      <c r="K71" s="57"/>
      <c r="L71" s="57"/>
      <c r="M71" s="57"/>
      <c r="N71" s="57"/>
      <c r="O71" s="57"/>
      <c r="P71" s="57"/>
      <c r="Q71" s="57"/>
      <c r="R71" s="57"/>
      <c r="S71" s="58"/>
      <c r="T71" s="57"/>
      <c r="U71" s="57"/>
      <c r="V71" s="57"/>
      <c r="W71" s="57"/>
      <c r="X71" s="57"/>
      <c r="Y71" s="57"/>
      <c r="Z71" s="57"/>
    </row>
    <row r="72" spans="1:26">
      <c r="A72" s="57"/>
      <c r="B72" s="57"/>
      <c r="C72" s="57"/>
      <c r="D72" s="57"/>
      <c r="E72" s="57"/>
      <c r="F72" s="57"/>
      <c r="G72" s="57"/>
      <c r="H72" s="57"/>
      <c r="I72" s="57"/>
      <c r="J72" s="57"/>
      <c r="K72" s="57"/>
      <c r="L72" s="57"/>
      <c r="M72" s="57"/>
      <c r="N72" s="57"/>
      <c r="O72" s="57"/>
      <c r="P72" s="57"/>
      <c r="Q72" s="57"/>
      <c r="R72" s="57"/>
      <c r="S72" s="58"/>
      <c r="T72" s="57"/>
      <c r="U72" s="57"/>
      <c r="V72" s="57"/>
      <c r="W72" s="57"/>
      <c r="X72" s="57"/>
      <c r="Y72" s="57"/>
      <c r="Z72" s="57"/>
    </row>
    <row r="73" spans="1:26">
      <c r="A73" s="57"/>
      <c r="B73" s="57"/>
      <c r="C73" s="57"/>
      <c r="D73" s="57"/>
      <c r="E73" s="57"/>
      <c r="F73" s="57"/>
      <c r="G73" s="57"/>
      <c r="H73" s="57"/>
      <c r="I73" s="57"/>
      <c r="J73" s="57"/>
      <c r="K73" s="57"/>
      <c r="L73" s="57"/>
      <c r="M73" s="57"/>
      <c r="N73" s="57"/>
      <c r="O73" s="57"/>
      <c r="P73" s="57"/>
      <c r="Q73" s="57"/>
      <c r="R73" s="57"/>
      <c r="S73" s="58"/>
      <c r="T73" s="57"/>
      <c r="U73" s="57"/>
      <c r="V73" s="57"/>
      <c r="W73" s="57"/>
      <c r="X73" s="57"/>
      <c r="Y73" s="57"/>
      <c r="Z73" s="57"/>
    </row>
    <row r="74" spans="1:26">
      <c r="A74" s="57"/>
      <c r="B74" s="57"/>
      <c r="C74" s="57"/>
      <c r="D74" s="57"/>
      <c r="E74" s="57"/>
      <c r="F74" s="57"/>
      <c r="G74" s="57"/>
      <c r="H74" s="57"/>
      <c r="I74" s="57"/>
      <c r="J74" s="57"/>
      <c r="K74" s="57"/>
      <c r="L74" s="57"/>
      <c r="M74" s="57"/>
      <c r="N74" s="57"/>
      <c r="O74" s="57"/>
      <c r="P74" s="57"/>
      <c r="Q74" s="57"/>
      <c r="R74" s="57"/>
      <c r="S74" s="58"/>
      <c r="T74" s="57"/>
      <c r="U74" s="57"/>
      <c r="V74" s="57"/>
      <c r="W74" s="57"/>
      <c r="X74" s="57"/>
      <c r="Y74" s="57"/>
      <c r="Z74" s="57"/>
    </row>
    <row r="75" spans="1:26">
      <c r="A75" s="57"/>
      <c r="B75" s="57"/>
      <c r="C75" s="57"/>
      <c r="D75" s="57"/>
      <c r="E75" s="57"/>
      <c r="F75" s="57"/>
      <c r="G75" s="57"/>
      <c r="H75" s="57"/>
      <c r="I75" s="57"/>
      <c r="J75" s="57"/>
      <c r="K75" s="57"/>
      <c r="L75" s="57"/>
      <c r="M75" s="57"/>
      <c r="N75" s="57"/>
      <c r="O75" s="57"/>
      <c r="P75" s="57"/>
      <c r="Q75" s="57"/>
      <c r="R75" s="57"/>
      <c r="S75" s="58"/>
      <c r="T75" s="57"/>
      <c r="U75" s="57"/>
      <c r="V75" s="57"/>
      <c r="W75" s="57"/>
      <c r="X75" s="57"/>
      <c r="Y75" s="57"/>
      <c r="Z75" s="57"/>
    </row>
    <row r="76" spans="1:26">
      <c r="A76" s="57"/>
      <c r="B76" s="57"/>
      <c r="C76" s="57"/>
      <c r="D76" s="57"/>
      <c r="E76" s="57"/>
      <c r="F76" s="57"/>
      <c r="G76" s="57"/>
      <c r="H76" s="57"/>
      <c r="I76" s="57"/>
      <c r="J76" s="57"/>
      <c r="K76" s="57"/>
      <c r="L76" s="57"/>
      <c r="M76" s="57"/>
      <c r="N76" s="57"/>
      <c r="O76" s="57"/>
      <c r="P76" s="57"/>
      <c r="Q76" s="57"/>
      <c r="R76" s="57"/>
      <c r="S76" s="58"/>
      <c r="T76" s="57"/>
      <c r="U76" s="57"/>
      <c r="V76" s="57"/>
      <c r="W76" s="57"/>
      <c r="X76" s="57"/>
      <c r="Y76" s="57"/>
      <c r="Z76" s="57"/>
    </row>
    <row r="77" spans="1:26">
      <c r="A77" s="57"/>
      <c r="B77" s="57"/>
      <c r="C77" s="57"/>
      <c r="D77" s="57"/>
      <c r="E77" s="57"/>
      <c r="F77" s="57"/>
      <c r="G77" s="57"/>
      <c r="H77" s="57"/>
      <c r="I77" s="57"/>
      <c r="J77" s="57"/>
      <c r="K77" s="57"/>
      <c r="L77" s="57"/>
      <c r="M77" s="57"/>
      <c r="N77" s="57"/>
      <c r="O77" s="57"/>
      <c r="P77" s="57"/>
      <c r="Q77" s="57"/>
      <c r="R77" s="57"/>
      <c r="S77" s="58"/>
      <c r="T77" s="57"/>
      <c r="U77" s="57"/>
      <c r="V77" s="57"/>
      <c r="W77" s="57"/>
      <c r="X77" s="57"/>
      <c r="Y77" s="57"/>
      <c r="Z77" s="57"/>
    </row>
    <row r="78" spans="1:26">
      <c r="A78" s="57"/>
      <c r="B78" s="57"/>
      <c r="C78" s="57"/>
      <c r="D78" s="57"/>
      <c r="E78" s="57"/>
      <c r="F78" s="57"/>
      <c r="G78" s="57"/>
      <c r="H78" s="57"/>
      <c r="I78" s="57"/>
      <c r="J78" s="57"/>
      <c r="K78" s="57"/>
      <c r="L78" s="57"/>
      <c r="M78" s="57"/>
      <c r="N78" s="57"/>
      <c r="O78" s="57"/>
      <c r="P78" s="57"/>
      <c r="Q78" s="57"/>
      <c r="R78" s="57"/>
      <c r="S78" s="58"/>
      <c r="T78" s="57"/>
      <c r="U78" s="57"/>
      <c r="V78" s="57"/>
      <c r="W78" s="57"/>
      <c r="X78" s="57"/>
      <c r="Y78" s="57"/>
      <c r="Z78" s="57"/>
    </row>
    <row r="79" spans="1:26">
      <c r="A79" s="57"/>
      <c r="B79" s="57"/>
      <c r="C79" s="57"/>
      <c r="D79" s="57"/>
      <c r="E79" s="57"/>
      <c r="F79" s="57"/>
      <c r="G79" s="57"/>
      <c r="H79" s="57"/>
      <c r="I79" s="57"/>
      <c r="J79" s="57"/>
      <c r="K79" s="57"/>
      <c r="L79" s="57"/>
      <c r="M79" s="57"/>
      <c r="N79" s="57"/>
      <c r="O79" s="57"/>
      <c r="P79" s="57"/>
      <c r="Q79" s="57"/>
      <c r="R79" s="57"/>
      <c r="S79" s="58"/>
      <c r="T79" s="57"/>
      <c r="U79" s="57"/>
      <c r="V79" s="57"/>
      <c r="W79" s="57"/>
      <c r="X79" s="57"/>
      <c r="Y79" s="57"/>
      <c r="Z79" s="57"/>
    </row>
    <row r="80" spans="1:26">
      <c r="A80" s="57"/>
      <c r="B80" s="57"/>
      <c r="C80" s="57"/>
      <c r="D80" s="57"/>
      <c r="E80" s="57"/>
      <c r="F80" s="57"/>
      <c r="G80" s="57"/>
      <c r="H80" s="57"/>
      <c r="I80" s="57"/>
      <c r="J80" s="57"/>
      <c r="K80" s="57"/>
      <c r="L80" s="57"/>
      <c r="M80" s="57"/>
      <c r="N80" s="57"/>
      <c r="O80" s="57"/>
      <c r="P80" s="57"/>
      <c r="Q80" s="57"/>
      <c r="R80" s="57"/>
      <c r="S80" s="58"/>
      <c r="T80" s="57"/>
      <c r="U80" s="57"/>
      <c r="V80" s="57"/>
      <c r="W80" s="57"/>
      <c r="X80" s="57"/>
      <c r="Y80" s="57"/>
      <c r="Z80" s="57"/>
    </row>
    <row r="81" spans="1:26">
      <c r="A81" s="57"/>
      <c r="B81" s="57"/>
      <c r="C81" s="57"/>
      <c r="D81" s="57"/>
      <c r="E81" s="57"/>
      <c r="F81" s="57"/>
      <c r="G81" s="57"/>
      <c r="H81" s="57"/>
      <c r="I81" s="57"/>
      <c r="J81" s="57"/>
      <c r="K81" s="57"/>
      <c r="L81" s="57"/>
      <c r="M81" s="57"/>
      <c r="N81" s="57"/>
      <c r="O81" s="57"/>
      <c r="P81" s="57"/>
      <c r="Q81" s="57"/>
      <c r="R81" s="57"/>
      <c r="S81" s="58"/>
      <c r="T81" s="57"/>
      <c r="U81" s="57"/>
      <c r="V81" s="57"/>
      <c r="W81" s="57"/>
      <c r="X81" s="57"/>
      <c r="Y81" s="57"/>
      <c r="Z81" s="57"/>
    </row>
    <row r="82" spans="1:26">
      <c r="A82" s="57"/>
      <c r="B82" s="57"/>
      <c r="C82" s="57"/>
      <c r="D82" s="57"/>
      <c r="E82" s="57"/>
      <c r="F82" s="57"/>
      <c r="G82" s="57"/>
      <c r="H82" s="57"/>
      <c r="I82" s="57"/>
      <c r="J82" s="57"/>
      <c r="K82" s="57"/>
      <c r="L82" s="57"/>
      <c r="M82" s="57"/>
      <c r="N82" s="57"/>
      <c r="O82" s="57"/>
      <c r="P82" s="57"/>
      <c r="Q82" s="57"/>
      <c r="R82" s="57"/>
      <c r="S82" s="58"/>
      <c r="T82" s="57"/>
      <c r="U82" s="57"/>
      <c r="V82" s="57"/>
      <c r="W82" s="57"/>
      <c r="X82" s="57"/>
      <c r="Y82" s="57"/>
      <c r="Z82" s="57"/>
    </row>
  </sheetData>
  <sheetProtection algorithmName="SHA-512" hashValue="qA0T1Sk/oioWZeBId5g2OuVxCZmNyof/F4MMjSnWiZ3DIGRHvAyTAJ/Qz6w8l5SdCV+NAqHtxRYHPob11ZGeOg==" saltValue="bdh/M36EHf9SVoyfDbs/ww==" spinCount="100000" sheet="1" objects="1" scenarios="1"/>
  <protectedRanges>
    <protectedRange sqref="F33:G39" name="Range15"/>
    <protectedRange sqref="M33:N35 M38:N39" name="Range14"/>
    <protectedRange sqref="G8:K8 O8:Q8 D7:E8 N10 R7:S8 S20 F7:K7 O7:P7 A44:B44 S9:S10 L7:N8" name="Range1"/>
    <protectedRange sqref="S15:S16" name="Range3"/>
    <protectedRange sqref="G20:M20 H24:M24 S18:S19" name="Range5"/>
    <protectedRange sqref="J27:J28" name="Range8"/>
    <protectedRange sqref="J29" name="Range9"/>
    <protectedRange sqref="F31:H31" name="Range10"/>
    <protectedRange sqref="Q31" name="Range11"/>
    <protectedRange sqref="O20 O24" name="Range5_4"/>
  </protectedRanges>
  <mergeCells count="46">
    <mergeCell ref="C9:D9"/>
    <mergeCell ref="C4:S4"/>
    <mergeCell ref="U5:W5"/>
    <mergeCell ref="C7:E7"/>
    <mergeCell ref="O7:R7"/>
    <mergeCell ref="H8:K8"/>
    <mergeCell ref="O10:R10"/>
    <mergeCell ref="O11:R11"/>
    <mergeCell ref="O12:R12"/>
    <mergeCell ref="C14:F14"/>
    <mergeCell ref="G14:L14"/>
    <mergeCell ref="M14:R14"/>
    <mergeCell ref="C16:F16"/>
    <mergeCell ref="G16:H16"/>
    <mergeCell ref="I16:L16"/>
    <mergeCell ref="M16:N16"/>
    <mergeCell ref="O16:R16"/>
    <mergeCell ref="C15:F15"/>
    <mergeCell ref="G15:H15"/>
    <mergeCell ref="I15:L15"/>
    <mergeCell ref="M15:N15"/>
    <mergeCell ref="O15:R15"/>
    <mergeCell ref="S23:S24"/>
    <mergeCell ref="H24:M24"/>
    <mergeCell ref="C18:H18"/>
    <mergeCell ref="H19:M19"/>
    <mergeCell ref="N19:N20"/>
    <mergeCell ref="O19:R20"/>
    <mergeCell ref="S19:S20"/>
    <mergeCell ref="H20:M20"/>
    <mergeCell ref="O34:R34"/>
    <mergeCell ref="C22:G22"/>
    <mergeCell ref="H23:M23"/>
    <mergeCell ref="N23:N24"/>
    <mergeCell ref="O23:R24"/>
    <mergeCell ref="C27:H27"/>
    <mergeCell ref="O27:R27"/>
    <mergeCell ref="C30:F30"/>
    <mergeCell ref="O30:R30"/>
    <mergeCell ref="C33:H33"/>
    <mergeCell ref="K35:M35"/>
    <mergeCell ref="O35:R35"/>
    <mergeCell ref="C38:F38"/>
    <mergeCell ref="O38:R38"/>
    <mergeCell ref="L44:N44"/>
    <mergeCell ref="O44:S44"/>
  </mergeCells>
  <dataValidations count="1">
    <dataValidation type="list" allowBlank="1" showErrorMessage="1" errorTitle="Incorrect input" error="Please click the arrow and select your road type" prompt="Select your road type" sqref="O7 JK7 TG7 ADC7 AMY7 AWU7 BGQ7 BQM7 CAI7 CKE7 CUA7 DDW7 DNS7 DXO7 EHK7 ERG7 FBC7 FKY7 FUU7 GEQ7 GOM7 GYI7 HIE7 HSA7 IBW7 ILS7 IVO7 JFK7 JPG7 JZC7 KIY7 KSU7 LCQ7 LMM7 LWI7 MGE7 MQA7 MZW7 NJS7 NTO7 ODK7 ONG7 OXC7 PGY7 PQU7 QAQ7 QKM7 QUI7 REE7 ROA7 RXW7 SHS7 SRO7 TBK7 TLG7 TVC7 UEY7 UOU7 UYQ7 VIM7 VSI7 WCE7 WMA7 WVW7 O65543 JK65543 TG65543 ADC65543 AMY65543 AWU65543 BGQ65543 BQM65543 CAI65543 CKE65543 CUA65543 DDW65543 DNS65543 DXO65543 EHK65543 ERG65543 FBC65543 FKY65543 FUU65543 GEQ65543 GOM65543 GYI65543 HIE65543 HSA65543 IBW65543 ILS65543 IVO65543 JFK65543 JPG65543 JZC65543 KIY65543 KSU65543 LCQ65543 LMM65543 LWI65543 MGE65543 MQA65543 MZW65543 NJS65543 NTO65543 ODK65543 ONG65543 OXC65543 PGY65543 PQU65543 QAQ65543 QKM65543 QUI65543 REE65543 ROA65543 RXW65543 SHS65543 SRO65543 TBK65543 TLG65543 TVC65543 UEY65543 UOU65543 UYQ65543 VIM65543 VSI65543 WCE65543 WMA65543 WVW65543 O131079 JK131079 TG131079 ADC131079 AMY131079 AWU131079 BGQ131079 BQM131079 CAI131079 CKE131079 CUA131079 DDW131079 DNS131079 DXO131079 EHK131079 ERG131079 FBC131079 FKY131079 FUU131079 GEQ131079 GOM131079 GYI131079 HIE131079 HSA131079 IBW131079 ILS131079 IVO131079 JFK131079 JPG131079 JZC131079 KIY131079 KSU131079 LCQ131079 LMM131079 LWI131079 MGE131079 MQA131079 MZW131079 NJS131079 NTO131079 ODK131079 ONG131079 OXC131079 PGY131079 PQU131079 QAQ131079 QKM131079 QUI131079 REE131079 ROA131079 RXW131079 SHS131079 SRO131079 TBK131079 TLG131079 TVC131079 UEY131079 UOU131079 UYQ131079 VIM131079 VSI131079 WCE131079 WMA131079 WVW131079 O196615 JK196615 TG196615 ADC196615 AMY196615 AWU196615 BGQ196615 BQM196615 CAI196615 CKE196615 CUA196615 DDW196615 DNS196615 DXO196615 EHK196615 ERG196615 FBC196615 FKY196615 FUU196615 GEQ196615 GOM196615 GYI196615 HIE196615 HSA196615 IBW196615 ILS196615 IVO196615 JFK196615 JPG196615 JZC196615 KIY196615 KSU196615 LCQ196615 LMM196615 LWI196615 MGE196615 MQA196615 MZW196615 NJS196615 NTO196615 ODK196615 ONG196615 OXC196615 PGY196615 PQU196615 QAQ196615 QKM196615 QUI196615 REE196615 ROA196615 RXW196615 SHS196615 SRO196615 TBK196615 TLG196615 TVC196615 UEY196615 UOU196615 UYQ196615 VIM196615 VSI196615 WCE196615 WMA196615 WVW196615 O262151 JK262151 TG262151 ADC262151 AMY262151 AWU262151 BGQ262151 BQM262151 CAI262151 CKE262151 CUA262151 DDW262151 DNS262151 DXO262151 EHK262151 ERG262151 FBC262151 FKY262151 FUU262151 GEQ262151 GOM262151 GYI262151 HIE262151 HSA262151 IBW262151 ILS262151 IVO262151 JFK262151 JPG262151 JZC262151 KIY262151 KSU262151 LCQ262151 LMM262151 LWI262151 MGE262151 MQA262151 MZW262151 NJS262151 NTO262151 ODK262151 ONG262151 OXC262151 PGY262151 PQU262151 QAQ262151 QKM262151 QUI262151 REE262151 ROA262151 RXW262151 SHS262151 SRO262151 TBK262151 TLG262151 TVC262151 UEY262151 UOU262151 UYQ262151 VIM262151 VSI262151 WCE262151 WMA262151 WVW262151 O327687 JK327687 TG327687 ADC327687 AMY327687 AWU327687 BGQ327687 BQM327687 CAI327687 CKE327687 CUA327687 DDW327687 DNS327687 DXO327687 EHK327687 ERG327687 FBC327687 FKY327687 FUU327687 GEQ327687 GOM327687 GYI327687 HIE327687 HSA327687 IBW327687 ILS327687 IVO327687 JFK327687 JPG327687 JZC327687 KIY327687 KSU327687 LCQ327687 LMM327687 LWI327687 MGE327687 MQA327687 MZW327687 NJS327687 NTO327687 ODK327687 ONG327687 OXC327687 PGY327687 PQU327687 QAQ327687 QKM327687 QUI327687 REE327687 ROA327687 RXW327687 SHS327687 SRO327687 TBK327687 TLG327687 TVC327687 UEY327687 UOU327687 UYQ327687 VIM327687 VSI327687 WCE327687 WMA327687 WVW327687 O393223 JK393223 TG393223 ADC393223 AMY393223 AWU393223 BGQ393223 BQM393223 CAI393223 CKE393223 CUA393223 DDW393223 DNS393223 DXO393223 EHK393223 ERG393223 FBC393223 FKY393223 FUU393223 GEQ393223 GOM393223 GYI393223 HIE393223 HSA393223 IBW393223 ILS393223 IVO393223 JFK393223 JPG393223 JZC393223 KIY393223 KSU393223 LCQ393223 LMM393223 LWI393223 MGE393223 MQA393223 MZW393223 NJS393223 NTO393223 ODK393223 ONG393223 OXC393223 PGY393223 PQU393223 QAQ393223 QKM393223 QUI393223 REE393223 ROA393223 RXW393223 SHS393223 SRO393223 TBK393223 TLG393223 TVC393223 UEY393223 UOU393223 UYQ393223 VIM393223 VSI393223 WCE393223 WMA393223 WVW393223 O458759 JK458759 TG458759 ADC458759 AMY458759 AWU458759 BGQ458759 BQM458759 CAI458759 CKE458759 CUA458759 DDW458759 DNS458759 DXO458759 EHK458759 ERG458759 FBC458759 FKY458759 FUU458759 GEQ458759 GOM458759 GYI458759 HIE458759 HSA458759 IBW458759 ILS458759 IVO458759 JFK458759 JPG458759 JZC458759 KIY458759 KSU458759 LCQ458759 LMM458759 LWI458759 MGE458759 MQA458759 MZW458759 NJS458759 NTO458759 ODK458759 ONG458759 OXC458759 PGY458759 PQU458759 QAQ458759 QKM458759 QUI458759 REE458759 ROA458759 RXW458759 SHS458759 SRO458759 TBK458759 TLG458759 TVC458759 UEY458759 UOU458759 UYQ458759 VIM458759 VSI458759 WCE458759 WMA458759 WVW458759 O524295 JK524295 TG524295 ADC524295 AMY524295 AWU524295 BGQ524295 BQM524295 CAI524295 CKE524295 CUA524295 DDW524295 DNS524295 DXO524295 EHK524295 ERG524295 FBC524295 FKY524295 FUU524295 GEQ524295 GOM524295 GYI524295 HIE524295 HSA524295 IBW524295 ILS524295 IVO524295 JFK524295 JPG524295 JZC524295 KIY524295 KSU524295 LCQ524295 LMM524295 LWI524295 MGE524295 MQA524295 MZW524295 NJS524295 NTO524295 ODK524295 ONG524295 OXC524295 PGY524295 PQU524295 QAQ524295 QKM524295 QUI524295 REE524295 ROA524295 RXW524295 SHS524295 SRO524295 TBK524295 TLG524295 TVC524295 UEY524295 UOU524295 UYQ524295 VIM524295 VSI524295 WCE524295 WMA524295 WVW524295 O589831 JK589831 TG589831 ADC589831 AMY589831 AWU589831 BGQ589831 BQM589831 CAI589831 CKE589831 CUA589831 DDW589831 DNS589831 DXO589831 EHK589831 ERG589831 FBC589831 FKY589831 FUU589831 GEQ589831 GOM589831 GYI589831 HIE589831 HSA589831 IBW589831 ILS589831 IVO589831 JFK589831 JPG589831 JZC589831 KIY589831 KSU589831 LCQ589831 LMM589831 LWI589831 MGE589831 MQA589831 MZW589831 NJS589831 NTO589831 ODK589831 ONG589831 OXC589831 PGY589831 PQU589831 QAQ589831 QKM589831 QUI589831 REE589831 ROA589831 RXW589831 SHS589831 SRO589831 TBK589831 TLG589831 TVC589831 UEY589831 UOU589831 UYQ589831 VIM589831 VSI589831 WCE589831 WMA589831 WVW589831 O655367 JK655367 TG655367 ADC655367 AMY655367 AWU655367 BGQ655367 BQM655367 CAI655367 CKE655367 CUA655367 DDW655367 DNS655367 DXO655367 EHK655367 ERG655367 FBC655367 FKY655367 FUU655367 GEQ655367 GOM655367 GYI655367 HIE655367 HSA655367 IBW655367 ILS655367 IVO655367 JFK655367 JPG655367 JZC655367 KIY655367 KSU655367 LCQ655367 LMM655367 LWI655367 MGE655367 MQA655367 MZW655367 NJS655367 NTO655367 ODK655367 ONG655367 OXC655367 PGY655367 PQU655367 QAQ655367 QKM655367 QUI655367 REE655367 ROA655367 RXW655367 SHS655367 SRO655367 TBK655367 TLG655367 TVC655367 UEY655367 UOU655367 UYQ655367 VIM655367 VSI655367 WCE655367 WMA655367 WVW655367 O720903 JK720903 TG720903 ADC720903 AMY720903 AWU720903 BGQ720903 BQM720903 CAI720903 CKE720903 CUA720903 DDW720903 DNS720903 DXO720903 EHK720903 ERG720903 FBC720903 FKY720903 FUU720903 GEQ720903 GOM720903 GYI720903 HIE720903 HSA720903 IBW720903 ILS720903 IVO720903 JFK720903 JPG720903 JZC720903 KIY720903 KSU720903 LCQ720903 LMM720903 LWI720903 MGE720903 MQA720903 MZW720903 NJS720903 NTO720903 ODK720903 ONG720903 OXC720903 PGY720903 PQU720903 QAQ720903 QKM720903 QUI720903 REE720903 ROA720903 RXW720903 SHS720903 SRO720903 TBK720903 TLG720903 TVC720903 UEY720903 UOU720903 UYQ720903 VIM720903 VSI720903 WCE720903 WMA720903 WVW720903 O786439 JK786439 TG786439 ADC786439 AMY786439 AWU786439 BGQ786439 BQM786439 CAI786439 CKE786439 CUA786439 DDW786439 DNS786439 DXO786439 EHK786439 ERG786439 FBC786439 FKY786439 FUU786439 GEQ786439 GOM786439 GYI786439 HIE786439 HSA786439 IBW786439 ILS786439 IVO786439 JFK786439 JPG786439 JZC786439 KIY786439 KSU786439 LCQ786439 LMM786439 LWI786439 MGE786439 MQA786439 MZW786439 NJS786439 NTO786439 ODK786439 ONG786439 OXC786439 PGY786439 PQU786439 QAQ786439 QKM786439 QUI786439 REE786439 ROA786439 RXW786439 SHS786439 SRO786439 TBK786439 TLG786439 TVC786439 UEY786439 UOU786439 UYQ786439 VIM786439 VSI786439 WCE786439 WMA786439 WVW786439 O851975 JK851975 TG851975 ADC851975 AMY851975 AWU851975 BGQ851975 BQM851975 CAI851975 CKE851975 CUA851975 DDW851975 DNS851975 DXO851975 EHK851975 ERG851975 FBC851975 FKY851975 FUU851975 GEQ851975 GOM851975 GYI851975 HIE851975 HSA851975 IBW851975 ILS851975 IVO851975 JFK851975 JPG851975 JZC851975 KIY851975 KSU851975 LCQ851975 LMM851975 LWI851975 MGE851975 MQA851975 MZW851975 NJS851975 NTO851975 ODK851975 ONG851975 OXC851975 PGY851975 PQU851975 QAQ851975 QKM851975 QUI851975 REE851975 ROA851975 RXW851975 SHS851975 SRO851975 TBK851975 TLG851975 TVC851975 UEY851975 UOU851975 UYQ851975 VIM851975 VSI851975 WCE851975 WMA851975 WVW851975 O917511 JK917511 TG917511 ADC917511 AMY917511 AWU917511 BGQ917511 BQM917511 CAI917511 CKE917511 CUA917511 DDW917511 DNS917511 DXO917511 EHK917511 ERG917511 FBC917511 FKY917511 FUU917511 GEQ917511 GOM917511 GYI917511 HIE917511 HSA917511 IBW917511 ILS917511 IVO917511 JFK917511 JPG917511 JZC917511 KIY917511 KSU917511 LCQ917511 LMM917511 LWI917511 MGE917511 MQA917511 MZW917511 NJS917511 NTO917511 ODK917511 ONG917511 OXC917511 PGY917511 PQU917511 QAQ917511 QKM917511 QUI917511 REE917511 ROA917511 RXW917511 SHS917511 SRO917511 TBK917511 TLG917511 TVC917511 UEY917511 UOU917511 UYQ917511 VIM917511 VSI917511 WCE917511 WMA917511 WVW917511 O983047 JK983047 TG983047 ADC983047 AMY983047 AWU983047 BGQ983047 BQM983047 CAI983047 CKE983047 CUA983047 DDW983047 DNS983047 DXO983047 EHK983047 ERG983047 FBC983047 FKY983047 FUU983047 GEQ983047 GOM983047 GYI983047 HIE983047 HSA983047 IBW983047 ILS983047 IVO983047 JFK983047 JPG983047 JZC983047 KIY983047 KSU983047 LCQ983047 LMM983047 LWI983047 MGE983047 MQA983047 MZW983047 NJS983047 NTO983047 ODK983047 ONG983047 OXC983047 PGY983047 PQU983047 QAQ983047 QKM983047 QUI983047 REE983047 ROA983047 RXW983047 SHS983047 SRO983047 TBK983047 TLG983047 TVC983047 UEY983047 UOU983047 UYQ983047 VIM983047 VSI983047 WCE983047 WMA983047 WVW983047" xr:uid="{930DC9A1-EBF2-4CB9-B71B-F100039D59F6}">
      <formula1>$A$44:$A$47</formula1>
    </dataValidation>
  </dataValidations>
  <printOptions horizontalCentered="1"/>
  <pageMargins left="0.74803149606299213" right="0.70866141732283472" top="0.74803149606299213" bottom="0.9055118110236221" header="0.39370078740157483" footer="0.39370078740157483"/>
  <pageSetup paperSize="9" scale="90" orientation="portrait" r:id="rId1"/>
  <headerFooter scaleWithDoc="0" alignWithMargins="0">
    <oddHeader>&amp;L&amp;"-,Regular"&amp;8&amp;F&amp;R&amp;"-,Regular"&amp;8&amp;A
______________________________________________________________________________________________</oddHeader>
    <oddFooter>&amp;L&amp;"-,Regular"&amp;8______________________________________________________________________________________________
NZ Transport Agency’s Economic evaluation manual 
Effective from Jul 2013</oddFooter>
  </headerFooter>
  <legacyDrawing r:id="rId2"/>
</worksheet>
</file>

<file path=xl/worksheets/sheet10.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62190131-0550-49D1-AC30-617E4780BF93}">
  <sheetPr>
    <pageSetUpPr fitToPage="1"/>
  </sheetPr>
  <dimension ref="A1:Z82"/>
  <sheetViews>
    <sheetView zoomScaleNormal="100" workbookViewId="0"/>
  </sheetViews>
  <sheetFormatPr defaultRowHeight="12.6"/>
  <cols>
    <col min="1" max="1" width="2.5" style="55" customWidth="1"/>
    <col min="2" max="2" width="0.8984375" style="55" customWidth="1"/>
    <col min="3" max="3" width="6" style="55" customWidth="1"/>
    <col min="4" max="4" width="6.3984375" style="55" customWidth="1"/>
    <col min="5" max="5" width="5.5" style="55" customWidth="1"/>
    <col min="6" max="6" width="5.09765625" style="55" customWidth="1"/>
    <col min="7" max="18" width="4.5" style="55" customWidth="1"/>
    <col min="19" max="19" width="3.19921875" style="55" customWidth="1"/>
    <col min="20" max="256" width="9" style="55"/>
    <col min="257" max="257" width="2.5" style="55" customWidth="1"/>
    <col min="258" max="258" width="0.8984375" style="55" customWidth="1"/>
    <col min="259" max="259" width="6" style="55" customWidth="1"/>
    <col min="260" max="260" width="6.3984375" style="55" customWidth="1"/>
    <col min="261" max="261" width="5.5" style="55" customWidth="1"/>
    <col min="262" max="262" width="5.09765625" style="55" customWidth="1"/>
    <col min="263" max="274" width="4.5" style="55" customWidth="1"/>
    <col min="275" max="275" width="3.19921875" style="55" customWidth="1"/>
    <col min="276" max="512" width="9" style="55"/>
    <col min="513" max="513" width="2.5" style="55" customWidth="1"/>
    <col min="514" max="514" width="0.8984375" style="55" customWidth="1"/>
    <col min="515" max="515" width="6" style="55" customWidth="1"/>
    <col min="516" max="516" width="6.3984375" style="55" customWidth="1"/>
    <col min="517" max="517" width="5.5" style="55" customWidth="1"/>
    <col min="518" max="518" width="5.09765625" style="55" customWidth="1"/>
    <col min="519" max="530" width="4.5" style="55" customWidth="1"/>
    <col min="531" max="531" width="3.19921875" style="55" customWidth="1"/>
    <col min="532" max="768" width="9" style="55"/>
    <col min="769" max="769" width="2.5" style="55" customWidth="1"/>
    <col min="770" max="770" width="0.8984375" style="55" customWidth="1"/>
    <col min="771" max="771" width="6" style="55" customWidth="1"/>
    <col min="772" max="772" width="6.3984375" style="55" customWidth="1"/>
    <col min="773" max="773" width="5.5" style="55" customWidth="1"/>
    <col min="774" max="774" width="5.09765625" style="55" customWidth="1"/>
    <col min="775" max="786" width="4.5" style="55" customWidth="1"/>
    <col min="787" max="787" width="3.19921875" style="55" customWidth="1"/>
    <col min="788" max="1024" width="9" style="55"/>
    <col min="1025" max="1025" width="2.5" style="55" customWidth="1"/>
    <col min="1026" max="1026" width="0.8984375" style="55" customWidth="1"/>
    <col min="1027" max="1027" width="6" style="55" customWidth="1"/>
    <col min="1028" max="1028" width="6.3984375" style="55" customWidth="1"/>
    <col min="1029" max="1029" width="5.5" style="55" customWidth="1"/>
    <col min="1030" max="1030" width="5.09765625" style="55" customWidth="1"/>
    <col min="1031" max="1042" width="4.5" style="55" customWidth="1"/>
    <col min="1043" max="1043" width="3.19921875" style="55" customWidth="1"/>
    <col min="1044" max="1280" width="9" style="55"/>
    <col min="1281" max="1281" width="2.5" style="55" customWidth="1"/>
    <col min="1282" max="1282" width="0.8984375" style="55" customWidth="1"/>
    <col min="1283" max="1283" width="6" style="55" customWidth="1"/>
    <col min="1284" max="1284" width="6.3984375" style="55" customWidth="1"/>
    <col min="1285" max="1285" width="5.5" style="55" customWidth="1"/>
    <col min="1286" max="1286" width="5.09765625" style="55" customWidth="1"/>
    <col min="1287" max="1298" width="4.5" style="55" customWidth="1"/>
    <col min="1299" max="1299" width="3.19921875" style="55" customWidth="1"/>
    <col min="1300" max="1536" width="9" style="55"/>
    <col min="1537" max="1537" width="2.5" style="55" customWidth="1"/>
    <col min="1538" max="1538" width="0.8984375" style="55" customWidth="1"/>
    <col min="1539" max="1539" width="6" style="55" customWidth="1"/>
    <col min="1540" max="1540" width="6.3984375" style="55" customWidth="1"/>
    <col min="1541" max="1541" width="5.5" style="55" customWidth="1"/>
    <col min="1542" max="1542" width="5.09765625" style="55" customWidth="1"/>
    <col min="1543" max="1554" width="4.5" style="55" customWidth="1"/>
    <col min="1555" max="1555" width="3.19921875" style="55" customWidth="1"/>
    <col min="1556" max="1792" width="9" style="55"/>
    <col min="1793" max="1793" width="2.5" style="55" customWidth="1"/>
    <col min="1794" max="1794" width="0.8984375" style="55" customWidth="1"/>
    <col min="1795" max="1795" width="6" style="55" customWidth="1"/>
    <col min="1796" max="1796" width="6.3984375" style="55" customWidth="1"/>
    <col min="1797" max="1797" width="5.5" style="55" customWidth="1"/>
    <col min="1798" max="1798" width="5.09765625" style="55" customWidth="1"/>
    <col min="1799" max="1810" width="4.5" style="55" customWidth="1"/>
    <col min="1811" max="1811" width="3.19921875" style="55" customWidth="1"/>
    <col min="1812" max="2048" width="9" style="55"/>
    <col min="2049" max="2049" width="2.5" style="55" customWidth="1"/>
    <col min="2050" max="2050" width="0.8984375" style="55" customWidth="1"/>
    <col min="2051" max="2051" width="6" style="55" customWidth="1"/>
    <col min="2052" max="2052" width="6.3984375" style="55" customWidth="1"/>
    <col min="2053" max="2053" width="5.5" style="55" customWidth="1"/>
    <col min="2054" max="2054" width="5.09765625" style="55" customWidth="1"/>
    <col min="2055" max="2066" width="4.5" style="55" customWidth="1"/>
    <col min="2067" max="2067" width="3.19921875" style="55" customWidth="1"/>
    <col min="2068" max="2304" width="9" style="55"/>
    <col min="2305" max="2305" width="2.5" style="55" customWidth="1"/>
    <col min="2306" max="2306" width="0.8984375" style="55" customWidth="1"/>
    <col min="2307" max="2307" width="6" style="55" customWidth="1"/>
    <col min="2308" max="2308" width="6.3984375" style="55" customWidth="1"/>
    <col min="2309" max="2309" width="5.5" style="55" customWidth="1"/>
    <col min="2310" max="2310" width="5.09765625" style="55" customWidth="1"/>
    <col min="2311" max="2322" width="4.5" style="55" customWidth="1"/>
    <col min="2323" max="2323" width="3.19921875" style="55" customWidth="1"/>
    <col min="2324" max="2560" width="9" style="55"/>
    <col min="2561" max="2561" width="2.5" style="55" customWidth="1"/>
    <col min="2562" max="2562" width="0.8984375" style="55" customWidth="1"/>
    <col min="2563" max="2563" width="6" style="55" customWidth="1"/>
    <col min="2564" max="2564" width="6.3984375" style="55" customWidth="1"/>
    <col min="2565" max="2565" width="5.5" style="55" customWidth="1"/>
    <col min="2566" max="2566" width="5.09765625" style="55" customWidth="1"/>
    <col min="2567" max="2578" width="4.5" style="55" customWidth="1"/>
    <col min="2579" max="2579" width="3.19921875" style="55" customWidth="1"/>
    <col min="2580" max="2816" width="9" style="55"/>
    <col min="2817" max="2817" width="2.5" style="55" customWidth="1"/>
    <col min="2818" max="2818" width="0.8984375" style="55" customWidth="1"/>
    <col min="2819" max="2819" width="6" style="55" customWidth="1"/>
    <col min="2820" max="2820" width="6.3984375" style="55" customWidth="1"/>
    <col min="2821" max="2821" width="5.5" style="55" customWidth="1"/>
    <col min="2822" max="2822" width="5.09765625" style="55" customWidth="1"/>
    <col min="2823" max="2834" width="4.5" style="55" customWidth="1"/>
    <col min="2835" max="2835" width="3.19921875" style="55" customWidth="1"/>
    <col min="2836" max="3072" width="9" style="55"/>
    <col min="3073" max="3073" width="2.5" style="55" customWidth="1"/>
    <col min="3074" max="3074" width="0.8984375" style="55" customWidth="1"/>
    <col min="3075" max="3075" width="6" style="55" customWidth="1"/>
    <col min="3076" max="3076" width="6.3984375" style="55" customWidth="1"/>
    <col min="3077" max="3077" width="5.5" style="55" customWidth="1"/>
    <col min="3078" max="3078" width="5.09765625" style="55" customWidth="1"/>
    <col min="3079" max="3090" width="4.5" style="55" customWidth="1"/>
    <col min="3091" max="3091" width="3.19921875" style="55" customWidth="1"/>
    <col min="3092" max="3328" width="9" style="55"/>
    <col min="3329" max="3329" width="2.5" style="55" customWidth="1"/>
    <col min="3330" max="3330" width="0.8984375" style="55" customWidth="1"/>
    <col min="3331" max="3331" width="6" style="55" customWidth="1"/>
    <col min="3332" max="3332" width="6.3984375" style="55" customWidth="1"/>
    <col min="3333" max="3333" width="5.5" style="55" customWidth="1"/>
    <col min="3334" max="3334" width="5.09765625" style="55" customWidth="1"/>
    <col min="3335" max="3346" width="4.5" style="55" customWidth="1"/>
    <col min="3347" max="3347" width="3.19921875" style="55" customWidth="1"/>
    <col min="3348" max="3584" width="9" style="55"/>
    <col min="3585" max="3585" width="2.5" style="55" customWidth="1"/>
    <col min="3586" max="3586" width="0.8984375" style="55" customWidth="1"/>
    <col min="3587" max="3587" width="6" style="55" customWidth="1"/>
    <col min="3588" max="3588" width="6.3984375" style="55" customWidth="1"/>
    <col min="3589" max="3589" width="5.5" style="55" customWidth="1"/>
    <col min="3590" max="3590" width="5.09765625" style="55" customWidth="1"/>
    <col min="3591" max="3602" width="4.5" style="55" customWidth="1"/>
    <col min="3603" max="3603" width="3.19921875" style="55" customWidth="1"/>
    <col min="3604" max="3840" width="9" style="55"/>
    <col min="3841" max="3841" width="2.5" style="55" customWidth="1"/>
    <col min="3842" max="3842" width="0.8984375" style="55" customWidth="1"/>
    <col min="3843" max="3843" width="6" style="55" customWidth="1"/>
    <col min="3844" max="3844" width="6.3984375" style="55" customWidth="1"/>
    <col min="3845" max="3845" width="5.5" style="55" customWidth="1"/>
    <col min="3846" max="3846" width="5.09765625" style="55" customWidth="1"/>
    <col min="3847" max="3858" width="4.5" style="55" customWidth="1"/>
    <col min="3859" max="3859" width="3.19921875" style="55" customWidth="1"/>
    <col min="3860" max="4096" width="9" style="55"/>
    <col min="4097" max="4097" width="2.5" style="55" customWidth="1"/>
    <col min="4098" max="4098" width="0.8984375" style="55" customWidth="1"/>
    <col min="4099" max="4099" width="6" style="55" customWidth="1"/>
    <col min="4100" max="4100" width="6.3984375" style="55" customWidth="1"/>
    <col min="4101" max="4101" width="5.5" style="55" customWidth="1"/>
    <col min="4102" max="4102" width="5.09765625" style="55" customWidth="1"/>
    <col min="4103" max="4114" width="4.5" style="55" customWidth="1"/>
    <col min="4115" max="4115" width="3.19921875" style="55" customWidth="1"/>
    <col min="4116" max="4352" width="9" style="55"/>
    <col min="4353" max="4353" width="2.5" style="55" customWidth="1"/>
    <col min="4354" max="4354" width="0.8984375" style="55" customWidth="1"/>
    <col min="4355" max="4355" width="6" style="55" customWidth="1"/>
    <col min="4356" max="4356" width="6.3984375" style="55" customWidth="1"/>
    <col min="4357" max="4357" width="5.5" style="55" customWidth="1"/>
    <col min="4358" max="4358" width="5.09765625" style="55" customWidth="1"/>
    <col min="4359" max="4370" width="4.5" style="55" customWidth="1"/>
    <col min="4371" max="4371" width="3.19921875" style="55" customWidth="1"/>
    <col min="4372" max="4608" width="9" style="55"/>
    <col min="4609" max="4609" width="2.5" style="55" customWidth="1"/>
    <col min="4610" max="4610" width="0.8984375" style="55" customWidth="1"/>
    <col min="4611" max="4611" width="6" style="55" customWidth="1"/>
    <col min="4612" max="4612" width="6.3984375" style="55" customWidth="1"/>
    <col min="4613" max="4613" width="5.5" style="55" customWidth="1"/>
    <col min="4614" max="4614" width="5.09765625" style="55" customWidth="1"/>
    <col min="4615" max="4626" width="4.5" style="55" customWidth="1"/>
    <col min="4627" max="4627" width="3.19921875" style="55" customWidth="1"/>
    <col min="4628" max="4864" width="9" style="55"/>
    <col min="4865" max="4865" width="2.5" style="55" customWidth="1"/>
    <col min="4866" max="4866" width="0.8984375" style="55" customWidth="1"/>
    <col min="4867" max="4867" width="6" style="55" customWidth="1"/>
    <col min="4868" max="4868" width="6.3984375" style="55" customWidth="1"/>
    <col min="4869" max="4869" width="5.5" style="55" customWidth="1"/>
    <col min="4870" max="4870" width="5.09765625" style="55" customWidth="1"/>
    <col min="4871" max="4882" width="4.5" style="55" customWidth="1"/>
    <col min="4883" max="4883" width="3.19921875" style="55" customWidth="1"/>
    <col min="4884" max="5120" width="9" style="55"/>
    <col min="5121" max="5121" width="2.5" style="55" customWidth="1"/>
    <col min="5122" max="5122" width="0.8984375" style="55" customWidth="1"/>
    <col min="5123" max="5123" width="6" style="55" customWidth="1"/>
    <col min="5124" max="5124" width="6.3984375" style="55" customWidth="1"/>
    <col min="5125" max="5125" width="5.5" style="55" customWidth="1"/>
    <col min="5126" max="5126" width="5.09765625" style="55" customWidth="1"/>
    <col min="5127" max="5138" width="4.5" style="55" customWidth="1"/>
    <col min="5139" max="5139" width="3.19921875" style="55" customWidth="1"/>
    <col min="5140" max="5376" width="9" style="55"/>
    <col min="5377" max="5377" width="2.5" style="55" customWidth="1"/>
    <col min="5378" max="5378" width="0.8984375" style="55" customWidth="1"/>
    <col min="5379" max="5379" width="6" style="55" customWidth="1"/>
    <col min="5380" max="5380" width="6.3984375" style="55" customWidth="1"/>
    <col min="5381" max="5381" width="5.5" style="55" customWidth="1"/>
    <col min="5382" max="5382" width="5.09765625" style="55" customWidth="1"/>
    <col min="5383" max="5394" width="4.5" style="55" customWidth="1"/>
    <col min="5395" max="5395" width="3.19921875" style="55" customWidth="1"/>
    <col min="5396" max="5632" width="9" style="55"/>
    <col min="5633" max="5633" width="2.5" style="55" customWidth="1"/>
    <col min="5634" max="5634" width="0.8984375" style="55" customWidth="1"/>
    <col min="5635" max="5635" width="6" style="55" customWidth="1"/>
    <col min="5636" max="5636" width="6.3984375" style="55" customWidth="1"/>
    <col min="5637" max="5637" width="5.5" style="55" customWidth="1"/>
    <col min="5638" max="5638" width="5.09765625" style="55" customWidth="1"/>
    <col min="5639" max="5650" width="4.5" style="55" customWidth="1"/>
    <col min="5651" max="5651" width="3.19921875" style="55" customWidth="1"/>
    <col min="5652" max="5888" width="9" style="55"/>
    <col min="5889" max="5889" width="2.5" style="55" customWidth="1"/>
    <col min="5890" max="5890" width="0.8984375" style="55" customWidth="1"/>
    <col min="5891" max="5891" width="6" style="55" customWidth="1"/>
    <col min="5892" max="5892" width="6.3984375" style="55" customWidth="1"/>
    <col min="5893" max="5893" width="5.5" style="55" customWidth="1"/>
    <col min="5894" max="5894" width="5.09765625" style="55" customWidth="1"/>
    <col min="5895" max="5906" width="4.5" style="55" customWidth="1"/>
    <col min="5907" max="5907" width="3.19921875" style="55" customWidth="1"/>
    <col min="5908" max="6144" width="9" style="55"/>
    <col min="6145" max="6145" width="2.5" style="55" customWidth="1"/>
    <col min="6146" max="6146" width="0.8984375" style="55" customWidth="1"/>
    <col min="6147" max="6147" width="6" style="55" customWidth="1"/>
    <col min="6148" max="6148" width="6.3984375" style="55" customWidth="1"/>
    <col min="6149" max="6149" width="5.5" style="55" customWidth="1"/>
    <col min="6150" max="6150" width="5.09765625" style="55" customWidth="1"/>
    <col min="6151" max="6162" width="4.5" style="55" customWidth="1"/>
    <col min="6163" max="6163" width="3.19921875" style="55" customWidth="1"/>
    <col min="6164" max="6400" width="9" style="55"/>
    <col min="6401" max="6401" width="2.5" style="55" customWidth="1"/>
    <col min="6402" max="6402" width="0.8984375" style="55" customWidth="1"/>
    <col min="6403" max="6403" width="6" style="55" customWidth="1"/>
    <col min="6404" max="6404" width="6.3984375" style="55" customWidth="1"/>
    <col min="6405" max="6405" width="5.5" style="55" customWidth="1"/>
    <col min="6406" max="6406" width="5.09765625" style="55" customWidth="1"/>
    <col min="6407" max="6418" width="4.5" style="55" customWidth="1"/>
    <col min="6419" max="6419" width="3.19921875" style="55" customWidth="1"/>
    <col min="6420" max="6656" width="9" style="55"/>
    <col min="6657" max="6657" width="2.5" style="55" customWidth="1"/>
    <col min="6658" max="6658" width="0.8984375" style="55" customWidth="1"/>
    <col min="6659" max="6659" width="6" style="55" customWidth="1"/>
    <col min="6660" max="6660" width="6.3984375" style="55" customWidth="1"/>
    <col min="6661" max="6661" width="5.5" style="55" customWidth="1"/>
    <col min="6662" max="6662" width="5.09765625" style="55" customWidth="1"/>
    <col min="6663" max="6674" width="4.5" style="55" customWidth="1"/>
    <col min="6675" max="6675" width="3.19921875" style="55" customWidth="1"/>
    <col min="6676" max="6912" width="9" style="55"/>
    <col min="6913" max="6913" width="2.5" style="55" customWidth="1"/>
    <col min="6914" max="6914" width="0.8984375" style="55" customWidth="1"/>
    <col min="6915" max="6915" width="6" style="55" customWidth="1"/>
    <col min="6916" max="6916" width="6.3984375" style="55" customWidth="1"/>
    <col min="6917" max="6917" width="5.5" style="55" customWidth="1"/>
    <col min="6918" max="6918" width="5.09765625" style="55" customWidth="1"/>
    <col min="6919" max="6930" width="4.5" style="55" customWidth="1"/>
    <col min="6931" max="6931" width="3.19921875" style="55" customWidth="1"/>
    <col min="6932" max="7168" width="9" style="55"/>
    <col min="7169" max="7169" width="2.5" style="55" customWidth="1"/>
    <col min="7170" max="7170" width="0.8984375" style="55" customWidth="1"/>
    <col min="7171" max="7171" width="6" style="55" customWidth="1"/>
    <col min="7172" max="7172" width="6.3984375" style="55" customWidth="1"/>
    <col min="7173" max="7173" width="5.5" style="55" customWidth="1"/>
    <col min="7174" max="7174" width="5.09765625" style="55" customWidth="1"/>
    <col min="7175" max="7186" width="4.5" style="55" customWidth="1"/>
    <col min="7187" max="7187" width="3.19921875" style="55" customWidth="1"/>
    <col min="7188" max="7424" width="9" style="55"/>
    <col min="7425" max="7425" width="2.5" style="55" customWidth="1"/>
    <col min="7426" max="7426" width="0.8984375" style="55" customWidth="1"/>
    <col min="7427" max="7427" width="6" style="55" customWidth="1"/>
    <col min="7428" max="7428" width="6.3984375" style="55" customWidth="1"/>
    <col min="7429" max="7429" width="5.5" style="55" customWidth="1"/>
    <col min="7430" max="7430" width="5.09765625" style="55" customWidth="1"/>
    <col min="7431" max="7442" width="4.5" style="55" customWidth="1"/>
    <col min="7443" max="7443" width="3.19921875" style="55" customWidth="1"/>
    <col min="7444" max="7680" width="9" style="55"/>
    <col min="7681" max="7681" width="2.5" style="55" customWidth="1"/>
    <col min="7682" max="7682" width="0.8984375" style="55" customWidth="1"/>
    <col min="7683" max="7683" width="6" style="55" customWidth="1"/>
    <col min="7684" max="7684" width="6.3984375" style="55" customWidth="1"/>
    <col min="7685" max="7685" width="5.5" style="55" customWidth="1"/>
    <col min="7686" max="7686" width="5.09765625" style="55" customWidth="1"/>
    <col min="7687" max="7698" width="4.5" style="55" customWidth="1"/>
    <col min="7699" max="7699" width="3.19921875" style="55" customWidth="1"/>
    <col min="7700" max="7936" width="9" style="55"/>
    <col min="7937" max="7937" width="2.5" style="55" customWidth="1"/>
    <col min="7938" max="7938" width="0.8984375" style="55" customWidth="1"/>
    <col min="7939" max="7939" width="6" style="55" customWidth="1"/>
    <col min="7940" max="7940" width="6.3984375" style="55" customWidth="1"/>
    <col min="7941" max="7941" width="5.5" style="55" customWidth="1"/>
    <col min="7942" max="7942" width="5.09765625" style="55" customWidth="1"/>
    <col min="7943" max="7954" width="4.5" style="55" customWidth="1"/>
    <col min="7955" max="7955" width="3.19921875" style="55" customWidth="1"/>
    <col min="7956" max="8192" width="9" style="55"/>
    <col min="8193" max="8193" width="2.5" style="55" customWidth="1"/>
    <col min="8194" max="8194" width="0.8984375" style="55" customWidth="1"/>
    <col min="8195" max="8195" width="6" style="55" customWidth="1"/>
    <col min="8196" max="8196" width="6.3984375" style="55" customWidth="1"/>
    <col min="8197" max="8197" width="5.5" style="55" customWidth="1"/>
    <col min="8198" max="8198" width="5.09765625" style="55" customWidth="1"/>
    <col min="8199" max="8210" width="4.5" style="55" customWidth="1"/>
    <col min="8211" max="8211" width="3.19921875" style="55" customWidth="1"/>
    <col min="8212" max="8448" width="9" style="55"/>
    <col min="8449" max="8449" width="2.5" style="55" customWidth="1"/>
    <col min="8450" max="8450" width="0.8984375" style="55" customWidth="1"/>
    <col min="8451" max="8451" width="6" style="55" customWidth="1"/>
    <col min="8452" max="8452" width="6.3984375" style="55" customWidth="1"/>
    <col min="8453" max="8453" width="5.5" style="55" customWidth="1"/>
    <col min="8454" max="8454" width="5.09765625" style="55" customWidth="1"/>
    <col min="8455" max="8466" width="4.5" style="55" customWidth="1"/>
    <col min="8467" max="8467" width="3.19921875" style="55" customWidth="1"/>
    <col min="8468" max="8704" width="9" style="55"/>
    <col min="8705" max="8705" width="2.5" style="55" customWidth="1"/>
    <col min="8706" max="8706" width="0.8984375" style="55" customWidth="1"/>
    <col min="8707" max="8707" width="6" style="55" customWidth="1"/>
    <col min="8708" max="8708" width="6.3984375" style="55" customWidth="1"/>
    <col min="8709" max="8709" width="5.5" style="55" customWidth="1"/>
    <col min="8710" max="8710" width="5.09765625" style="55" customWidth="1"/>
    <col min="8711" max="8722" width="4.5" style="55" customWidth="1"/>
    <col min="8723" max="8723" width="3.19921875" style="55" customWidth="1"/>
    <col min="8724" max="8960" width="9" style="55"/>
    <col min="8961" max="8961" width="2.5" style="55" customWidth="1"/>
    <col min="8962" max="8962" width="0.8984375" style="55" customWidth="1"/>
    <col min="8963" max="8963" width="6" style="55" customWidth="1"/>
    <col min="8964" max="8964" width="6.3984375" style="55" customWidth="1"/>
    <col min="8965" max="8965" width="5.5" style="55" customWidth="1"/>
    <col min="8966" max="8966" width="5.09765625" style="55" customWidth="1"/>
    <col min="8967" max="8978" width="4.5" style="55" customWidth="1"/>
    <col min="8979" max="8979" width="3.19921875" style="55" customWidth="1"/>
    <col min="8980" max="9216" width="9" style="55"/>
    <col min="9217" max="9217" width="2.5" style="55" customWidth="1"/>
    <col min="9218" max="9218" width="0.8984375" style="55" customWidth="1"/>
    <col min="9219" max="9219" width="6" style="55" customWidth="1"/>
    <col min="9220" max="9220" width="6.3984375" style="55" customWidth="1"/>
    <col min="9221" max="9221" width="5.5" style="55" customWidth="1"/>
    <col min="9222" max="9222" width="5.09765625" style="55" customWidth="1"/>
    <col min="9223" max="9234" width="4.5" style="55" customWidth="1"/>
    <col min="9235" max="9235" width="3.19921875" style="55" customWidth="1"/>
    <col min="9236" max="9472" width="9" style="55"/>
    <col min="9473" max="9473" width="2.5" style="55" customWidth="1"/>
    <col min="9474" max="9474" width="0.8984375" style="55" customWidth="1"/>
    <col min="9475" max="9475" width="6" style="55" customWidth="1"/>
    <col min="9476" max="9476" width="6.3984375" style="55" customWidth="1"/>
    <col min="9477" max="9477" width="5.5" style="55" customWidth="1"/>
    <col min="9478" max="9478" width="5.09765625" style="55" customWidth="1"/>
    <col min="9479" max="9490" width="4.5" style="55" customWidth="1"/>
    <col min="9491" max="9491" width="3.19921875" style="55" customWidth="1"/>
    <col min="9492" max="9728" width="9" style="55"/>
    <col min="9729" max="9729" width="2.5" style="55" customWidth="1"/>
    <col min="9730" max="9730" width="0.8984375" style="55" customWidth="1"/>
    <col min="9731" max="9731" width="6" style="55" customWidth="1"/>
    <col min="9732" max="9732" width="6.3984375" style="55" customWidth="1"/>
    <col min="9733" max="9733" width="5.5" style="55" customWidth="1"/>
    <col min="9734" max="9734" width="5.09765625" style="55" customWidth="1"/>
    <col min="9735" max="9746" width="4.5" style="55" customWidth="1"/>
    <col min="9747" max="9747" width="3.19921875" style="55" customWidth="1"/>
    <col min="9748" max="9984" width="9" style="55"/>
    <col min="9985" max="9985" width="2.5" style="55" customWidth="1"/>
    <col min="9986" max="9986" width="0.8984375" style="55" customWidth="1"/>
    <col min="9987" max="9987" width="6" style="55" customWidth="1"/>
    <col min="9988" max="9988" width="6.3984375" style="55" customWidth="1"/>
    <col min="9989" max="9989" width="5.5" style="55" customWidth="1"/>
    <col min="9990" max="9990" width="5.09765625" style="55" customWidth="1"/>
    <col min="9991" max="10002" width="4.5" style="55" customWidth="1"/>
    <col min="10003" max="10003" width="3.19921875" style="55" customWidth="1"/>
    <col min="10004" max="10240" width="9" style="55"/>
    <col min="10241" max="10241" width="2.5" style="55" customWidth="1"/>
    <col min="10242" max="10242" width="0.8984375" style="55" customWidth="1"/>
    <col min="10243" max="10243" width="6" style="55" customWidth="1"/>
    <col min="10244" max="10244" width="6.3984375" style="55" customWidth="1"/>
    <col min="10245" max="10245" width="5.5" style="55" customWidth="1"/>
    <col min="10246" max="10246" width="5.09765625" style="55" customWidth="1"/>
    <col min="10247" max="10258" width="4.5" style="55" customWidth="1"/>
    <col min="10259" max="10259" width="3.19921875" style="55" customWidth="1"/>
    <col min="10260" max="10496" width="9" style="55"/>
    <col min="10497" max="10497" width="2.5" style="55" customWidth="1"/>
    <col min="10498" max="10498" width="0.8984375" style="55" customWidth="1"/>
    <col min="10499" max="10499" width="6" style="55" customWidth="1"/>
    <col min="10500" max="10500" width="6.3984375" style="55" customWidth="1"/>
    <col min="10501" max="10501" width="5.5" style="55" customWidth="1"/>
    <col min="10502" max="10502" width="5.09765625" style="55" customWidth="1"/>
    <col min="10503" max="10514" width="4.5" style="55" customWidth="1"/>
    <col min="10515" max="10515" width="3.19921875" style="55" customWidth="1"/>
    <col min="10516" max="10752" width="9" style="55"/>
    <col min="10753" max="10753" width="2.5" style="55" customWidth="1"/>
    <col min="10754" max="10754" width="0.8984375" style="55" customWidth="1"/>
    <col min="10755" max="10755" width="6" style="55" customWidth="1"/>
    <col min="10756" max="10756" width="6.3984375" style="55" customWidth="1"/>
    <col min="10757" max="10757" width="5.5" style="55" customWidth="1"/>
    <col min="10758" max="10758" width="5.09765625" style="55" customWidth="1"/>
    <col min="10759" max="10770" width="4.5" style="55" customWidth="1"/>
    <col min="10771" max="10771" width="3.19921875" style="55" customWidth="1"/>
    <col min="10772" max="11008" width="9" style="55"/>
    <col min="11009" max="11009" width="2.5" style="55" customWidth="1"/>
    <col min="11010" max="11010" width="0.8984375" style="55" customWidth="1"/>
    <col min="11011" max="11011" width="6" style="55" customWidth="1"/>
    <col min="11012" max="11012" width="6.3984375" style="55" customWidth="1"/>
    <col min="11013" max="11013" width="5.5" style="55" customWidth="1"/>
    <col min="11014" max="11014" width="5.09765625" style="55" customWidth="1"/>
    <col min="11015" max="11026" width="4.5" style="55" customWidth="1"/>
    <col min="11027" max="11027" width="3.19921875" style="55" customWidth="1"/>
    <col min="11028" max="11264" width="9" style="55"/>
    <col min="11265" max="11265" width="2.5" style="55" customWidth="1"/>
    <col min="11266" max="11266" width="0.8984375" style="55" customWidth="1"/>
    <col min="11267" max="11267" width="6" style="55" customWidth="1"/>
    <col min="11268" max="11268" width="6.3984375" style="55" customWidth="1"/>
    <col min="11269" max="11269" width="5.5" style="55" customWidth="1"/>
    <col min="11270" max="11270" width="5.09765625" style="55" customWidth="1"/>
    <col min="11271" max="11282" width="4.5" style="55" customWidth="1"/>
    <col min="11283" max="11283" width="3.19921875" style="55" customWidth="1"/>
    <col min="11284" max="11520" width="9" style="55"/>
    <col min="11521" max="11521" width="2.5" style="55" customWidth="1"/>
    <col min="11522" max="11522" width="0.8984375" style="55" customWidth="1"/>
    <col min="11523" max="11523" width="6" style="55" customWidth="1"/>
    <col min="11524" max="11524" width="6.3984375" style="55" customWidth="1"/>
    <col min="11525" max="11525" width="5.5" style="55" customWidth="1"/>
    <col min="11526" max="11526" width="5.09765625" style="55" customWidth="1"/>
    <col min="11527" max="11538" width="4.5" style="55" customWidth="1"/>
    <col min="11539" max="11539" width="3.19921875" style="55" customWidth="1"/>
    <col min="11540" max="11776" width="9" style="55"/>
    <col min="11777" max="11777" width="2.5" style="55" customWidth="1"/>
    <col min="11778" max="11778" width="0.8984375" style="55" customWidth="1"/>
    <col min="11779" max="11779" width="6" style="55" customWidth="1"/>
    <col min="11780" max="11780" width="6.3984375" style="55" customWidth="1"/>
    <col min="11781" max="11781" width="5.5" style="55" customWidth="1"/>
    <col min="11782" max="11782" width="5.09765625" style="55" customWidth="1"/>
    <col min="11783" max="11794" width="4.5" style="55" customWidth="1"/>
    <col min="11795" max="11795" width="3.19921875" style="55" customWidth="1"/>
    <col min="11796" max="12032" width="9" style="55"/>
    <col min="12033" max="12033" width="2.5" style="55" customWidth="1"/>
    <col min="12034" max="12034" width="0.8984375" style="55" customWidth="1"/>
    <col min="12035" max="12035" width="6" style="55" customWidth="1"/>
    <col min="12036" max="12036" width="6.3984375" style="55" customWidth="1"/>
    <col min="12037" max="12037" width="5.5" style="55" customWidth="1"/>
    <col min="12038" max="12038" width="5.09765625" style="55" customWidth="1"/>
    <col min="12039" max="12050" width="4.5" style="55" customWidth="1"/>
    <col min="12051" max="12051" width="3.19921875" style="55" customWidth="1"/>
    <col min="12052" max="12288" width="9" style="55"/>
    <col min="12289" max="12289" width="2.5" style="55" customWidth="1"/>
    <col min="12290" max="12290" width="0.8984375" style="55" customWidth="1"/>
    <col min="12291" max="12291" width="6" style="55" customWidth="1"/>
    <col min="12292" max="12292" width="6.3984375" style="55" customWidth="1"/>
    <col min="12293" max="12293" width="5.5" style="55" customWidth="1"/>
    <col min="12294" max="12294" width="5.09765625" style="55" customWidth="1"/>
    <col min="12295" max="12306" width="4.5" style="55" customWidth="1"/>
    <col min="12307" max="12307" width="3.19921875" style="55" customWidth="1"/>
    <col min="12308" max="12544" width="9" style="55"/>
    <col min="12545" max="12545" width="2.5" style="55" customWidth="1"/>
    <col min="12546" max="12546" width="0.8984375" style="55" customWidth="1"/>
    <col min="12547" max="12547" width="6" style="55" customWidth="1"/>
    <col min="12548" max="12548" width="6.3984375" style="55" customWidth="1"/>
    <col min="12549" max="12549" width="5.5" style="55" customWidth="1"/>
    <col min="12550" max="12550" width="5.09765625" style="55" customWidth="1"/>
    <col min="12551" max="12562" width="4.5" style="55" customWidth="1"/>
    <col min="12563" max="12563" width="3.19921875" style="55" customWidth="1"/>
    <col min="12564" max="12800" width="9" style="55"/>
    <col min="12801" max="12801" width="2.5" style="55" customWidth="1"/>
    <col min="12802" max="12802" width="0.8984375" style="55" customWidth="1"/>
    <col min="12803" max="12803" width="6" style="55" customWidth="1"/>
    <col min="12804" max="12804" width="6.3984375" style="55" customWidth="1"/>
    <col min="12805" max="12805" width="5.5" style="55" customWidth="1"/>
    <col min="12806" max="12806" width="5.09765625" style="55" customWidth="1"/>
    <col min="12807" max="12818" width="4.5" style="55" customWidth="1"/>
    <col min="12819" max="12819" width="3.19921875" style="55" customWidth="1"/>
    <col min="12820" max="13056" width="9" style="55"/>
    <col min="13057" max="13057" width="2.5" style="55" customWidth="1"/>
    <col min="13058" max="13058" width="0.8984375" style="55" customWidth="1"/>
    <col min="13059" max="13059" width="6" style="55" customWidth="1"/>
    <col min="13060" max="13060" width="6.3984375" style="55" customWidth="1"/>
    <col min="13061" max="13061" width="5.5" style="55" customWidth="1"/>
    <col min="13062" max="13062" width="5.09765625" style="55" customWidth="1"/>
    <col min="13063" max="13074" width="4.5" style="55" customWidth="1"/>
    <col min="13075" max="13075" width="3.19921875" style="55" customWidth="1"/>
    <col min="13076" max="13312" width="9" style="55"/>
    <col min="13313" max="13313" width="2.5" style="55" customWidth="1"/>
    <col min="13314" max="13314" width="0.8984375" style="55" customWidth="1"/>
    <col min="13315" max="13315" width="6" style="55" customWidth="1"/>
    <col min="13316" max="13316" width="6.3984375" style="55" customWidth="1"/>
    <col min="13317" max="13317" width="5.5" style="55" customWidth="1"/>
    <col min="13318" max="13318" width="5.09765625" style="55" customWidth="1"/>
    <col min="13319" max="13330" width="4.5" style="55" customWidth="1"/>
    <col min="13331" max="13331" width="3.19921875" style="55" customWidth="1"/>
    <col min="13332" max="13568" width="9" style="55"/>
    <col min="13569" max="13569" width="2.5" style="55" customWidth="1"/>
    <col min="13570" max="13570" width="0.8984375" style="55" customWidth="1"/>
    <col min="13571" max="13571" width="6" style="55" customWidth="1"/>
    <col min="13572" max="13572" width="6.3984375" style="55" customWidth="1"/>
    <col min="13573" max="13573" width="5.5" style="55" customWidth="1"/>
    <col min="13574" max="13574" width="5.09765625" style="55" customWidth="1"/>
    <col min="13575" max="13586" width="4.5" style="55" customWidth="1"/>
    <col min="13587" max="13587" width="3.19921875" style="55" customWidth="1"/>
    <col min="13588" max="13824" width="9" style="55"/>
    <col min="13825" max="13825" width="2.5" style="55" customWidth="1"/>
    <col min="13826" max="13826" width="0.8984375" style="55" customWidth="1"/>
    <col min="13827" max="13827" width="6" style="55" customWidth="1"/>
    <col min="13828" max="13828" width="6.3984375" style="55" customWidth="1"/>
    <col min="13829" max="13829" width="5.5" style="55" customWidth="1"/>
    <col min="13830" max="13830" width="5.09765625" style="55" customWidth="1"/>
    <col min="13831" max="13842" width="4.5" style="55" customWidth="1"/>
    <col min="13843" max="13843" width="3.19921875" style="55" customWidth="1"/>
    <col min="13844" max="14080" width="9" style="55"/>
    <col min="14081" max="14081" width="2.5" style="55" customWidth="1"/>
    <col min="14082" max="14082" width="0.8984375" style="55" customWidth="1"/>
    <col min="14083" max="14083" width="6" style="55" customWidth="1"/>
    <col min="14084" max="14084" width="6.3984375" style="55" customWidth="1"/>
    <col min="14085" max="14085" width="5.5" style="55" customWidth="1"/>
    <col min="14086" max="14086" width="5.09765625" style="55" customWidth="1"/>
    <col min="14087" max="14098" width="4.5" style="55" customWidth="1"/>
    <col min="14099" max="14099" width="3.19921875" style="55" customWidth="1"/>
    <col min="14100" max="14336" width="9" style="55"/>
    <col min="14337" max="14337" width="2.5" style="55" customWidth="1"/>
    <col min="14338" max="14338" width="0.8984375" style="55" customWidth="1"/>
    <col min="14339" max="14339" width="6" style="55" customWidth="1"/>
    <col min="14340" max="14340" width="6.3984375" style="55" customWidth="1"/>
    <col min="14341" max="14341" width="5.5" style="55" customWidth="1"/>
    <col min="14342" max="14342" width="5.09765625" style="55" customWidth="1"/>
    <col min="14343" max="14354" width="4.5" style="55" customWidth="1"/>
    <col min="14355" max="14355" width="3.19921875" style="55" customWidth="1"/>
    <col min="14356" max="14592" width="9" style="55"/>
    <col min="14593" max="14593" width="2.5" style="55" customWidth="1"/>
    <col min="14594" max="14594" width="0.8984375" style="55" customWidth="1"/>
    <col min="14595" max="14595" width="6" style="55" customWidth="1"/>
    <col min="14596" max="14596" width="6.3984375" style="55" customWidth="1"/>
    <col min="14597" max="14597" width="5.5" style="55" customWidth="1"/>
    <col min="14598" max="14598" width="5.09765625" style="55" customWidth="1"/>
    <col min="14599" max="14610" width="4.5" style="55" customWidth="1"/>
    <col min="14611" max="14611" width="3.19921875" style="55" customWidth="1"/>
    <col min="14612" max="14848" width="9" style="55"/>
    <col min="14849" max="14849" width="2.5" style="55" customWidth="1"/>
    <col min="14850" max="14850" width="0.8984375" style="55" customWidth="1"/>
    <col min="14851" max="14851" width="6" style="55" customWidth="1"/>
    <col min="14852" max="14852" width="6.3984375" style="55" customWidth="1"/>
    <col min="14853" max="14853" width="5.5" style="55" customWidth="1"/>
    <col min="14854" max="14854" width="5.09765625" style="55" customWidth="1"/>
    <col min="14855" max="14866" width="4.5" style="55" customWidth="1"/>
    <col min="14867" max="14867" width="3.19921875" style="55" customWidth="1"/>
    <col min="14868" max="15104" width="9" style="55"/>
    <col min="15105" max="15105" width="2.5" style="55" customWidth="1"/>
    <col min="15106" max="15106" width="0.8984375" style="55" customWidth="1"/>
    <col min="15107" max="15107" width="6" style="55" customWidth="1"/>
    <col min="15108" max="15108" width="6.3984375" style="55" customWidth="1"/>
    <col min="15109" max="15109" width="5.5" style="55" customWidth="1"/>
    <col min="15110" max="15110" width="5.09765625" style="55" customWidth="1"/>
    <col min="15111" max="15122" width="4.5" style="55" customWidth="1"/>
    <col min="15123" max="15123" width="3.19921875" style="55" customWidth="1"/>
    <col min="15124" max="15360" width="9" style="55"/>
    <col min="15361" max="15361" width="2.5" style="55" customWidth="1"/>
    <col min="15362" max="15362" width="0.8984375" style="55" customWidth="1"/>
    <col min="15363" max="15363" width="6" style="55" customWidth="1"/>
    <col min="15364" max="15364" width="6.3984375" style="55" customWidth="1"/>
    <col min="15365" max="15365" width="5.5" style="55" customWidth="1"/>
    <col min="15366" max="15366" width="5.09765625" style="55" customWidth="1"/>
    <col min="15367" max="15378" width="4.5" style="55" customWidth="1"/>
    <col min="15379" max="15379" width="3.19921875" style="55" customWidth="1"/>
    <col min="15380" max="15616" width="9" style="55"/>
    <col min="15617" max="15617" width="2.5" style="55" customWidth="1"/>
    <col min="15618" max="15618" width="0.8984375" style="55" customWidth="1"/>
    <col min="15619" max="15619" width="6" style="55" customWidth="1"/>
    <col min="15620" max="15620" width="6.3984375" style="55" customWidth="1"/>
    <col min="15621" max="15621" width="5.5" style="55" customWidth="1"/>
    <col min="15622" max="15622" width="5.09765625" style="55" customWidth="1"/>
    <col min="15623" max="15634" width="4.5" style="55" customWidth="1"/>
    <col min="15635" max="15635" width="3.19921875" style="55" customWidth="1"/>
    <col min="15636" max="15872" width="9" style="55"/>
    <col min="15873" max="15873" width="2.5" style="55" customWidth="1"/>
    <col min="15874" max="15874" width="0.8984375" style="55" customWidth="1"/>
    <col min="15875" max="15875" width="6" style="55" customWidth="1"/>
    <col min="15876" max="15876" width="6.3984375" style="55" customWidth="1"/>
    <col min="15877" max="15877" width="5.5" style="55" customWidth="1"/>
    <col min="15878" max="15878" width="5.09765625" style="55" customWidth="1"/>
    <col min="15879" max="15890" width="4.5" style="55" customWidth="1"/>
    <col min="15891" max="15891" width="3.19921875" style="55" customWidth="1"/>
    <col min="15892" max="16128" width="9" style="55"/>
    <col min="16129" max="16129" width="2.5" style="55" customWidth="1"/>
    <col min="16130" max="16130" width="0.8984375" style="55" customWidth="1"/>
    <col min="16131" max="16131" width="6" style="55" customWidth="1"/>
    <col min="16132" max="16132" width="6.3984375" style="55" customWidth="1"/>
    <col min="16133" max="16133" width="5.5" style="55" customWidth="1"/>
    <col min="16134" max="16134" width="5.09765625" style="55" customWidth="1"/>
    <col min="16135" max="16146" width="4.5" style="55" customWidth="1"/>
    <col min="16147" max="16147" width="3.19921875" style="55" customWidth="1"/>
    <col min="16148" max="16384" width="9" style="55"/>
  </cols>
  <sheetData>
    <row r="1" spans="1:26" s="60" customFormat="1" ht="16.5" customHeight="1">
      <c r="B1" s="174"/>
      <c r="C1" s="174"/>
      <c r="D1" s="174"/>
      <c r="E1" s="174"/>
      <c r="S1" s="174"/>
      <c r="T1" s="59" t="s">
        <v>340</v>
      </c>
    </row>
    <row r="2" spans="1:26" s="66" customFormat="1" ht="19.5" customHeight="1">
      <c r="A2" s="67" t="s">
        <v>730</v>
      </c>
      <c r="B2" s="65"/>
      <c r="C2" s="65"/>
      <c r="D2" s="65"/>
      <c r="E2" s="65"/>
      <c r="F2" s="59"/>
      <c r="G2" s="59"/>
      <c r="H2" s="59"/>
      <c r="I2" s="59"/>
      <c r="J2" s="59"/>
      <c r="K2" s="59"/>
      <c r="L2" s="59"/>
      <c r="M2" s="59"/>
      <c r="N2" s="59"/>
      <c r="O2" s="59"/>
      <c r="P2" s="171" t="str">
        <f>'SP4-1'!L2</f>
        <v>Spreadsheet May 2025</v>
      </c>
      <c r="Q2" s="59"/>
      <c r="R2" s="59"/>
      <c r="S2" s="123"/>
      <c r="T2" s="236" t="s">
        <v>341</v>
      </c>
      <c r="U2" s="59"/>
      <c r="V2" s="59"/>
      <c r="W2" s="59"/>
      <c r="X2" s="59"/>
      <c r="Y2" s="59"/>
      <c r="Z2" s="59"/>
    </row>
    <row r="3" spans="1:26" s="60" customFormat="1" ht="11.25" customHeight="1">
      <c r="A3" s="65" t="s">
        <v>790</v>
      </c>
      <c r="B3" s="65"/>
      <c r="C3" s="65"/>
      <c r="D3" s="65"/>
      <c r="E3" s="65"/>
      <c r="F3" s="59"/>
      <c r="G3" s="59"/>
      <c r="H3" s="59"/>
      <c r="I3" s="59"/>
      <c r="J3" s="59"/>
      <c r="K3" s="59"/>
      <c r="L3" s="59"/>
      <c r="M3" s="59"/>
      <c r="N3" s="59"/>
      <c r="O3" s="59"/>
      <c r="P3" s="59"/>
      <c r="Q3" s="59"/>
      <c r="R3" s="59"/>
      <c r="S3" s="123"/>
      <c r="T3" s="59"/>
      <c r="U3" s="59"/>
      <c r="V3" s="59"/>
      <c r="W3" s="59"/>
      <c r="X3" s="59"/>
      <c r="Y3" s="59"/>
      <c r="Z3" s="59"/>
    </row>
    <row r="4" spans="1:26" s="60" customFormat="1" ht="11.25" customHeight="1">
      <c r="A4" s="65"/>
      <c r="B4" s="65"/>
      <c r="C4" s="68" t="s">
        <v>636</v>
      </c>
      <c r="D4" s="65"/>
      <c r="E4" s="65"/>
      <c r="F4" s="59"/>
      <c r="G4" s="59"/>
      <c r="H4" s="59"/>
      <c r="I4" s="59"/>
      <c r="J4" s="59"/>
      <c r="K4" s="59"/>
      <c r="L4" s="59"/>
      <c r="M4" s="59"/>
      <c r="N4" s="59"/>
      <c r="O4" s="59"/>
      <c r="P4" s="59"/>
      <c r="Q4" s="59"/>
      <c r="R4" s="59"/>
      <c r="S4" s="123"/>
      <c r="T4" s="59"/>
      <c r="U4" s="59"/>
      <c r="V4" s="59"/>
      <c r="W4" s="59"/>
      <c r="X4" s="59"/>
      <c r="Y4" s="59"/>
      <c r="Z4" s="59"/>
    </row>
    <row r="5" spans="1:26" s="60" customFormat="1" ht="17.25" customHeight="1">
      <c r="A5" s="123"/>
      <c r="B5" s="123"/>
      <c r="C5" s="123"/>
      <c r="D5" s="123"/>
      <c r="E5" s="123"/>
      <c r="F5" s="59"/>
      <c r="G5" s="59"/>
      <c r="H5" s="59"/>
      <c r="I5" s="59"/>
      <c r="J5" s="59"/>
      <c r="K5" s="59"/>
      <c r="L5" s="59"/>
      <c r="M5" s="59"/>
      <c r="N5" s="59"/>
      <c r="O5" s="59"/>
      <c r="P5" s="59"/>
      <c r="Q5" s="59"/>
      <c r="R5" s="59"/>
      <c r="S5" s="123"/>
      <c r="T5" s="59"/>
      <c r="U5" s="534"/>
      <c r="V5" s="534"/>
      <c r="W5" s="534"/>
      <c r="X5" s="59"/>
      <c r="Y5" s="59"/>
      <c r="Z5" s="59"/>
    </row>
    <row r="6" spans="1:26" s="59" customFormat="1" ht="3.75" customHeight="1">
      <c r="A6" s="298"/>
      <c r="B6" s="298"/>
      <c r="C6" s="298"/>
      <c r="D6" s="298"/>
      <c r="E6" s="298"/>
      <c r="F6" s="299"/>
      <c r="G6" s="299"/>
      <c r="H6" s="299"/>
      <c r="I6" s="299"/>
      <c r="J6" s="299"/>
      <c r="K6" s="299"/>
      <c r="L6" s="299"/>
      <c r="M6" s="299"/>
      <c r="N6" s="299"/>
      <c r="O6" s="299"/>
      <c r="P6" s="299"/>
      <c r="Q6" s="299"/>
      <c r="R6" s="299"/>
      <c r="S6" s="298"/>
    </row>
    <row r="7" spans="1:26" s="60" customFormat="1" ht="19.5" customHeight="1" thickBot="1">
      <c r="A7" s="314">
        <v>1</v>
      </c>
      <c r="B7" s="314"/>
      <c r="C7" s="487" t="s">
        <v>637</v>
      </c>
      <c r="D7" s="487"/>
      <c r="E7" s="299"/>
      <c r="F7" s="299"/>
      <c r="G7" s="299"/>
      <c r="H7" s="299"/>
      <c r="I7" s="299"/>
      <c r="J7" s="299"/>
      <c r="K7" s="299"/>
      <c r="L7" s="299"/>
      <c r="M7" s="299"/>
      <c r="N7" s="299"/>
      <c r="O7" s="299"/>
      <c r="P7" s="299"/>
      <c r="Q7" s="299"/>
      <c r="R7" s="299"/>
      <c r="S7" s="298"/>
      <c r="T7" s="59"/>
      <c r="U7" s="59"/>
      <c r="V7" s="59"/>
      <c r="W7" s="59"/>
      <c r="X7" s="59"/>
      <c r="Y7" s="59"/>
      <c r="Z7" s="59"/>
    </row>
    <row r="8" spans="1:26" s="60" customFormat="1" ht="19.5" customHeight="1" thickTop="1" thickBot="1">
      <c r="A8" s="314"/>
      <c r="B8" s="314"/>
      <c r="C8" s="299" t="s">
        <v>630</v>
      </c>
      <c r="D8" s="299"/>
      <c r="E8" s="299"/>
      <c r="F8" s="299"/>
      <c r="G8" s="299"/>
      <c r="H8" s="299"/>
      <c r="I8" s="299"/>
      <c r="J8" s="299"/>
      <c r="K8" s="299"/>
      <c r="L8" s="299"/>
      <c r="M8" s="299"/>
      <c r="N8" s="299"/>
      <c r="O8" s="599">
        <f>'SP4-1'!I34</f>
        <v>0</v>
      </c>
      <c r="P8" s="600"/>
      <c r="Q8" s="600"/>
      <c r="R8" s="601"/>
      <c r="S8" s="298"/>
      <c r="T8" s="59"/>
      <c r="U8" s="59"/>
      <c r="V8" s="59"/>
      <c r="W8" s="59"/>
      <c r="X8" s="59"/>
      <c r="Y8" s="59"/>
      <c r="Z8" s="59"/>
    </row>
    <row r="9" spans="1:26" s="60" customFormat="1" ht="19.5" customHeight="1" thickTop="1" thickBot="1">
      <c r="A9" s="314"/>
      <c r="B9" s="314"/>
      <c r="C9" s="299" t="s">
        <v>629</v>
      </c>
      <c r="D9" s="299"/>
      <c r="E9" s="299"/>
      <c r="F9" s="299"/>
      <c r="G9" s="313"/>
      <c r="H9" s="299"/>
      <c r="I9" s="299"/>
      <c r="J9" s="299"/>
      <c r="K9" s="299"/>
      <c r="L9" s="299"/>
      <c r="M9" s="299"/>
      <c r="N9" s="313"/>
      <c r="O9" s="567">
        <f>'SP4-1'!I33</f>
        <v>0</v>
      </c>
      <c r="P9" s="568"/>
      <c r="Q9" s="568"/>
      <c r="R9" s="569"/>
      <c r="S9" s="298"/>
      <c r="T9" s="59"/>
      <c r="U9" s="59"/>
      <c r="V9" s="59"/>
      <c r="W9" s="59"/>
      <c r="X9" s="59"/>
      <c r="Y9" s="59"/>
      <c r="Z9" s="59"/>
    </row>
    <row r="10" spans="1:26" s="60" customFormat="1" ht="3.75" customHeight="1" thickTop="1">
      <c r="A10" s="314"/>
      <c r="B10" s="314"/>
      <c r="C10" s="299"/>
      <c r="D10" s="299"/>
      <c r="E10" s="299"/>
      <c r="F10" s="299"/>
      <c r="G10" s="299"/>
      <c r="H10" s="299"/>
      <c r="I10" s="299"/>
      <c r="J10" s="299"/>
      <c r="K10" s="299"/>
      <c r="L10" s="299"/>
      <c r="M10" s="299"/>
      <c r="N10" s="299"/>
      <c r="O10" s="299"/>
      <c r="P10" s="299"/>
      <c r="Q10" s="299"/>
      <c r="R10" s="299"/>
      <c r="S10" s="298"/>
      <c r="T10" s="59"/>
      <c r="U10" s="59"/>
      <c r="V10" s="59"/>
      <c r="W10" s="59"/>
      <c r="X10" s="59"/>
      <c r="Y10" s="59"/>
      <c r="Z10" s="59"/>
    </row>
    <row r="11" spans="1:26" s="60" customFormat="1" ht="19.5" customHeight="1">
      <c r="A11" s="314"/>
      <c r="B11" s="314"/>
      <c r="C11" s="602"/>
      <c r="D11" s="603"/>
      <c r="E11" s="603"/>
      <c r="F11" s="603"/>
      <c r="G11" s="578" t="s">
        <v>395</v>
      </c>
      <c r="H11" s="578"/>
      <c r="I11" s="578"/>
      <c r="J11" s="578"/>
      <c r="K11" s="578"/>
      <c r="L11" s="578"/>
      <c r="M11" s="578" t="s">
        <v>396</v>
      </c>
      <c r="N11" s="578"/>
      <c r="O11" s="578"/>
      <c r="P11" s="578"/>
      <c r="Q11" s="578"/>
      <c r="R11" s="579"/>
      <c r="S11" s="314"/>
      <c r="T11" s="59"/>
      <c r="U11" s="62" t="s">
        <v>791</v>
      </c>
      <c r="V11" s="59"/>
      <c r="W11" s="59"/>
      <c r="X11" s="59"/>
      <c r="Y11" s="59"/>
      <c r="Z11" s="59"/>
    </row>
    <row r="12" spans="1:26" s="60" customFormat="1" ht="19.5" customHeight="1">
      <c r="A12" s="314"/>
      <c r="B12" s="314"/>
      <c r="C12" s="595" t="s">
        <v>397</v>
      </c>
      <c r="D12" s="595"/>
      <c r="E12" s="595"/>
      <c r="F12" s="595"/>
      <c r="G12" s="596" t="s">
        <v>398</v>
      </c>
      <c r="H12" s="597"/>
      <c r="I12" s="592"/>
      <c r="J12" s="593"/>
      <c r="K12" s="593"/>
      <c r="L12" s="594"/>
      <c r="M12" s="598" t="s">
        <v>399</v>
      </c>
      <c r="N12" s="597"/>
      <c r="O12" s="592"/>
      <c r="P12" s="593"/>
      <c r="Q12" s="593"/>
      <c r="R12" s="594"/>
      <c r="S12" s="314"/>
      <c r="T12" s="59"/>
      <c r="U12" s="59"/>
      <c r="V12" s="59"/>
      <c r="W12" s="59"/>
      <c r="X12" s="59"/>
      <c r="Y12" s="59"/>
      <c r="Z12" s="59"/>
    </row>
    <row r="13" spans="1:26" s="60" customFormat="1" ht="19.5" customHeight="1">
      <c r="A13" s="314"/>
      <c r="B13" s="314"/>
      <c r="C13" s="562" t="s">
        <v>638</v>
      </c>
      <c r="D13" s="562"/>
      <c r="E13" s="562"/>
      <c r="F13" s="562"/>
      <c r="G13" s="563"/>
      <c r="H13" s="564"/>
      <c r="I13" s="592"/>
      <c r="J13" s="593"/>
      <c r="K13" s="593"/>
      <c r="L13" s="594"/>
      <c r="M13" s="591"/>
      <c r="N13" s="564"/>
      <c r="O13" s="592"/>
      <c r="P13" s="593"/>
      <c r="Q13" s="593"/>
      <c r="R13" s="594"/>
      <c r="S13" s="314"/>
      <c r="T13" s="59"/>
      <c r="U13" s="59"/>
      <c r="V13" s="59"/>
      <c r="W13" s="59"/>
      <c r="X13" s="59"/>
      <c r="Y13" s="59"/>
      <c r="Z13" s="59"/>
    </row>
    <row r="14" spans="1:26" s="60" customFormat="1" ht="19.5" customHeight="1">
      <c r="A14" s="314"/>
      <c r="B14" s="314"/>
      <c r="C14" s="562" t="s">
        <v>792</v>
      </c>
      <c r="D14" s="562"/>
      <c r="E14" s="562"/>
      <c r="F14" s="562"/>
      <c r="G14" s="563" t="s">
        <v>639</v>
      </c>
      <c r="H14" s="564"/>
      <c r="I14" s="592"/>
      <c r="J14" s="593"/>
      <c r="K14" s="593"/>
      <c r="L14" s="594"/>
      <c r="M14" s="591" t="s">
        <v>640</v>
      </c>
      <c r="N14" s="564"/>
      <c r="O14" s="592"/>
      <c r="P14" s="593"/>
      <c r="Q14" s="593"/>
      <c r="R14" s="594"/>
      <c r="S14" s="314"/>
      <c r="T14" s="59"/>
      <c r="U14" s="59"/>
      <c r="V14" s="59"/>
      <c r="W14" s="59"/>
      <c r="X14" s="59"/>
      <c r="Y14" s="59"/>
      <c r="Z14" s="59"/>
    </row>
    <row r="15" spans="1:26" s="60" customFormat="1" ht="19.5" customHeight="1">
      <c r="A15" s="314"/>
      <c r="B15" s="314"/>
      <c r="C15" s="562" t="s">
        <v>632</v>
      </c>
      <c r="D15" s="562"/>
      <c r="E15" s="562"/>
      <c r="F15" s="562"/>
      <c r="G15" s="563" t="s">
        <v>400</v>
      </c>
      <c r="H15" s="564"/>
      <c r="I15" s="592"/>
      <c r="J15" s="593"/>
      <c r="K15" s="593"/>
      <c r="L15" s="594"/>
      <c r="M15" s="591" t="s">
        <v>401</v>
      </c>
      <c r="N15" s="564"/>
      <c r="O15" s="592"/>
      <c r="P15" s="593"/>
      <c r="Q15" s="593"/>
      <c r="R15" s="594"/>
      <c r="S15" s="314"/>
      <c r="T15" s="59"/>
      <c r="U15" s="59"/>
      <c r="V15" s="59"/>
      <c r="W15" s="59"/>
      <c r="X15" s="59"/>
      <c r="Y15" s="59"/>
      <c r="Z15" s="59"/>
    </row>
    <row r="16" spans="1:26" s="60" customFormat="1" ht="19.5" customHeight="1">
      <c r="A16" s="314"/>
      <c r="B16" s="314"/>
      <c r="C16" s="562" t="s">
        <v>641</v>
      </c>
      <c r="D16" s="562"/>
      <c r="E16" s="562"/>
      <c r="F16" s="562"/>
      <c r="G16" s="563"/>
      <c r="H16" s="564"/>
      <c r="I16" s="585"/>
      <c r="J16" s="586"/>
      <c r="K16" s="586"/>
      <c r="L16" s="587"/>
      <c r="M16" s="591"/>
      <c r="N16" s="564"/>
      <c r="O16" s="585"/>
      <c r="P16" s="586"/>
      <c r="Q16" s="586"/>
      <c r="R16" s="587"/>
      <c r="S16" s="314"/>
      <c r="T16" s="59"/>
      <c r="U16" s="59"/>
      <c r="V16" s="59"/>
      <c r="W16" s="59"/>
      <c r="X16" s="59"/>
      <c r="Y16" s="59"/>
      <c r="Z16" s="59"/>
    </row>
    <row r="17" spans="1:26" s="60" customFormat="1" ht="19.5" customHeight="1">
      <c r="A17" s="314"/>
      <c r="B17" s="314"/>
      <c r="C17" s="562" t="s">
        <v>793</v>
      </c>
      <c r="D17" s="562"/>
      <c r="E17" s="562"/>
      <c r="F17" s="562"/>
      <c r="G17" s="563" t="s">
        <v>642</v>
      </c>
      <c r="H17" s="564"/>
      <c r="I17" s="588">
        <f>IF(I15="",,Tables!C11)</f>
        <v>0</v>
      </c>
      <c r="J17" s="589"/>
      <c r="K17" s="589"/>
      <c r="L17" s="590"/>
      <c r="M17" s="591" t="s">
        <v>643</v>
      </c>
      <c r="N17" s="564"/>
      <c r="O17" s="588">
        <f>IF(O15="",,Tables!C12)</f>
        <v>0</v>
      </c>
      <c r="P17" s="589"/>
      <c r="Q17" s="589"/>
      <c r="R17" s="590"/>
      <c r="S17" s="314"/>
      <c r="T17" s="59"/>
      <c r="U17" s="59"/>
      <c r="V17" s="59"/>
      <c r="W17" s="59"/>
      <c r="X17" s="59"/>
      <c r="Y17" s="59"/>
      <c r="Z17" s="59"/>
    </row>
    <row r="18" spans="1:26" s="172" customFormat="1" ht="3.75" customHeight="1">
      <c r="A18" s="300"/>
      <c r="B18" s="300"/>
      <c r="C18" s="333"/>
      <c r="D18" s="333"/>
      <c r="E18" s="333"/>
      <c r="F18" s="333"/>
      <c r="G18" s="333"/>
      <c r="H18" s="333"/>
      <c r="I18" s="333"/>
      <c r="J18" s="333"/>
      <c r="K18" s="333"/>
      <c r="L18" s="333"/>
      <c r="M18" s="333"/>
      <c r="N18" s="333"/>
      <c r="O18" s="333"/>
      <c r="P18" s="333"/>
      <c r="Q18" s="333"/>
      <c r="R18" s="333"/>
      <c r="S18" s="300"/>
      <c r="T18" s="237"/>
      <c r="U18" s="237"/>
      <c r="V18" s="237"/>
      <c r="W18" s="237"/>
      <c r="X18" s="237"/>
      <c r="Y18" s="237"/>
      <c r="Z18" s="237"/>
    </row>
    <row r="19" spans="1:26" s="60" customFormat="1" ht="19.5" customHeight="1">
      <c r="A19" s="314">
        <v>2</v>
      </c>
      <c r="B19" s="314"/>
      <c r="C19" s="529" t="s">
        <v>644</v>
      </c>
      <c r="D19" s="529"/>
      <c r="E19" s="529"/>
      <c r="F19" s="529"/>
      <c r="G19" s="529"/>
      <c r="H19" s="529"/>
      <c r="I19" s="529"/>
      <c r="J19" s="529"/>
      <c r="K19" s="309"/>
      <c r="L19" s="309"/>
      <c r="M19" s="309"/>
      <c r="N19" s="309"/>
      <c r="O19" s="309"/>
      <c r="P19" s="309"/>
      <c r="Q19" s="309"/>
      <c r="R19" s="309"/>
      <c r="S19" s="314"/>
      <c r="T19" s="59"/>
      <c r="U19" s="59"/>
      <c r="V19" s="59"/>
      <c r="W19" s="59"/>
      <c r="X19" s="59"/>
      <c r="Y19" s="59"/>
      <c r="Z19" s="59"/>
    </row>
    <row r="20" spans="1:26" s="60" customFormat="1" ht="19.5" customHeight="1">
      <c r="A20" s="314"/>
      <c r="B20" s="314"/>
      <c r="C20" s="309"/>
      <c r="D20" s="309"/>
      <c r="E20" s="309"/>
      <c r="F20" s="309"/>
      <c r="G20" s="309"/>
      <c r="H20" s="492" t="s">
        <v>645</v>
      </c>
      <c r="I20" s="492"/>
      <c r="J20" s="492"/>
      <c r="K20" s="492"/>
      <c r="L20" s="492"/>
      <c r="M20" s="492"/>
      <c r="N20" s="560" t="s">
        <v>367</v>
      </c>
      <c r="O20" s="535">
        <f>(I12*(I14+I17)*O9*365)/100</f>
        <v>0</v>
      </c>
      <c r="P20" s="535"/>
      <c r="Q20" s="535"/>
      <c r="R20" s="535"/>
      <c r="S20" s="314" t="s">
        <v>376</v>
      </c>
      <c r="T20" s="59"/>
      <c r="U20" s="59"/>
      <c r="V20" s="59"/>
      <c r="W20" s="59"/>
      <c r="X20" s="59"/>
      <c r="Y20" s="59"/>
      <c r="Z20" s="59"/>
    </row>
    <row r="21" spans="1:26" s="60" customFormat="1" ht="19.5" customHeight="1">
      <c r="A21" s="314"/>
      <c r="B21" s="314"/>
      <c r="C21" s="309"/>
      <c r="D21" s="309"/>
      <c r="E21" s="309"/>
      <c r="F21" s="309"/>
      <c r="G21" s="309"/>
      <c r="H21" s="488">
        <v>100</v>
      </c>
      <c r="I21" s="488"/>
      <c r="J21" s="488"/>
      <c r="K21" s="488"/>
      <c r="L21" s="488"/>
      <c r="M21" s="488"/>
      <c r="N21" s="560"/>
      <c r="O21" s="535"/>
      <c r="P21" s="535"/>
      <c r="Q21" s="535"/>
      <c r="R21" s="535"/>
      <c r="S21" s="314"/>
      <c r="T21" s="59"/>
      <c r="U21" s="59"/>
      <c r="V21" s="59"/>
      <c r="W21" s="59"/>
      <c r="X21" s="59"/>
      <c r="Y21" s="59"/>
      <c r="Z21" s="59"/>
    </row>
    <row r="22" spans="1:26" s="172" customFormat="1" ht="3.75" customHeight="1">
      <c r="A22" s="300"/>
      <c r="B22" s="300"/>
      <c r="C22" s="303"/>
      <c r="D22" s="303"/>
      <c r="E22" s="303"/>
      <c r="F22" s="303"/>
      <c r="G22" s="303"/>
      <c r="H22" s="301"/>
      <c r="I22" s="301"/>
      <c r="J22" s="301"/>
      <c r="K22" s="301"/>
      <c r="L22" s="301"/>
      <c r="M22" s="301"/>
      <c r="N22" s="301"/>
      <c r="O22" s="303"/>
      <c r="P22" s="303"/>
      <c r="Q22" s="303"/>
      <c r="R22" s="303"/>
      <c r="S22" s="300"/>
      <c r="T22" s="237"/>
      <c r="U22" s="237"/>
      <c r="V22" s="237"/>
      <c r="W22" s="237"/>
      <c r="X22" s="237"/>
      <c r="Y22" s="237"/>
      <c r="Z22" s="237"/>
    </row>
    <row r="23" spans="1:26" s="60" customFormat="1" ht="19.5" customHeight="1">
      <c r="A23" s="314">
        <v>3</v>
      </c>
      <c r="B23" s="314"/>
      <c r="C23" s="529" t="s">
        <v>646</v>
      </c>
      <c r="D23" s="529"/>
      <c r="E23" s="529"/>
      <c r="F23" s="529"/>
      <c r="G23" s="529"/>
      <c r="H23" s="529"/>
      <c r="I23" s="529"/>
      <c r="J23" s="299"/>
      <c r="K23" s="299"/>
      <c r="L23" s="309"/>
      <c r="M23" s="309"/>
      <c r="N23" s="309"/>
      <c r="O23" s="309"/>
      <c r="P23" s="309"/>
      <c r="Q23" s="309"/>
      <c r="R23" s="309"/>
      <c r="S23" s="314"/>
      <c r="T23" s="59"/>
      <c r="U23" s="59"/>
      <c r="V23" s="59"/>
      <c r="W23" s="59"/>
      <c r="X23" s="59"/>
      <c r="Y23" s="59"/>
      <c r="Z23" s="59"/>
    </row>
    <row r="24" spans="1:26" s="60" customFormat="1" ht="19.5" customHeight="1">
      <c r="A24" s="314"/>
      <c r="B24" s="314"/>
      <c r="C24" s="309"/>
      <c r="D24" s="309"/>
      <c r="E24" s="309"/>
      <c r="F24" s="309"/>
      <c r="G24" s="309"/>
      <c r="H24" s="492" t="s">
        <v>647</v>
      </c>
      <c r="I24" s="492"/>
      <c r="J24" s="492"/>
      <c r="K24" s="492"/>
      <c r="L24" s="492"/>
      <c r="M24" s="492"/>
      <c r="N24" s="560" t="s">
        <v>367</v>
      </c>
      <c r="O24" s="535">
        <f>(O12*(O14+O17)*O9*365)/100</f>
        <v>0</v>
      </c>
      <c r="P24" s="535"/>
      <c r="Q24" s="535"/>
      <c r="R24" s="535"/>
      <c r="S24" s="314" t="s">
        <v>386</v>
      </c>
      <c r="T24" s="59"/>
      <c r="U24" s="59"/>
      <c r="V24" s="59"/>
      <c r="W24" s="59"/>
      <c r="X24" s="59"/>
      <c r="Y24" s="59"/>
      <c r="Z24" s="59"/>
    </row>
    <row r="25" spans="1:26" s="60" customFormat="1" ht="19.5" customHeight="1">
      <c r="A25" s="314"/>
      <c r="B25" s="314"/>
      <c r="C25" s="309"/>
      <c r="D25" s="309"/>
      <c r="E25" s="309"/>
      <c r="F25" s="309"/>
      <c r="G25" s="309"/>
      <c r="H25" s="584">
        <v>100</v>
      </c>
      <c r="I25" s="584"/>
      <c r="J25" s="584"/>
      <c r="K25" s="584"/>
      <c r="L25" s="584"/>
      <c r="M25" s="584"/>
      <c r="N25" s="561"/>
      <c r="O25" s="535"/>
      <c r="P25" s="535"/>
      <c r="Q25" s="535"/>
      <c r="R25" s="535"/>
      <c r="S25" s="314"/>
      <c r="T25" s="59"/>
      <c r="U25" s="62" t="s">
        <v>794</v>
      </c>
      <c r="V25" s="59"/>
      <c r="W25" s="59"/>
      <c r="X25" s="59"/>
      <c r="Y25" s="59"/>
      <c r="Z25" s="59"/>
    </row>
    <row r="26" spans="1:26" s="172" customFormat="1" ht="3.75" customHeight="1">
      <c r="A26" s="300"/>
      <c r="B26" s="300"/>
      <c r="C26" s="303"/>
      <c r="D26" s="303"/>
      <c r="E26" s="303"/>
      <c r="F26" s="303"/>
      <c r="G26" s="303"/>
      <c r="H26" s="301"/>
      <c r="I26" s="301"/>
      <c r="J26" s="301"/>
      <c r="K26" s="301"/>
      <c r="L26" s="301"/>
      <c r="M26" s="301"/>
      <c r="N26" s="301"/>
      <c r="O26" s="303"/>
      <c r="P26" s="303"/>
      <c r="Q26" s="303"/>
      <c r="R26" s="303"/>
      <c r="S26" s="300"/>
      <c r="T26" s="237"/>
      <c r="U26" s="237"/>
      <c r="V26" s="237"/>
      <c r="W26" s="237"/>
      <c r="X26" s="237"/>
      <c r="Y26" s="237"/>
      <c r="Z26" s="237"/>
    </row>
    <row r="27" spans="1:26" s="173" customFormat="1" ht="3.75" customHeight="1">
      <c r="A27" s="304"/>
      <c r="B27" s="304"/>
      <c r="C27" s="307"/>
      <c r="D27" s="307"/>
      <c r="E27" s="307"/>
      <c r="F27" s="307"/>
      <c r="G27" s="307"/>
      <c r="H27" s="305"/>
      <c r="I27" s="305"/>
      <c r="J27" s="305"/>
      <c r="K27" s="305"/>
      <c r="L27" s="305"/>
      <c r="M27" s="305"/>
      <c r="N27" s="305"/>
      <c r="O27" s="307"/>
      <c r="P27" s="307"/>
      <c r="Q27" s="307"/>
      <c r="R27" s="307"/>
      <c r="S27" s="304"/>
      <c r="T27" s="239"/>
      <c r="U27" s="239"/>
      <c r="V27" s="239"/>
      <c r="W27" s="239"/>
      <c r="X27" s="239"/>
      <c r="Y27" s="239"/>
      <c r="Z27" s="239"/>
    </row>
    <row r="28" spans="1:26" s="60" customFormat="1" ht="19.5" customHeight="1">
      <c r="A28" s="314">
        <v>4</v>
      </c>
      <c r="B28" s="314"/>
      <c r="C28" s="487" t="s">
        <v>648</v>
      </c>
      <c r="D28" s="487"/>
      <c r="E28" s="487"/>
      <c r="F28" s="487"/>
      <c r="G28" s="487"/>
      <c r="H28" s="487"/>
      <c r="I28" s="487"/>
      <c r="J28" s="325"/>
      <c r="K28" s="309"/>
      <c r="L28" s="309"/>
      <c r="M28" s="309"/>
      <c r="N28" s="316" t="s">
        <v>649</v>
      </c>
      <c r="O28" s="535">
        <f>O20-O24</f>
        <v>0</v>
      </c>
      <c r="P28" s="535"/>
      <c r="Q28" s="535"/>
      <c r="R28" s="535"/>
      <c r="S28" s="314" t="s">
        <v>650</v>
      </c>
      <c r="T28" s="59"/>
      <c r="U28" s="59"/>
      <c r="V28" s="59"/>
      <c r="W28" s="59"/>
      <c r="X28" s="59"/>
      <c r="Y28" s="59"/>
      <c r="Z28" s="59"/>
    </row>
    <row r="29" spans="1:26" s="172" customFormat="1" ht="3.75" customHeight="1">
      <c r="A29" s="300"/>
      <c r="B29" s="300"/>
      <c r="C29" s="330"/>
      <c r="D29" s="303"/>
      <c r="E29" s="303"/>
      <c r="F29" s="303"/>
      <c r="G29" s="303"/>
      <c r="H29" s="303"/>
      <c r="I29" s="303"/>
      <c r="J29" s="327"/>
      <c r="K29" s="303"/>
      <c r="L29" s="303"/>
      <c r="M29" s="303"/>
      <c r="N29" s="320"/>
      <c r="O29" s="303"/>
      <c r="P29" s="320"/>
      <c r="Q29" s="303"/>
      <c r="R29" s="320"/>
      <c r="S29" s="300"/>
      <c r="T29" s="237"/>
      <c r="U29" s="237"/>
      <c r="V29" s="237"/>
      <c r="W29" s="237"/>
      <c r="X29" s="237"/>
      <c r="Y29" s="237"/>
      <c r="Z29" s="237"/>
    </row>
    <row r="30" spans="1:26" s="173" customFormat="1" ht="3.75" customHeight="1">
      <c r="A30" s="304"/>
      <c r="B30" s="304"/>
      <c r="C30" s="331"/>
      <c r="D30" s="307"/>
      <c r="E30" s="307"/>
      <c r="F30" s="307"/>
      <c r="G30" s="307"/>
      <c r="H30" s="307"/>
      <c r="I30" s="307"/>
      <c r="J30" s="328"/>
      <c r="K30" s="307"/>
      <c r="L30" s="307"/>
      <c r="M30" s="307"/>
      <c r="N30" s="332"/>
      <c r="O30" s="307"/>
      <c r="P30" s="332"/>
      <c r="Q30" s="307"/>
      <c r="R30" s="332"/>
      <c r="S30" s="304"/>
      <c r="T30" s="239"/>
      <c r="U30" s="239"/>
      <c r="V30" s="239"/>
      <c r="W30" s="239"/>
      <c r="X30" s="239"/>
      <c r="Y30" s="239"/>
      <c r="Z30" s="239"/>
    </row>
    <row r="31" spans="1:26" s="60" customFormat="1" ht="19.5" customHeight="1">
      <c r="A31" s="314">
        <v>5</v>
      </c>
      <c r="B31" s="314"/>
      <c r="C31" s="487" t="s">
        <v>651</v>
      </c>
      <c r="D31" s="487"/>
      <c r="E31" s="487"/>
      <c r="F31" s="487"/>
      <c r="G31" s="487"/>
      <c r="H31" s="309"/>
      <c r="I31" s="309"/>
      <c r="J31" s="309"/>
      <c r="K31" s="309"/>
      <c r="L31" s="309"/>
      <c r="M31" s="309"/>
      <c r="N31" s="316" t="s">
        <v>652</v>
      </c>
      <c r="O31" s="535">
        <f>O28*J37</f>
        <v>0</v>
      </c>
      <c r="P31" s="535"/>
      <c r="Q31" s="535"/>
      <c r="R31" s="535"/>
      <c r="S31" s="314" t="s">
        <v>653</v>
      </c>
      <c r="T31" s="59"/>
      <c r="U31" s="59"/>
      <c r="V31" s="59"/>
      <c r="W31" s="59"/>
      <c r="X31" s="59"/>
      <c r="Y31" s="59"/>
      <c r="Z31" s="59"/>
    </row>
    <row r="32" spans="1:26" s="60" customFormat="1" ht="19.5" customHeight="1">
      <c r="A32" s="314"/>
      <c r="B32" s="314"/>
      <c r="C32" s="309" t="s">
        <v>795</v>
      </c>
      <c r="D32" s="309"/>
      <c r="E32" s="309"/>
      <c r="F32" s="309"/>
      <c r="G32" s="309"/>
      <c r="H32" s="309"/>
      <c r="I32" s="309"/>
      <c r="J32" s="309"/>
      <c r="K32" s="309"/>
      <c r="L32" s="309"/>
      <c r="M32" s="309"/>
      <c r="N32" s="313"/>
      <c r="O32" s="299"/>
      <c r="P32" s="299"/>
      <c r="Q32" s="299"/>
      <c r="R32" s="313"/>
      <c r="S32" s="299"/>
      <c r="T32" s="59"/>
      <c r="U32" s="59"/>
      <c r="V32" s="59"/>
      <c r="W32" s="59"/>
      <c r="X32" s="59"/>
      <c r="Y32" s="59"/>
      <c r="Z32" s="59"/>
    </row>
    <row r="33" spans="1:26" s="60" customFormat="1" ht="13.5" customHeight="1">
      <c r="A33" s="59"/>
      <c r="B33" s="59"/>
      <c r="C33" s="59"/>
      <c r="D33" s="59"/>
      <c r="E33" s="59"/>
      <c r="F33" s="59"/>
      <c r="G33" s="59"/>
      <c r="H33" s="59"/>
      <c r="I33" s="59"/>
      <c r="J33" s="59"/>
      <c r="K33" s="59"/>
      <c r="L33" s="59"/>
      <c r="M33" s="59"/>
      <c r="N33" s="59"/>
      <c r="O33" s="59"/>
      <c r="P33" s="59"/>
      <c r="Q33" s="59"/>
      <c r="R33" s="59"/>
      <c r="S33" s="59"/>
      <c r="T33" s="59"/>
      <c r="U33" s="59"/>
      <c r="V33" s="59"/>
      <c r="W33" s="59"/>
      <c r="X33" s="59"/>
      <c r="Y33" s="59"/>
      <c r="Z33" s="59"/>
    </row>
    <row r="34" spans="1:26" s="60" customFormat="1" ht="13.5" customHeight="1">
      <c r="A34" s="59"/>
      <c r="B34" s="59"/>
      <c r="C34" s="59"/>
      <c r="D34" s="59"/>
      <c r="E34" s="59"/>
      <c r="F34" s="59"/>
      <c r="G34" s="59"/>
      <c r="H34" s="59"/>
      <c r="I34" s="59"/>
      <c r="J34" s="59"/>
      <c r="K34" s="59"/>
      <c r="L34" s="59"/>
      <c r="M34" s="59"/>
      <c r="N34" s="59"/>
      <c r="O34" s="59"/>
      <c r="P34" s="59"/>
      <c r="Q34" s="59"/>
      <c r="R34" s="59"/>
      <c r="S34" s="59"/>
      <c r="T34" s="59"/>
      <c r="U34" s="59"/>
      <c r="V34" s="59"/>
      <c r="W34" s="59"/>
      <c r="X34" s="59"/>
      <c r="Y34" s="59"/>
      <c r="Z34" s="59"/>
    </row>
    <row r="35" spans="1:26" s="60" customFormat="1" ht="11.4">
      <c r="A35" s="59"/>
      <c r="B35" s="59"/>
      <c r="C35" s="59"/>
      <c r="D35" s="59"/>
      <c r="E35" s="59"/>
      <c r="F35" s="59"/>
      <c r="G35" s="59"/>
      <c r="H35" s="59"/>
      <c r="I35" s="59"/>
      <c r="J35" s="59"/>
      <c r="K35" s="59"/>
      <c r="L35" s="59"/>
      <c r="M35" s="59"/>
      <c r="N35" s="59"/>
      <c r="O35" s="59"/>
      <c r="P35" s="59"/>
      <c r="Q35" s="59"/>
      <c r="R35" s="59"/>
      <c r="S35" s="59"/>
      <c r="T35" s="59"/>
      <c r="U35" s="59"/>
      <c r="V35" s="59"/>
      <c r="W35" s="59"/>
      <c r="X35" s="59"/>
      <c r="Y35" s="59"/>
      <c r="Z35" s="59"/>
    </row>
    <row r="36" spans="1:26" s="60" customFormat="1" ht="11.4">
      <c r="A36" s="59"/>
      <c r="B36" s="59"/>
      <c r="C36" s="59"/>
      <c r="D36" s="59"/>
      <c r="E36" s="59"/>
      <c r="F36" s="59"/>
      <c r="G36" s="59"/>
      <c r="H36" s="59"/>
      <c r="I36" s="59"/>
      <c r="J36" s="59"/>
      <c r="K36" s="59"/>
      <c r="L36" s="59"/>
      <c r="M36" s="59"/>
      <c r="N36" s="59"/>
      <c r="O36" s="59"/>
      <c r="P36" s="59"/>
      <c r="Q36" s="59"/>
      <c r="R36" s="59"/>
      <c r="S36" s="59"/>
      <c r="T36" s="59"/>
      <c r="U36" s="59"/>
      <c r="V36" s="59"/>
      <c r="W36" s="59"/>
      <c r="X36" s="59"/>
      <c r="Y36" s="59"/>
      <c r="Z36" s="59"/>
    </row>
    <row r="37" spans="1:26" s="60" customFormat="1" ht="11.4" hidden="1">
      <c r="A37" s="59"/>
      <c r="B37" s="59"/>
      <c r="C37" s="59"/>
      <c r="D37" s="59"/>
      <c r="E37" s="57">
        <f>Tables!$O$11</f>
        <v>0.99016372140870601</v>
      </c>
      <c r="F37" s="57">
        <f>Tables!$O$12</f>
        <v>27.749070548666339</v>
      </c>
      <c r="G37" s="57">
        <f>Tables!$O$13</f>
        <v>0.49344788445523591</v>
      </c>
      <c r="H37" s="57">
        <f>Tables!$O$14</f>
        <v>484.78895313845783</v>
      </c>
      <c r="I37" s="59"/>
      <c r="J37" s="543">
        <f>F37-E37+M37*(H37-G37)</f>
        <v>26.758906827257633</v>
      </c>
      <c r="K37" s="543"/>
      <c r="L37" s="543"/>
      <c r="M37" s="583">
        <f>O8</f>
        <v>0</v>
      </c>
      <c r="N37" s="543"/>
      <c r="O37" s="543"/>
      <c r="P37" s="543"/>
      <c r="Q37" s="543"/>
      <c r="R37" s="59"/>
      <c r="S37" s="59"/>
      <c r="T37" s="59"/>
      <c r="U37" s="59"/>
      <c r="V37" s="59"/>
      <c r="W37" s="59"/>
      <c r="X37" s="59"/>
      <c r="Y37" s="59"/>
      <c r="Z37" s="59"/>
    </row>
    <row r="38" spans="1:26" s="60" customFormat="1" ht="11.4">
      <c r="A38" s="59"/>
      <c r="B38" s="59"/>
      <c r="C38" s="59"/>
      <c r="D38" s="59"/>
      <c r="E38" s="59"/>
      <c r="F38" s="59"/>
      <c r="G38" s="59"/>
      <c r="H38" s="59"/>
      <c r="I38" s="59"/>
      <c r="J38" s="59"/>
      <c r="K38" s="59"/>
      <c r="L38" s="59"/>
      <c r="M38" s="59"/>
      <c r="N38" s="59"/>
      <c r="O38" s="59"/>
      <c r="P38" s="59"/>
      <c r="Q38" s="59"/>
      <c r="R38" s="59"/>
      <c r="S38" s="59"/>
      <c r="T38" s="59"/>
      <c r="U38" s="59"/>
      <c r="V38" s="59"/>
      <c r="W38" s="59"/>
      <c r="X38" s="59"/>
      <c r="Y38" s="59"/>
      <c r="Z38" s="59"/>
    </row>
    <row r="39" spans="1:26" s="60" customFormat="1" ht="11.4">
      <c r="A39" s="59"/>
      <c r="B39" s="59"/>
      <c r="C39" s="59"/>
      <c r="D39" s="59"/>
      <c r="E39" s="59"/>
      <c r="F39" s="59"/>
      <c r="G39" s="59"/>
      <c r="H39" s="59"/>
      <c r="I39" s="59"/>
      <c r="J39" s="59"/>
      <c r="K39" s="59"/>
      <c r="L39" s="59"/>
      <c r="M39" s="59"/>
      <c r="N39" s="59"/>
      <c r="O39" s="59"/>
      <c r="P39" s="59"/>
      <c r="Q39" s="59"/>
      <c r="R39" s="59"/>
      <c r="S39" s="59"/>
      <c r="T39" s="59"/>
      <c r="U39" s="59"/>
      <c r="V39" s="59"/>
      <c r="W39" s="59"/>
      <c r="X39" s="59"/>
      <c r="Y39" s="59"/>
      <c r="Z39" s="59"/>
    </row>
    <row r="40" spans="1:26" s="60" customFormat="1" ht="11.4">
      <c r="A40" s="59"/>
      <c r="B40" s="59"/>
      <c r="C40" s="59"/>
      <c r="D40" s="59"/>
      <c r="E40" s="59"/>
      <c r="F40" s="59"/>
      <c r="G40" s="59"/>
      <c r="H40" s="59"/>
      <c r="I40" s="59"/>
      <c r="J40" s="59"/>
      <c r="K40" s="59"/>
      <c r="L40" s="59"/>
      <c r="M40" s="59"/>
      <c r="N40" s="59"/>
      <c r="O40" s="59"/>
      <c r="P40" s="59"/>
      <c r="Q40" s="59"/>
      <c r="R40" s="59"/>
      <c r="S40" s="59"/>
      <c r="T40" s="59"/>
      <c r="U40" s="59"/>
      <c r="V40" s="59"/>
      <c r="W40" s="59"/>
      <c r="X40" s="59"/>
      <c r="Y40" s="59"/>
      <c r="Z40" s="59"/>
    </row>
    <row r="41" spans="1:26" s="60" customFormat="1" ht="11.4">
      <c r="A41" s="59"/>
      <c r="B41" s="59"/>
      <c r="C41" s="59"/>
      <c r="D41" s="59"/>
      <c r="E41" s="59"/>
      <c r="F41" s="59"/>
      <c r="G41" s="59"/>
      <c r="H41" s="59"/>
      <c r="I41" s="59"/>
      <c r="J41" s="59"/>
      <c r="K41" s="59"/>
      <c r="L41" s="59"/>
      <c r="M41" s="59"/>
      <c r="N41" s="59"/>
      <c r="O41" s="59"/>
      <c r="P41" s="59"/>
      <c r="Q41" s="59"/>
      <c r="R41" s="59"/>
      <c r="S41" s="59"/>
      <c r="T41" s="59"/>
      <c r="U41" s="59"/>
      <c r="V41" s="59"/>
      <c r="W41" s="59"/>
      <c r="X41" s="59"/>
      <c r="Y41" s="59"/>
      <c r="Z41" s="59"/>
    </row>
    <row r="42" spans="1:26" s="60" customFormat="1" ht="11.4">
      <c r="A42" s="59"/>
      <c r="B42" s="59"/>
      <c r="C42" s="59"/>
      <c r="D42" s="59"/>
      <c r="E42" s="59"/>
      <c r="F42" s="59"/>
      <c r="G42" s="59"/>
      <c r="H42" s="59"/>
      <c r="I42" s="59"/>
      <c r="J42" s="59"/>
      <c r="K42" s="59"/>
      <c r="L42" s="59"/>
      <c r="M42" s="59"/>
      <c r="N42" s="59"/>
      <c r="O42" s="59"/>
      <c r="P42" s="59"/>
      <c r="Q42" s="59"/>
      <c r="R42" s="59"/>
      <c r="S42" s="59"/>
      <c r="T42" s="59"/>
      <c r="U42" s="59"/>
      <c r="V42" s="59"/>
      <c r="W42" s="59"/>
      <c r="X42" s="59"/>
      <c r="Y42" s="59"/>
      <c r="Z42" s="59"/>
    </row>
    <row r="43" spans="1:26" s="66" customFormat="1">
      <c r="A43" s="59"/>
      <c r="B43" s="59"/>
      <c r="C43" s="59"/>
      <c r="D43" s="59"/>
      <c r="E43" s="59"/>
      <c r="F43" s="59"/>
      <c r="G43" s="59"/>
      <c r="H43" s="59"/>
      <c r="I43" s="59"/>
      <c r="J43" s="59"/>
      <c r="K43" s="59"/>
      <c r="L43" s="59"/>
      <c r="M43" s="59"/>
      <c r="N43" s="59"/>
      <c r="O43" s="59"/>
      <c r="P43" s="59"/>
      <c r="Q43" s="59"/>
      <c r="R43" s="59"/>
      <c r="S43" s="59"/>
      <c r="T43" s="59"/>
      <c r="U43" s="59"/>
      <c r="V43" s="59"/>
      <c r="W43" s="59"/>
      <c r="X43" s="59"/>
      <c r="Y43" s="59"/>
      <c r="Z43" s="59"/>
    </row>
    <row r="44" spans="1:26" s="66" customFormat="1">
      <c r="A44" s="59"/>
      <c r="B44" s="59"/>
      <c r="C44" s="59"/>
      <c r="D44" s="59"/>
      <c r="E44" s="59"/>
      <c r="F44" s="59"/>
      <c r="G44" s="59"/>
      <c r="H44" s="59"/>
      <c r="I44" s="59"/>
      <c r="J44" s="59"/>
      <c r="K44" s="59"/>
      <c r="L44" s="59"/>
      <c r="M44" s="59"/>
      <c r="N44" s="59"/>
      <c r="O44" s="59"/>
      <c r="P44" s="59"/>
      <c r="Q44" s="59"/>
      <c r="R44" s="59"/>
      <c r="S44" s="59"/>
      <c r="T44" s="59"/>
      <c r="U44" s="59"/>
      <c r="V44" s="59"/>
      <c r="W44" s="59"/>
      <c r="X44" s="59"/>
      <c r="Y44" s="59"/>
      <c r="Z44" s="59"/>
    </row>
    <row r="45" spans="1:26" s="66" customFormat="1">
      <c r="A45" s="59"/>
      <c r="B45" s="59"/>
      <c r="C45" s="59"/>
      <c r="D45" s="59"/>
      <c r="E45" s="59"/>
      <c r="F45" s="59"/>
      <c r="G45" s="59"/>
      <c r="H45" s="59"/>
      <c r="I45" s="59"/>
      <c r="J45" s="59"/>
      <c r="K45" s="59"/>
      <c r="L45" s="59"/>
      <c r="M45" s="59"/>
      <c r="N45" s="59"/>
      <c r="O45" s="59"/>
      <c r="P45" s="59"/>
      <c r="Q45" s="59"/>
      <c r="R45" s="59"/>
      <c r="S45" s="59"/>
      <c r="T45" s="59"/>
      <c r="U45" s="59"/>
      <c r="V45" s="59"/>
      <c r="W45" s="59"/>
      <c r="X45" s="59"/>
      <c r="Y45" s="59"/>
      <c r="Z45" s="59"/>
    </row>
    <row r="46" spans="1:26" s="66" customFormat="1">
      <c r="A46" s="59"/>
      <c r="B46" s="59"/>
      <c r="C46" s="59"/>
      <c r="D46" s="59"/>
      <c r="E46" s="59"/>
      <c r="F46" s="59"/>
      <c r="G46" s="59"/>
      <c r="H46" s="59"/>
      <c r="I46" s="59"/>
      <c r="J46" s="59"/>
      <c r="K46" s="59"/>
      <c r="L46" s="59"/>
      <c r="M46" s="59"/>
      <c r="N46" s="59"/>
      <c r="O46" s="59"/>
      <c r="P46" s="59"/>
      <c r="Q46" s="59"/>
      <c r="R46" s="59"/>
      <c r="S46" s="59"/>
      <c r="T46" s="59"/>
      <c r="U46" s="59"/>
      <c r="V46" s="59"/>
      <c r="W46" s="59"/>
      <c r="X46" s="59"/>
      <c r="Y46" s="59"/>
      <c r="Z46" s="59"/>
    </row>
    <row r="47" spans="1:26">
      <c r="A47" s="57"/>
      <c r="B47" s="57"/>
      <c r="C47" s="57"/>
      <c r="D47" s="57"/>
      <c r="E47" s="57"/>
      <c r="F47" s="57"/>
      <c r="G47" s="57"/>
      <c r="H47" s="57"/>
      <c r="I47" s="57"/>
      <c r="J47" s="57"/>
      <c r="K47" s="57"/>
      <c r="L47" s="57"/>
      <c r="M47" s="57"/>
      <c r="N47" s="57"/>
      <c r="O47" s="57"/>
      <c r="P47" s="57"/>
      <c r="Q47" s="57"/>
      <c r="R47" s="57"/>
      <c r="S47" s="57"/>
      <c r="T47" s="57"/>
      <c r="U47" s="57"/>
      <c r="V47" s="57"/>
      <c r="W47" s="57"/>
      <c r="X47" s="57"/>
      <c r="Y47" s="57"/>
      <c r="Z47" s="57"/>
    </row>
    <row r="48" spans="1:26">
      <c r="A48" s="57"/>
      <c r="B48" s="57"/>
      <c r="C48" s="57"/>
      <c r="D48" s="57"/>
      <c r="E48" s="57"/>
      <c r="F48" s="57"/>
      <c r="G48" s="57"/>
      <c r="H48" s="57"/>
      <c r="I48" s="57"/>
      <c r="J48" s="57"/>
      <c r="K48" s="57"/>
      <c r="L48" s="57"/>
      <c r="M48" s="57"/>
      <c r="N48" s="57"/>
      <c r="O48" s="57"/>
      <c r="P48" s="57"/>
      <c r="Q48" s="57"/>
      <c r="R48" s="57"/>
      <c r="S48" s="57"/>
      <c r="T48" s="57"/>
      <c r="U48" s="57"/>
      <c r="V48" s="57"/>
      <c r="W48" s="57"/>
      <c r="X48" s="57"/>
      <c r="Y48" s="57"/>
      <c r="Z48" s="57"/>
    </row>
    <row r="49" spans="1:26">
      <c r="A49" s="57"/>
      <c r="B49" s="57"/>
      <c r="C49" s="57"/>
      <c r="D49" s="57"/>
      <c r="E49" s="57"/>
      <c r="F49" s="57"/>
      <c r="G49" s="57"/>
      <c r="H49" s="57"/>
      <c r="I49" s="57"/>
      <c r="J49" s="57"/>
      <c r="K49" s="57"/>
      <c r="L49" s="57"/>
      <c r="M49" s="57"/>
      <c r="N49" s="57"/>
      <c r="O49" s="57"/>
      <c r="P49" s="57"/>
      <c r="Q49" s="57"/>
      <c r="R49" s="57"/>
      <c r="S49" s="57"/>
      <c r="T49" s="57"/>
      <c r="U49" s="57"/>
      <c r="V49" s="57"/>
      <c r="W49" s="57"/>
      <c r="X49" s="57"/>
      <c r="Y49" s="57"/>
      <c r="Z49" s="57"/>
    </row>
    <row r="50" spans="1:26">
      <c r="A50" s="57"/>
      <c r="B50" s="57"/>
      <c r="C50" s="57"/>
      <c r="D50" s="57"/>
      <c r="E50" s="57"/>
      <c r="F50" s="57"/>
      <c r="G50" s="57"/>
      <c r="H50" s="57"/>
      <c r="I50" s="57"/>
      <c r="J50" s="57"/>
      <c r="K50" s="57"/>
      <c r="L50" s="57"/>
      <c r="M50" s="57"/>
      <c r="N50" s="57"/>
      <c r="O50" s="57"/>
      <c r="P50" s="57"/>
      <c r="Q50" s="57"/>
      <c r="R50" s="57"/>
      <c r="S50" s="57"/>
      <c r="T50" s="57"/>
      <c r="U50" s="57"/>
      <c r="V50" s="57"/>
      <c r="W50" s="57"/>
      <c r="X50" s="57"/>
      <c r="Y50" s="57"/>
      <c r="Z50" s="57"/>
    </row>
    <row r="51" spans="1:26">
      <c r="A51" s="57"/>
      <c r="B51" s="57"/>
      <c r="C51" s="57"/>
      <c r="D51" s="57"/>
      <c r="E51" s="57"/>
      <c r="F51" s="57"/>
      <c r="G51" s="57"/>
      <c r="H51" s="57"/>
      <c r="I51" s="57"/>
      <c r="J51" s="57"/>
      <c r="K51" s="57"/>
      <c r="L51" s="57"/>
      <c r="M51" s="57"/>
      <c r="N51" s="57"/>
      <c r="O51" s="57"/>
      <c r="P51" s="57"/>
      <c r="Q51" s="57"/>
      <c r="R51" s="57"/>
      <c r="S51" s="57"/>
      <c r="T51" s="57"/>
      <c r="U51" s="57"/>
      <c r="V51" s="57"/>
      <c r="W51" s="57"/>
      <c r="X51" s="57"/>
      <c r="Y51" s="57"/>
      <c r="Z51" s="57"/>
    </row>
    <row r="52" spans="1:26">
      <c r="A52" s="57"/>
      <c r="B52" s="57"/>
      <c r="C52" s="57"/>
      <c r="D52" s="57"/>
      <c r="E52" s="57"/>
      <c r="F52" s="57"/>
      <c r="G52" s="57"/>
      <c r="H52" s="57"/>
      <c r="I52" s="57"/>
      <c r="J52" s="57"/>
      <c r="K52" s="57"/>
      <c r="L52" s="57"/>
      <c r="M52" s="57"/>
      <c r="N52" s="57"/>
      <c r="O52" s="57"/>
      <c r="P52" s="57"/>
      <c r="Q52" s="57"/>
      <c r="R52" s="57"/>
      <c r="S52" s="57"/>
      <c r="T52" s="57"/>
      <c r="U52" s="57"/>
      <c r="V52" s="57"/>
      <c r="W52" s="57"/>
      <c r="X52" s="57"/>
      <c r="Y52" s="57"/>
      <c r="Z52" s="57"/>
    </row>
    <row r="53" spans="1:26">
      <c r="A53" s="57"/>
      <c r="B53" s="57"/>
      <c r="C53" s="57"/>
      <c r="D53" s="57"/>
      <c r="E53" s="57"/>
      <c r="F53" s="57"/>
      <c r="G53" s="57"/>
      <c r="H53" s="57"/>
      <c r="I53" s="57"/>
      <c r="J53" s="57"/>
      <c r="K53" s="57"/>
      <c r="L53" s="57"/>
      <c r="M53" s="57"/>
      <c r="N53" s="57"/>
      <c r="O53" s="57"/>
      <c r="P53" s="57"/>
      <c r="Q53" s="57"/>
      <c r="R53" s="57"/>
      <c r="S53" s="57"/>
      <c r="T53" s="57"/>
      <c r="U53" s="57"/>
      <c r="V53" s="57"/>
      <c r="W53" s="57"/>
      <c r="X53" s="57"/>
      <c r="Y53" s="57"/>
      <c r="Z53" s="57"/>
    </row>
    <row r="54" spans="1:26">
      <c r="A54" s="57"/>
      <c r="B54" s="57"/>
      <c r="C54" s="57"/>
      <c r="D54" s="57"/>
      <c r="E54" s="57"/>
      <c r="F54" s="57"/>
      <c r="G54" s="57"/>
      <c r="H54" s="57"/>
      <c r="I54" s="57"/>
      <c r="J54" s="57"/>
      <c r="K54" s="57"/>
      <c r="L54" s="57"/>
      <c r="M54" s="57"/>
      <c r="N54" s="57"/>
      <c r="O54" s="57"/>
      <c r="P54" s="57"/>
      <c r="Q54" s="57"/>
      <c r="R54" s="57"/>
      <c r="S54" s="57"/>
      <c r="T54" s="57"/>
      <c r="U54" s="57"/>
      <c r="V54" s="57"/>
      <c r="W54" s="57"/>
      <c r="X54" s="57"/>
      <c r="Y54" s="57"/>
      <c r="Z54" s="57"/>
    </row>
    <row r="55" spans="1:26">
      <c r="A55" s="57"/>
      <c r="B55" s="57"/>
      <c r="C55" s="57"/>
      <c r="D55" s="57"/>
      <c r="E55" s="57"/>
      <c r="F55" s="57"/>
      <c r="G55" s="57"/>
      <c r="H55" s="57"/>
      <c r="I55" s="57"/>
      <c r="J55" s="57"/>
      <c r="K55" s="57"/>
      <c r="L55" s="57"/>
      <c r="M55" s="57"/>
      <c r="N55" s="57"/>
      <c r="O55" s="57"/>
      <c r="P55" s="57"/>
      <c r="Q55" s="57"/>
      <c r="R55" s="57"/>
      <c r="S55" s="57"/>
      <c r="T55" s="57"/>
      <c r="U55" s="57"/>
      <c r="V55" s="57"/>
      <c r="W55" s="57"/>
      <c r="X55" s="57"/>
      <c r="Y55" s="57"/>
      <c r="Z55" s="57"/>
    </row>
    <row r="56" spans="1:26">
      <c r="A56" s="57"/>
      <c r="B56" s="57"/>
      <c r="C56" s="57"/>
      <c r="D56" s="57"/>
      <c r="E56" s="57"/>
      <c r="F56" s="57"/>
      <c r="G56" s="57"/>
      <c r="H56" s="57"/>
      <c r="I56" s="57"/>
      <c r="J56" s="57"/>
      <c r="K56" s="57"/>
      <c r="L56" s="57"/>
      <c r="M56" s="57"/>
      <c r="N56" s="57"/>
      <c r="O56" s="57"/>
      <c r="P56" s="57"/>
      <c r="Q56" s="57"/>
      <c r="R56" s="57"/>
      <c r="S56" s="57"/>
      <c r="T56" s="57"/>
      <c r="U56" s="57"/>
      <c r="V56" s="57"/>
      <c r="W56" s="57"/>
      <c r="X56" s="57"/>
      <c r="Y56" s="57"/>
      <c r="Z56" s="57"/>
    </row>
    <row r="57" spans="1:26">
      <c r="A57" s="57"/>
      <c r="B57" s="57"/>
      <c r="C57" s="57"/>
      <c r="D57" s="57"/>
      <c r="E57" s="57"/>
      <c r="F57" s="57"/>
      <c r="G57" s="57"/>
      <c r="H57" s="57"/>
      <c r="I57" s="57"/>
      <c r="J57" s="57"/>
      <c r="K57" s="57"/>
      <c r="L57" s="57"/>
      <c r="M57" s="57"/>
      <c r="N57" s="57"/>
      <c r="O57" s="57"/>
      <c r="P57" s="57"/>
      <c r="Q57" s="57"/>
      <c r="R57" s="57"/>
      <c r="S57" s="57"/>
      <c r="T57" s="57"/>
      <c r="U57" s="57"/>
      <c r="V57" s="57"/>
      <c r="W57" s="57"/>
      <c r="X57" s="57"/>
      <c r="Y57" s="57"/>
      <c r="Z57" s="57"/>
    </row>
    <row r="58" spans="1:26">
      <c r="A58" s="57"/>
      <c r="B58" s="57"/>
      <c r="C58" s="57"/>
      <c r="D58" s="57"/>
      <c r="E58" s="57"/>
      <c r="F58" s="57"/>
      <c r="G58" s="57"/>
      <c r="H58" s="57"/>
      <c r="I58" s="57"/>
      <c r="J58" s="57"/>
      <c r="K58" s="57"/>
      <c r="L58" s="57"/>
      <c r="M58" s="57"/>
      <c r="N58" s="57"/>
      <c r="O58" s="57"/>
      <c r="P58" s="57"/>
      <c r="Q58" s="57"/>
      <c r="R58" s="57"/>
      <c r="S58" s="57"/>
      <c r="T58" s="57"/>
      <c r="U58" s="57"/>
      <c r="V58" s="57"/>
      <c r="W58" s="57"/>
      <c r="X58" s="57"/>
      <c r="Y58" s="57"/>
      <c r="Z58" s="57"/>
    </row>
    <row r="59" spans="1:26">
      <c r="A59" s="57"/>
      <c r="B59" s="57"/>
      <c r="C59" s="57"/>
      <c r="D59" s="57"/>
      <c r="E59" s="57"/>
      <c r="F59" s="57"/>
      <c r="G59" s="57"/>
      <c r="H59" s="57"/>
      <c r="I59" s="57"/>
      <c r="J59" s="57"/>
      <c r="K59" s="57"/>
      <c r="L59" s="57"/>
      <c r="M59" s="57"/>
      <c r="N59" s="57"/>
      <c r="O59" s="57"/>
      <c r="P59" s="57"/>
      <c r="Q59" s="57"/>
      <c r="R59" s="57"/>
      <c r="S59" s="57"/>
      <c r="T59" s="57"/>
      <c r="U59" s="57"/>
      <c r="V59" s="57"/>
      <c r="W59" s="57"/>
      <c r="X59" s="57"/>
      <c r="Y59" s="57"/>
      <c r="Z59" s="57"/>
    </row>
    <row r="60" spans="1:26">
      <c r="A60" s="57"/>
      <c r="B60" s="57"/>
      <c r="C60" s="57"/>
      <c r="D60" s="57"/>
      <c r="E60" s="57"/>
      <c r="F60" s="57"/>
      <c r="G60" s="57"/>
      <c r="H60" s="57"/>
      <c r="I60" s="57"/>
      <c r="J60" s="57"/>
      <c r="K60" s="57"/>
      <c r="L60" s="57"/>
      <c r="M60" s="57"/>
      <c r="N60" s="57"/>
      <c r="O60" s="57"/>
      <c r="P60" s="57"/>
      <c r="Q60" s="57"/>
      <c r="R60" s="57"/>
      <c r="S60" s="57"/>
      <c r="T60" s="57"/>
      <c r="U60" s="57"/>
      <c r="V60" s="57"/>
      <c r="W60" s="57"/>
      <c r="X60" s="57"/>
      <c r="Y60" s="57"/>
      <c r="Z60" s="57"/>
    </row>
    <row r="61" spans="1:26">
      <c r="A61" s="57"/>
      <c r="B61" s="57"/>
      <c r="C61" s="57"/>
      <c r="D61" s="57"/>
      <c r="E61" s="57"/>
      <c r="F61" s="57"/>
      <c r="G61" s="57"/>
      <c r="H61" s="57"/>
      <c r="I61" s="57"/>
      <c r="J61" s="57"/>
      <c r="K61" s="57"/>
      <c r="L61" s="57"/>
      <c r="M61" s="57"/>
      <c r="N61" s="57"/>
      <c r="O61" s="57"/>
      <c r="P61" s="57"/>
      <c r="Q61" s="57"/>
      <c r="R61" s="57"/>
      <c r="S61" s="57"/>
      <c r="T61" s="57"/>
      <c r="U61" s="57"/>
      <c r="V61" s="57"/>
      <c r="W61" s="57"/>
      <c r="X61" s="57"/>
      <c r="Y61" s="57"/>
      <c r="Z61" s="57"/>
    </row>
    <row r="62" spans="1:26">
      <c r="A62" s="57"/>
      <c r="B62" s="57"/>
      <c r="C62" s="57"/>
      <c r="D62" s="57"/>
      <c r="E62" s="57"/>
      <c r="F62" s="57"/>
      <c r="G62" s="57"/>
      <c r="H62" s="57"/>
      <c r="I62" s="57"/>
      <c r="J62" s="57"/>
      <c r="K62" s="57"/>
      <c r="L62" s="57"/>
      <c r="M62" s="57"/>
      <c r="N62" s="57"/>
      <c r="O62" s="57"/>
      <c r="P62" s="57"/>
      <c r="Q62" s="57"/>
      <c r="R62" s="57"/>
      <c r="S62" s="57"/>
      <c r="T62" s="57"/>
      <c r="U62" s="57"/>
      <c r="V62" s="57"/>
      <c r="W62" s="57"/>
      <c r="X62" s="57"/>
      <c r="Y62" s="57"/>
      <c r="Z62" s="57"/>
    </row>
    <row r="63" spans="1:26">
      <c r="A63" s="57"/>
      <c r="B63" s="57"/>
      <c r="C63" s="57"/>
      <c r="D63" s="57"/>
      <c r="E63" s="57"/>
      <c r="F63" s="57"/>
      <c r="G63" s="57"/>
      <c r="H63" s="57"/>
      <c r="I63" s="57"/>
      <c r="J63" s="57"/>
      <c r="K63" s="57"/>
      <c r="L63" s="57"/>
      <c r="M63" s="57"/>
      <c r="N63" s="57"/>
      <c r="O63" s="57"/>
      <c r="P63" s="57"/>
      <c r="Q63" s="57"/>
      <c r="R63" s="57"/>
      <c r="S63" s="57"/>
      <c r="T63" s="57"/>
      <c r="U63" s="57"/>
      <c r="V63" s="57"/>
      <c r="W63" s="57"/>
      <c r="X63" s="57"/>
      <c r="Y63" s="57"/>
      <c r="Z63" s="57"/>
    </row>
    <row r="64" spans="1:26">
      <c r="A64" s="57"/>
      <c r="B64" s="57"/>
      <c r="C64" s="57"/>
      <c r="D64" s="57"/>
      <c r="E64" s="57"/>
      <c r="F64" s="57"/>
      <c r="G64" s="57"/>
      <c r="H64" s="57"/>
      <c r="I64" s="57"/>
      <c r="J64" s="57"/>
      <c r="K64" s="57"/>
      <c r="L64" s="57"/>
      <c r="M64" s="57"/>
      <c r="N64" s="57"/>
      <c r="O64" s="57"/>
      <c r="P64" s="57"/>
      <c r="Q64" s="57"/>
      <c r="R64" s="57"/>
      <c r="S64" s="57"/>
      <c r="T64" s="57"/>
      <c r="U64" s="57"/>
      <c r="V64" s="57"/>
      <c r="W64" s="57"/>
      <c r="X64" s="57"/>
      <c r="Y64" s="57"/>
      <c r="Z64" s="57"/>
    </row>
    <row r="65" spans="1:26">
      <c r="A65" s="57"/>
      <c r="B65" s="57"/>
      <c r="C65" s="57"/>
      <c r="D65" s="57"/>
      <c r="E65" s="57"/>
      <c r="F65" s="57"/>
      <c r="G65" s="57"/>
      <c r="H65" s="57"/>
      <c r="I65" s="57"/>
      <c r="J65" s="57"/>
      <c r="K65" s="57"/>
      <c r="L65" s="57"/>
      <c r="M65" s="57"/>
      <c r="N65" s="57"/>
      <c r="O65" s="57"/>
      <c r="P65" s="57"/>
      <c r="Q65" s="57"/>
      <c r="R65" s="57"/>
      <c r="S65" s="57"/>
      <c r="T65" s="57"/>
      <c r="U65" s="57"/>
      <c r="V65" s="57"/>
      <c r="W65" s="57"/>
      <c r="X65" s="57"/>
      <c r="Y65" s="57"/>
      <c r="Z65" s="57"/>
    </row>
    <row r="66" spans="1:26">
      <c r="A66" s="57"/>
      <c r="B66" s="57"/>
      <c r="C66" s="57"/>
      <c r="D66" s="57"/>
      <c r="E66" s="57"/>
      <c r="F66" s="57"/>
      <c r="G66" s="57"/>
      <c r="H66" s="57"/>
      <c r="I66" s="57"/>
      <c r="J66" s="57"/>
      <c r="K66" s="57"/>
      <c r="L66" s="57"/>
      <c r="M66" s="57"/>
      <c r="N66" s="57"/>
      <c r="O66" s="57"/>
      <c r="P66" s="57"/>
      <c r="Q66" s="57"/>
      <c r="R66" s="57"/>
      <c r="S66" s="57"/>
      <c r="T66" s="57"/>
      <c r="U66" s="57"/>
      <c r="V66" s="57"/>
      <c r="W66" s="57"/>
      <c r="X66" s="57"/>
      <c r="Y66" s="57"/>
      <c r="Z66" s="57"/>
    </row>
    <row r="67" spans="1:26">
      <c r="A67" s="57"/>
      <c r="B67" s="57"/>
      <c r="C67" s="57"/>
      <c r="D67" s="57"/>
      <c r="E67" s="57"/>
      <c r="F67" s="57"/>
      <c r="G67" s="57"/>
      <c r="H67" s="57"/>
      <c r="I67" s="57"/>
      <c r="J67" s="57"/>
      <c r="K67" s="57"/>
      <c r="L67" s="57"/>
      <c r="M67" s="57"/>
      <c r="N67" s="57"/>
      <c r="O67" s="57"/>
      <c r="P67" s="57"/>
      <c r="Q67" s="57"/>
      <c r="R67" s="57"/>
      <c r="S67" s="57"/>
      <c r="T67" s="57"/>
      <c r="U67" s="57"/>
      <c r="V67" s="57"/>
      <c r="W67" s="57"/>
      <c r="X67" s="57"/>
      <c r="Y67" s="57"/>
      <c r="Z67" s="57"/>
    </row>
    <row r="68" spans="1:26">
      <c r="A68" s="57"/>
      <c r="B68" s="57"/>
      <c r="C68" s="57"/>
      <c r="D68" s="57"/>
      <c r="E68" s="57"/>
      <c r="F68" s="57"/>
      <c r="G68" s="57"/>
      <c r="H68" s="57"/>
      <c r="I68" s="57"/>
      <c r="J68" s="57"/>
      <c r="K68" s="57"/>
      <c r="L68" s="57"/>
      <c r="M68" s="57"/>
      <c r="N68" s="57"/>
      <c r="O68" s="57"/>
      <c r="P68" s="57"/>
      <c r="Q68" s="57"/>
      <c r="R68" s="57"/>
      <c r="S68" s="57"/>
      <c r="T68" s="57"/>
      <c r="U68" s="57"/>
      <c r="V68" s="57"/>
      <c r="W68" s="57"/>
      <c r="X68" s="57"/>
      <c r="Y68" s="57"/>
      <c r="Z68" s="57"/>
    </row>
    <row r="69" spans="1:26">
      <c r="A69" s="57"/>
      <c r="B69" s="57"/>
      <c r="C69" s="57"/>
      <c r="D69" s="57"/>
      <c r="E69" s="57"/>
      <c r="F69" s="57"/>
      <c r="G69" s="57"/>
      <c r="H69" s="57"/>
      <c r="I69" s="57"/>
      <c r="J69" s="57"/>
      <c r="K69" s="57"/>
      <c r="L69" s="57"/>
      <c r="M69" s="57"/>
      <c r="N69" s="57"/>
      <c r="O69" s="57"/>
      <c r="P69" s="57"/>
      <c r="Q69" s="57"/>
      <c r="R69" s="57"/>
      <c r="S69" s="57"/>
      <c r="T69" s="57"/>
      <c r="U69" s="57"/>
      <c r="V69" s="57"/>
      <c r="W69" s="57"/>
      <c r="X69" s="57"/>
      <c r="Y69" s="57"/>
      <c r="Z69" s="57"/>
    </row>
    <row r="70" spans="1:26">
      <c r="A70" s="57"/>
      <c r="B70" s="57"/>
      <c r="C70" s="57"/>
      <c r="D70" s="57"/>
      <c r="E70" s="57"/>
      <c r="F70" s="57"/>
      <c r="G70" s="57"/>
      <c r="H70" s="57"/>
      <c r="I70" s="57"/>
      <c r="J70" s="57"/>
      <c r="K70" s="57"/>
      <c r="L70" s="57"/>
      <c r="M70" s="57"/>
      <c r="N70" s="57"/>
      <c r="O70" s="57"/>
      <c r="P70" s="57"/>
      <c r="Q70" s="57"/>
      <c r="R70" s="57"/>
      <c r="S70" s="57"/>
      <c r="T70" s="57"/>
      <c r="U70" s="57"/>
      <c r="V70" s="57"/>
      <c r="W70" s="57"/>
      <c r="X70" s="57"/>
      <c r="Y70" s="57"/>
      <c r="Z70" s="57"/>
    </row>
    <row r="71" spans="1:26">
      <c r="A71" s="57"/>
      <c r="B71" s="57"/>
      <c r="C71" s="57"/>
      <c r="D71" s="57"/>
      <c r="E71" s="57"/>
      <c r="F71" s="57"/>
      <c r="G71" s="57"/>
      <c r="H71" s="57"/>
      <c r="I71" s="57"/>
      <c r="J71" s="57"/>
      <c r="K71" s="57"/>
      <c r="L71" s="57"/>
      <c r="M71" s="57"/>
      <c r="N71" s="57"/>
      <c r="O71" s="57"/>
      <c r="P71" s="57"/>
      <c r="Q71" s="57"/>
      <c r="R71" s="57"/>
      <c r="S71" s="57"/>
      <c r="T71" s="57"/>
      <c r="U71" s="57"/>
      <c r="V71" s="57"/>
      <c r="W71" s="57"/>
      <c r="X71" s="57"/>
      <c r="Y71" s="57"/>
      <c r="Z71" s="57"/>
    </row>
    <row r="72" spans="1:26">
      <c r="A72" s="57"/>
      <c r="B72" s="57"/>
      <c r="C72" s="57"/>
      <c r="D72" s="57"/>
      <c r="E72" s="57"/>
      <c r="F72" s="57"/>
      <c r="G72" s="57"/>
      <c r="H72" s="57"/>
      <c r="I72" s="57"/>
      <c r="J72" s="57"/>
      <c r="K72" s="57"/>
      <c r="L72" s="57"/>
      <c r="M72" s="57"/>
      <c r="N72" s="57"/>
      <c r="O72" s="57"/>
      <c r="P72" s="57"/>
      <c r="Q72" s="57"/>
      <c r="R72" s="57"/>
      <c r="S72" s="57"/>
      <c r="T72" s="57"/>
      <c r="U72" s="57"/>
      <c r="V72" s="57"/>
      <c r="W72" s="57"/>
      <c r="X72" s="57"/>
      <c r="Y72" s="57"/>
      <c r="Z72" s="57"/>
    </row>
    <row r="73" spans="1:26">
      <c r="A73" s="57"/>
      <c r="B73" s="57"/>
      <c r="C73" s="57"/>
      <c r="D73" s="57"/>
      <c r="E73" s="57"/>
      <c r="F73" s="57"/>
      <c r="G73" s="57"/>
      <c r="H73" s="57"/>
      <c r="I73" s="57"/>
      <c r="J73" s="57"/>
      <c r="K73" s="57"/>
      <c r="L73" s="57"/>
      <c r="M73" s="57"/>
      <c r="N73" s="57"/>
      <c r="O73" s="57"/>
      <c r="P73" s="57"/>
      <c r="Q73" s="57"/>
      <c r="R73" s="57"/>
      <c r="S73" s="57"/>
      <c r="T73" s="57"/>
      <c r="U73" s="57"/>
      <c r="V73" s="57"/>
      <c r="W73" s="57"/>
      <c r="X73" s="57"/>
      <c r="Y73" s="57"/>
      <c r="Z73" s="57"/>
    </row>
    <row r="74" spans="1:26">
      <c r="A74" s="57"/>
      <c r="B74" s="57"/>
      <c r="C74" s="57"/>
      <c r="D74" s="57"/>
      <c r="E74" s="57"/>
      <c r="F74" s="57"/>
      <c r="G74" s="57"/>
      <c r="H74" s="57"/>
      <c r="I74" s="57"/>
      <c r="J74" s="57"/>
      <c r="K74" s="57"/>
      <c r="L74" s="57"/>
      <c r="M74" s="57"/>
      <c r="N74" s="57"/>
      <c r="O74" s="57"/>
      <c r="P74" s="57"/>
      <c r="Q74" s="57"/>
      <c r="R74" s="57"/>
      <c r="S74" s="57"/>
      <c r="T74" s="57"/>
      <c r="U74" s="57"/>
      <c r="V74" s="57"/>
      <c r="W74" s="57"/>
      <c r="X74" s="57"/>
      <c r="Y74" s="57"/>
      <c r="Z74" s="57"/>
    </row>
    <row r="75" spans="1:26">
      <c r="A75" s="57"/>
      <c r="B75" s="57"/>
      <c r="C75" s="57"/>
      <c r="D75" s="57"/>
      <c r="E75" s="57"/>
      <c r="F75" s="57"/>
      <c r="G75" s="57"/>
      <c r="H75" s="57"/>
      <c r="I75" s="57"/>
      <c r="J75" s="57"/>
      <c r="K75" s="57"/>
      <c r="L75" s="57"/>
      <c r="M75" s="57"/>
      <c r="N75" s="57"/>
      <c r="O75" s="57"/>
      <c r="P75" s="57"/>
      <c r="Q75" s="57"/>
      <c r="R75" s="57"/>
      <c r="S75" s="57"/>
      <c r="T75" s="57"/>
      <c r="U75" s="57"/>
      <c r="V75" s="57"/>
      <c r="W75" s="57"/>
      <c r="X75" s="57"/>
      <c r="Y75" s="57"/>
      <c r="Z75" s="57"/>
    </row>
    <row r="76" spans="1:26">
      <c r="A76" s="57"/>
      <c r="B76" s="57"/>
      <c r="C76" s="57"/>
      <c r="D76" s="57"/>
      <c r="E76" s="57"/>
      <c r="F76" s="57"/>
      <c r="G76" s="57"/>
      <c r="H76" s="57"/>
      <c r="I76" s="57"/>
      <c r="J76" s="57"/>
      <c r="K76" s="57"/>
      <c r="L76" s="57"/>
      <c r="M76" s="57"/>
      <c r="N76" s="57"/>
      <c r="O76" s="57"/>
      <c r="P76" s="57"/>
      <c r="Q76" s="57"/>
      <c r="R76" s="57"/>
      <c r="S76" s="57"/>
      <c r="T76" s="57"/>
      <c r="U76" s="57"/>
      <c r="V76" s="57"/>
      <c r="W76" s="57"/>
      <c r="X76" s="57"/>
      <c r="Y76" s="57"/>
      <c r="Z76" s="57"/>
    </row>
    <row r="77" spans="1:26">
      <c r="A77" s="57"/>
      <c r="B77" s="57"/>
      <c r="C77" s="57"/>
      <c r="D77" s="57"/>
      <c r="E77" s="57"/>
      <c r="F77" s="57"/>
      <c r="G77" s="57"/>
      <c r="H77" s="57"/>
      <c r="I77" s="57"/>
      <c r="J77" s="57"/>
      <c r="K77" s="57"/>
      <c r="L77" s="57"/>
      <c r="M77" s="57"/>
      <c r="N77" s="57"/>
      <c r="O77" s="57"/>
      <c r="P77" s="57"/>
      <c r="Q77" s="57"/>
      <c r="R77" s="57"/>
      <c r="S77" s="57"/>
      <c r="T77" s="57"/>
      <c r="U77" s="57"/>
      <c r="V77" s="57"/>
      <c r="W77" s="57"/>
      <c r="X77" s="57"/>
      <c r="Y77" s="57"/>
      <c r="Z77" s="57"/>
    </row>
    <row r="78" spans="1:26">
      <c r="A78" s="57"/>
      <c r="B78" s="57"/>
      <c r="C78" s="57"/>
      <c r="D78" s="57"/>
      <c r="E78" s="57"/>
      <c r="F78" s="57"/>
      <c r="G78" s="57"/>
      <c r="H78" s="57"/>
      <c r="I78" s="57"/>
      <c r="J78" s="57"/>
      <c r="K78" s="57"/>
      <c r="L78" s="57"/>
      <c r="M78" s="57"/>
      <c r="N78" s="57"/>
      <c r="O78" s="57"/>
      <c r="P78" s="57"/>
      <c r="Q78" s="57"/>
      <c r="R78" s="57"/>
      <c r="S78" s="57"/>
      <c r="T78" s="57"/>
      <c r="U78" s="57"/>
      <c r="V78" s="57"/>
      <c r="W78" s="57"/>
      <c r="X78" s="57"/>
      <c r="Y78" s="57"/>
      <c r="Z78" s="57"/>
    </row>
    <row r="79" spans="1:26">
      <c r="A79" s="57"/>
      <c r="B79" s="57"/>
      <c r="C79" s="57"/>
      <c r="D79" s="57"/>
      <c r="E79" s="57"/>
      <c r="F79" s="57"/>
      <c r="G79" s="57"/>
      <c r="H79" s="57"/>
      <c r="I79" s="57"/>
      <c r="J79" s="57"/>
      <c r="K79" s="57"/>
      <c r="L79" s="57"/>
      <c r="M79" s="57"/>
      <c r="N79" s="57"/>
      <c r="O79" s="57"/>
      <c r="P79" s="57"/>
      <c r="Q79" s="57"/>
      <c r="R79" s="57"/>
      <c r="S79" s="57"/>
      <c r="T79" s="57"/>
      <c r="U79" s="57"/>
      <c r="V79" s="57"/>
      <c r="W79" s="57"/>
      <c r="X79" s="57"/>
      <c r="Y79" s="57"/>
      <c r="Z79" s="57"/>
    </row>
    <row r="80" spans="1:26">
      <c r="A80" s="57"/>
      <c r="B80" s="57"/>
      <c r="C80" s="57"/>
      <c r="D80" s="57"/>
      <c r="E80" s="57"/>
      <c r="F80" s="57"/>
      <c r="G80" s="57"/>
      <c r="H80" s="57"/>
      <c r="I80" s="57"/>
      <c r="J80" s="57"/>
      <c r="K80" s="57"/>
      <c r="L80" s="57"/>
      <c r="M80" s="57"/>
      <c r="N80" s="57"/>
      <c r="O80" s="57"/>
      <c r="P80" s="57"/>
      <c r="Q80" s="57"/>
      <c r="R80" s="57"/>
      <c r="S80" s="57"/>
      <c r="T80" s="57"/>
      <c r="U80" s="57"/>
      <c r="V80" s="57"/>
      <c r="W80" s="57"/>
      <c r="X80" s="57"/>
      <c r="Y80" s="57"/>
      <c r="Z80" s="57"/>
    </row>
    <row r="81" spans="1:26">
      <c r="A81" s="57"/>
      <c r="B81" s="57"/>
      <c r="C81" s="57"/>
      <c r="D81" s="57"/>
      <c r="E81" s="57"/>
      <c r="F81" s="57"/>
      <c r="G81" s="57"/>
      <c r="H81" s="57"/>
      <c r="I81" s="57"/>
      <c r="J81" s="57"/>
      <c r="K81" s="57"/>
      <c r="L81" s="57"/>
      <c r="M81" s="57"/>
      <c r="N81" s="57"/>
      <c r="O81" s="57"/>
      <c r="P81" s="57"/>
      <c r="Q81" s="57"/>
      <c r="R81" s="57"/>
      <c r="S81" s="57"/>
      <c r="T81" s="57"/>
      <c r="U81" s="57"/>
      <c r="V81" s="57"/>
      <c r="W81" s="57"/>
      <c r="X81" s="57"/>
      <c r="Y81" s="57"/>
      <c r="Z81" s="57"/>
    </row>
    <row r="82" spans="1:26">
      <c r="A82" s="57"/>
      <c r="B82" s="57"/>
      <c r="C82" s="57"/>
      <c r="D82" s="57"/>
      <c r="E82" s="57"/>
      <c r="F82" s="57"/>
      <c r="G82" s="57"/>
      <c r="H82" s="57"/>
      <c r="I82" s="57"/>
      <c r="J82" s="57"/>
      <c r="K82" s="57"/>
      <c r="L82" s="57"/>
      <c r="M82" s="57"/>
      <c r="N82" s="57"/>
      <c r="O82" s="57"/>
      <c r="P82" s="57"/>
      <c r="Q82" s="57"/>
      <c r="R82" s="57"/>
      <c r="S82" s="57"/>
      <c r="T82" s="57"/>
      <c r="U82" s="57"/>
      <c r="V82" s="57"/>
      <c r="W82" s="57"/>
      <c r="X82" s="57"/>
      <c r="Y82" s="57"/>
      <c r="Z82" s="57"/>
    </row>
  </sheetData>
  <sheetProtection algorithmName="SHA-512" hashValue="H9beQOpr8+fIb3Uld82Kwq7lzisTCaO4lY7mD+BVyJDGVM3tJRYsYdoie40rw8rt1wjhrkAJ3pIGtWXmfoBPUQ==" saltValue="hyxnu+TuN8ilddDcAc/aBA==" spinCount="100000" sheet="1" objects="1" scenarios="1"/>
  <protectedRanges>
    <protectedRange sqref="S8:S9 D7:S7 N9 S22" name="Range1"/>
    <protectedRange sqref="S18" name="Range3"/>
    <protectedRange sqref="S20:S21 G22:M22 H26:M27 S24" name="Range5"/>
    <protectedRange sqref="J31" name="Range9"/>
    <protectedRange sqref="O22 O26:O27" name="Range5_4"/>
  </protectedRanges>
  <mergeCells count="53">
    <mergeCell ref="U5:W5"/>
    <mergeCell ref="C7:D7"/>
    <mergeCell ref="O8:R8"/>
    <mergeCell ref="O9:R9"/>
    <mergeCell ref="C11:F11"/>
    <mergeCell ref="G11:L11"/>
    <mergeCell ref="M11:R11"/>
    <mergeCell ref="C13:F13"/>
    <mergeCell ref="G13:H13"/>
    <mergeCell ref="I13:L13"/>
    <mergeCell ref="M13:N13"/>
    <mergeCell ref="O13:R13"/>
    <mergeCell ref="C12:F12"/>
    <mergeCell ref="G12:H12"/>
    <mergeCell ref="I12:L12"/>
    <mergeCell ref="M12:N12"/>
    <mergeCell ref="O12:R12"/>
    <mergeCell ref="C15:F15"/>
    <mergeCell ref="G15:H15"/>
    <mergeCell ref="I15:L15"/>
    <mergeCell ref="M15:N15"/>
    <mergeCell ref="O15:R15"/>
    <mergeCell ref="C14:F14"/>
    <mergeCell ref="G14:H14"/>
    <mergeCell ref="I14:L14"/>
    <mergeCell ref="M14:N14"/>
    <mergeCell ref="O14:R14"/>
    <mergeCell ref="O16:R16"/>
    <mergeCell ref="C17:F17"/>
    <mergeCell ref="G17:H17"/>
    <mergeCell ref="I17:L17"/>
    <mergeCell ref="M17:N17"/>
    <mergeCell ref="O17:R17"/>
    <mergeCell ref="C16:F16"/>
    <mergeCell ref="G16:H16"/>
    <mergeCell ref="I16:L16"/>
    <mergeCell ref="M16:N16"/>
    <mergeCell ref="C19:J19"/>
    <mergeCell ref="O20:R21"/>
    <mergeCell ref="H21:M21"/>
    <mergeCell ref="C31:G31"/>
    <mergeCell ref="O31:R31"/>
    <mergeCell ref="C23:I23"/>
    <mergeCell ref="H20:M20"/>
    <mergeCell ref="N20:N21"/>
    <mergeCell ref="J37:L37"/>
    <mergeCell ref="M37:Q37"/>
    <mergeCell ref="H24:M24"/>
    <mergeCell ref="N24:N25"/>
    <mergeCell ref="O24:R25"/>
    <mergeCell ref="H25:M25"/>
    <mergeCell ref="C28:I28"/>
    <mergeCell ref="O28:R28"/>
  </mergeCells>
  <printOptions horizontalCentered="1"/>
  <pageMargins left="0.74803149606299213" right="0.70866141732283472" top="0.74803149606299213" bottom="0.9055118110236221" header="0.39370078740157483" footer="0.39370078740157483"/>
  <pageSetup paperSize="9" scale="92" orientation="portrait" r:id="rId1"/>
  <headerFooter scaleWithDoc="0" alignWithMargins="0">
    <oddHeader xml:space="preserve">&amp;L&amp;"-,Regular"&amp;8&amp;F&amp;R&amp;"-,Regular"&amp;8&amp;A
____________________________________________________________________________________________
</oddHeader>
    <oddFooter>&amp;L&amp;"-,Regular"&amp;8____________________________________________________________________________________________
NZ Transport Agency’s Economic evaluation manual 
Effective from Jul 2013</oddFooter>
  </headerFooter>
  <drawing r:id="rId2"/>
  <legacyDrawing r:id="rId3"/>
</worksheet>
</file>

<file path=xl/worksheets/sheet1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F2E8E95D-28D7-49E7-A91A-B90550C97516}">
  <sheetPr>
    <pageSetUpPr fitToPage="1"/>
  </sheetPr>
  <dimension ref="A1:AE83"/>
  <sheetViews>
    <sheetView zoomScaleNormal="100" workbookViewId="0"/>
  </sheetViews>
  <sheetFormatPr defaultRowHeight="12.6"/>
  <cols>
    <col min="1" max="1" width="4" style="261" customWidth="1"/>
    <col min="2" max="3" width="8.09765625" style="55" customWidth="1"/>
    <col min="4" max="4" width="5.5" style="55" customWidth="1"/>
    <col min="5" max="5" width="5.8984375" style="55" customWidth="1"/>
    <col min="6" max="8" width="3.8984375" style="55" customWidth="1"/>
    <col min="9" max="9" width="6.3984375" style="55" customWidth="1"/>
    <col min="10" max="10" width="4.5" style="55" customWidth="1"/>
    <col min="11" max="11" width="7.09765625" style="55" customWidth="1"/>
    <col min="12" max="17" width="4.5" style="55" customWidth="1"/>
    <col min="18" max="18" width="5.5" style="55" customWidth="1"/>
    <col min="19" max="19" width="4.3984375" style="50" customWidth="1"/>
    <col min="20" max="20" width="24.19921875" style="55" customWidth="1"/>
    <col min="21" max="21" width="9.3984375" style="55" customWidth="1"/>
    <col min="22" max="23" width="9" style="55"/>
    <col min="24" max="24" width="11.3984375" style="55" customWidth="1"/>
    <col min="25" max="256" width="9" style="55"/>
    <col min="257" max="257" width="4" style="55" customWidth="1"/>
    <col min="258" max="259" width="8.09765625" style="55" customWidth="1"/>
    <col min="260" max="260" width="5.5" style="55" customWidth="1"/>
    <col min="261" max="265" width="3.8984375" style="55" customWidth="1"/>
    <col min="266" max="273" width="4.5" style="55" customWidth="1"/>
    <col min="274" max="275" width="2.5" style="55" customWidth="1"/>
    <col min="276" max="276" width="24.19921875" style="55" customWidth="1"/>
    <col min="277" max="277" width="9.3984375" style="55" customWidth="1"/>
    <col min="278" max="512" width="9" style="55"/>
    <col min="513" max="513" width="4" style="55" customWidth="1"/>
    <col min="514" max="515" width="8.09765625" style="55" customWidth="1"/>
    <col min="516" max="516" width="5.5" style="55" customWidth="1"/>
    <col min="517" max="521" width="3.8984375" style="55" customWidth="1"/>
    <col min="522" max="529" width="4.5" style="55" customWidth="1"/>
    <col min="530" max="531" width="2.5" style="55" customWidth="1"/>
    <col min="532" max="532" width="24.19921875" style="55" customWidth="1"/>
    <col min="533" max="533" width="9.3984375" style="55" customWidth="1"/>
    <col min="534" max="768" width="9" style="55"/>
    <col min="769" max="769" width="4" style="55" customWidth="1"/>
    <col min="770" max="771" width="8.09765625" style="55" customWidth="1"/>
    <col min="772" max="772" width="5.5" style="55" customWidth="1"/>
    <col min="773" max="777" width="3.8984375" style="55" customWidth="1"/>
    <col min="778" max="785" width="4.5" style="55" customWidth="1"/>
    <col min="786" max="787" width="2.5" style="55" customWidth="1"/>
    <col min="788" max="788" width="24.19921875" style="55" customWidth="1"/>
    <col min="789" max="789" width="9.3984375" style="55" customWidth="1"/>
    <col min="790" max="1024" width="9" style="55"/>
    <col min="1025" max="1025" width="4" style="55" customWidth="1"/>
    <col min="1026" max="1027" width="8.09765625" style="55" customWidth="1"/>
    <col min="1028" max="1028" width="5.5" style="55" customWidth="1"/>
    <col min="1029" max="1033" width="3.8984375" style="55" customWidth="1"/>
    <col min="1034" max="1041" width="4.5" style="55" customWidth="1"/>
    <col min="1042" max="1043" width="2.5" style="55" customWidth="1"/>
    <col min="1044" max="1044" width="24.19921875" style="55" customWidth="1"/>
    <col min="1045" max="1045" width="9.3984375" style="55" customWidth="1"/>
    <col min="1046" max="1280" width="9" style="55"/>
    <col min="1281" max="1281" width="4" style="55" customWidth="1"/>
    <col min="1282" max="1283" width="8.09765625" style="55" customWidth="1"/>
    <col min="1284" max="1284" width="5.5" style="55" customWidth="1"/>
    <col min="1285" max="1289" width="3.8984375" style="55" customWidth="1"/>
    <col min="1290" max="1297" width="4.5" style="55" customWidth="1"/>
    <col min="1298" max="1299" width="2.5" style="55" customWidth="1"/>
    <col min="1300" max="1300" width="24.19921875" style="55" customWidth="1"/>
    <col min="1301" max="1301" width="9.3984375" style="55" customWidth="1"/>
    <col min="1302" max="1536" width="9" style="55"/>
    <col min="1537" max="1537" width="4" style="55" customWidth="1"/>
    <col min="1538" max="1539" width="8.09765625" style="55" customWidth="1"/>
    <col min="1540" max="1540" width="5.5" style="55" customWidth="1"/>
    <col min="1541" max="1545" width="3.8984375" style="55" customWidth="1"/>
    <col min="1546" max="1553" width="4.5" style="55" customWidth="1"/>
    <col min="1554" max="1555" width="2.5" style="55" customWidth="1"/>
    <col min="1556" max="1556" width="24.19921875" style="55" customWidth="1"/>
    <col min="1557" max="1557" width="9.3984375" style="55" customWidth="1"/>
    <col min="1558" max="1792" width="9" style="55"/>
    <col min="1793" max="1793" width="4" style="55" customWidth="1"/>
    <col min="1794" max="1795" width="8.09765625" style="55" customWidth="1"/>
    <col min="1796" max="1796" width="5.5" style="55" customWidth="1"/>
    <col min="1797" max="1801" width="3.8984375" style="55" customWidth="1"/>
    <col min="1802" max="1809" width="4.5" style="55" customWidth="1"/>
    <col min="1810" max="1811" width="2.5" style="55" customWidth="1"/>
    <col min="1812" max="1812" width="24.19921875" style="55" customWidth="1"/>
    <col min="1813" max="1813" width="9.3984375" style="55" customWidth="1"/>
    <col min="1814" max="2048" width="9" style="55"/>
    <col min="2049" max="2049" width="4" style="55" customWidth="1"/>
    <col min="2050" max="2051" width="8.09765625" style="55" customWidth="1"/>
    <col min="2052" max="2052" width="5.5" style="55" customWidth="1"/>
    <col min="2053" max="2057" width="3.8984375" style="55" customWidth="1"/>
    <col min="2058" max="2065" width="4.5" style="55" customWidth="1"/>
    <col min="2066" max="2067" width="2.5" style="55" customWidth="1"/>
    <col min="2068" max="2068" width="24.19921875" style="55" customWidth="1"/>
    <col min="2069" max="2069" width="9.3984375" style="55" customWidth="1"/>
    <col min="2070" max="2304" width="9" style="55"/>
    <col min="2305" max="2305" width="4" style="55" customWidth="1"/>
    <col min="2306" max="2307" width="8.09765625" style="55" customWidth="1"/>
    <col min="2308" max="2308" width="5.5" style="55" customWidth="1"/>
    <col min="2309" max="2313" width="3.8984375" style="55" customWidth="1"/>
    <col min="2314" max="2321" width="4.5" style="55" customWidth="1"/>
    <col min="2322" max="2323" width="2.5" style="55" customWidth="1"/>
    <col min="2324" max="2324" width="24.19921875" style="55" customWidth="1"/>
    <col min="2325" max="2325" width="9.3984375" style="55" customWidth="1"/>
    <col min="2326" max="2560" width="9" style="55"/>
    <col min="2561" max="2561" width="4" style="55" customWidth="1"/>
    <col min="2562" max="2563" width="8.09765625" style="55" customWidth="1"/>
    <col min="2564" max="2564" width="5.5" style="55" customWidth="1"/>
    <col min="2565" max="2569" width="3.8984375" style="55" customWidth="1"/>
    <col min="2570" max="2577" width="4.5" style="55" customWidth="1"/>
    <col min="2578" max="2579" width="2.5" style="55" customWidth="1"/>
    <col min="2580" max="2580" width="24.19921875" style="55" customWidth="1"/>
    <col min="2581" max="2581" width="9.3984375" style="55" customWidth="1"/>
    <col min="2582" max="2816" width="9" style="55"/>
    <col min="2817" max="2817" width="4" style="55" customWidth="1"/>
    <col min="2818" max="2819" width="8.09765625" style="55" customWidth="1"/>
    <col min="2820" max="2820" width="5.5" style="55" customWidth="1"/>
    <col min="2821" max="2825" width="3.8984375" style="55" customWidth="1"/>
    <col min="2826" max="2833" width="4.5" style="55" customWidth="1"/>
    <col min="2834" max="2835" width="2.5" style="55" customWidth="1"/>
    <col min="2836" max="2836" width="24.19921875" style="55" customWidth="1"/>
    <col min="2837" max="2837" width="9.3984375" style="55" customWidth="1"/>
    <col min="2838" max="3072" width="9" style="55"/>
    <col min="3073" max="3073" width="4" style="55" customWidth="1"/>
    <col min="3074" max="3075" width="8.09765625" style="55" customWidth="1"/>
    <col min="3076" max="3076" width="5.5" style="55" customWidth="1"/>
    <col min="3077" max="3081" width="3.8984375" style="55" customWidth="1"/>
    <col min="3082" max="3089" width="4.5" style="55" customWidth="1"/>
    <col min="3090" max="3091" width="2.5" style="55" customWidth="1"/>
    <col min="3092" max="3092" width="24.19921875" style="55" customWidth="1"/>
    <col min="3093" max="3093" width="9.3984375" style="55" customWidth="1"/>
    <col min="3094" max="3328" width="9" style="55"/>
    <col min="3329" max="3329" width="4" style="55" customWidth="1"/>
    <col min="3330" max="3331" width="8.09765625" style="55" customWidth="1"/>
    <col min="3332" max="3332" width="5.5" style="55" customWidth="1"/>
    <col min="3333" max="3337" width="3.8984375" style="55" customWidth="1"/>
    <col min="3338" max="3345" width="4.5" style="55" customWidth="1"/>
    <col min="3346" max="3347" width="2.5" style="55" customWidth="1"/>
    <col min="3348" max="3348" width="24.19921875" style="55" customWidth="1"/>
    <col min="3349" max="3349" width="9.3984375" style="55" customWidth="1"/>
    <col min="3350" max="3584" width="9" style="55"/>
    <col min="3585" max="3585" width="4" style="55" customWidth="1"/>
    <col min="3586" max="3587" width="8.09765625" style="55" customWidth="1"/>
    <col min="3588" max="3588" width="5.5" style="55" customWidth="1"/>
    <col min="3589" max="3593" width="3.8984375" style="55" customWidth="1"/>
    <col min="3594" max="3601" width="4.5" style="55" customWidth="1"/>
    <col min="3602" max="3603" width="2.5" style="55" customWidth="1"/>
    <col min="3604" max="3604" width="24.19921875" style="55" customWidth="1"/>
    <col min="3605" max="3605" width="9.3984375" style="55" customWidth="1"/>
    <col min="3606" max="3840" width="9" style="55"/>
    <col min="3841" max="3841" width="4" style="55" customWidth="1"/>
    <col min="3842" max="3843" width="8.09765625" style="55" customWidth="1"/>
    <col min="3844" max="3844" width="5.5" style="55" customWidth="1"/>
    <col min="3845" max="3849" width="3.8984375" style="55" customWidth="1"/>
    <col min="3850" max="3857" width="4.5" style="55" customWidth="1"/>
    <col min="3858" max="3859" width="2.5" style="55" customWidth="1"/>
    <col min="3860" max="3860" width="24.19921875" style="55" customWidth="1"/>
    <col min="3861" max="3861" width="9.3984375" style="55" customWidth="1"/>
    <col min="3862" max="4096" width="9" style="55"/>
    <col min="4097" max="4097" width="4" style="55" customWidth="1"/>
    <col min="4098" max="4099" width="8.09765625" style="55" customWidth="1"/>
    <col min="4100" max="4100" width="5.5" style="55" customWidth="1"/>
    <col min="4101" max="4105" width="3.8984375" style="55" customWidth="1"/>
    <col min="4106" max="4113" width="4.5" style="55" customWidth="1"/>
    <col min="4114" max="4115" width="2.5" style="55" customWidth="1"/>
    <col min="4116" max="4116" width="24.19921875" style="55" customWidth="1"/>
    <col min="4117" max="4117" width="9.3984375" style="55" customWidth="1"/>
    <col min="4118" max="4352" width="9" style="55"/>
    <col min="4353" max="4353" width="4" style="55" customWidth="1"/>
    <col min="4354" max="4355" width="8.09765625" style="55" customWidth="1"/>
    <col min="4356" max="4356" width="5.5" style="55" customWidth="1"/>
    <col min="4357" max="4361" width="3.8984375" style="55" customWidth="1"/>
    <col min="4362" max="4369" width="4.5" style="55" customWidth="1"/>
    <col min="4370" max="4371" width="2.5" style="55" customWidth="1"/>
    <col min="4372" max="4372" width="24.19921875" style="55" customWidth="1"/>
    <col min="4373" max="4373" width="9.3984375" style="55" customWidth="1"/>
    <col min="4374" max="4608" width="9" style="55"/>
    <col min="4609" max="4609" width="4" style="55" customWidth="1"/>
    <col min="4610" max="4611" width="8.09765625" style="55" customWidth="1"/>
    <col min="4612" max="4612" width="5.5" style="55" customWidth="1"/>
    <col min="4613" max="4617" width="3.8984375" style="55" customWidth="1"/>
    <col min="4618" max="4625" width="4.5" style="55" customWidth="1"/>
    <col min="4626" max="4627" width="2.5" style="55" customWidth="1"/>
    <col min="4628" max="4628" width="24.19921875" style="55" customWidth="1"/>
    <col min="4629" max="4629" width="9.3984375" style="55" customWidth="1"/>
    <col min="4630" max="4864" width="9" style="55"/>
    <col min="4865" max="4865" width="4" style="55" customWidth="1"/>
    <col min="4866" max="4867" width="8.09765625" style="55" customWidth="1"/>
    <col min="4868" max="4868" width="5.5" style="55" customWidth="1"/>
    <col min="4869" max="4873" width="3.8984375" style="55" customWidth="1"/>
    <col min="4874" max="4881" width="4.5" style="55" customWidth="1"/>
    <col min="4882" max="4883" width="2.5" style="55" customWidth="1"/>
    <col min="4884" max="4884" width="24.19921875" style="55" customWidth="1"/>
    <col min="4885" max="4885" width="9.3984375" style="55" customWidth="1"/>
    <col min="4886" max="5120" width="9" style="55"/>
    <col min="5121" max="5121" width="4" style="55" customWidth="1"/>
    <col min="5122" max="5123" width="8.09765625" style="55" customWidth="1"/>
    <col min="5124" max="5124" width="5.5" style="55" customWidth="1"/>
    <col min="5125" max="5129" width="3.8984375" style="55" customWidth="1"/>
    <col min="5130" max="5137" width="4.5" style="55" customWidth="1"/>
    <col min="5138" max="5139" width="2.5" style="55" customWidth="1"/>
    <col min="5140" max="5140" width="24.19921875" style="55" customWidth="1"/>
    <col min="5141" max="5141" width="9.3984375" style="55" customWidth="1"/>
    <col min="5142" max="5376" width="9" style="55"/>
    <col min="5377" max="5377" width="4" style="55" customWidth="1"/>
    <col min="5378" max="5379" width="8.09765625" style="55" customWidth="1"/>
    <col min="5380" max="5380" width="5.5" style="55" customWidth="1"/>
    <col min="5381" max="5385" width="3.8984375" style="55" customWidth="1"/>
    <col min="5386" max="5393" width="4.5" style="55" customWidth="1"/>
    <col min="5394" max="5395" width="2.5" style="55" customWidth="1"/>
    <col min="5396" max="5396" width="24.19921875" style="55" customWidth="1"/>
    <col min="5397" max="5397" width="9.3984375" style="55" customWidth="1"/>
    <col min="5398" max="5632" width="9" style="55"/>
    <col min="5633" max="5633" width="4" style="55" customWidth="1"/>
    <col min="5634" max="5635" width="8.09765625" style="55" customWidth="1"/>
    <col min="5636" max="5636" width="5.5" style="55" customWidth="1"/>
    <col min="5637" max="5641" width="3.8984375" style="55" customWidth="1"/>
    <col min="5642" max="5649" width="4.5" style="55" customWidth="1"/>
    <col min="5650" max="5651" width="2.5" style="55" customWidth="1"/>
    <col min="5652" max="5652" width="24.19921875" style="55" customWidth="1"/>
    <col min="5653" max="5653" width="9.3984375" style="55" customWidth="1"/>
    <col min="5654" max="5888" width="9" style="55"/>
    <col min="5889" max="5889" width="4" style="55" customWidth="1"/>
    <col min="5890" max="5891" width="8.09765625" style="55" customWidth="1"/>
    <col min="5892" max="5892" width="5.5" style="55" customWidth="1"/>
    <col min="5893" max="5897" width="3.8984375" style="55" customWidth="1"/>
    <col min="5898" max="5905" width="4.5" style="55" customWidth="1"/>
    <col min="5906" max="5907" width="2.5" style="55" customWidth="1"/>
    <col min="5908" max="5908" width="24.19921875" style="55" customWidth="1"/>
    <col min="5909" max="5909" width="9.3984375" style="55" customWidth="1"/>
    <col min="5910" max="6144" width="9" style="55"/>
    <col min="6145" max="6145" width="4" style="55" customWidth="1"/>
    <col min="6146" max="6147" width="8.09765625" style="55" customWidth="1"/>
    <col min="6148" max="6148" width="5.5" style="55" customWidth="1"/>
    <col min="6149" max="6153" width="3.8984375" style="55" customWidth="1"/>
    <col min="6154" max="6161" width="4.5" style="55" customWidth="1"/>
    <col min="6162" max="6163" width="2.5" style="55" customWidth="1"/>
    <col min="6164" max="6164" width="24.19921875" style="55" customWidth="1"/>
    <col min="6165" max="6165" width="9.3984375" style="55" customWidth="1"/>
    <col min="6166" max="6400" width="9" style="55"/>
    <col min="6401" max="6401" width="4" style="55" customWidth="1"/>
    <col min="6402" max="6403" width="8.09765625" style="55" customWidth="1"/>
    <col min="6404" max="6404" width="5.5" style="55" customWidth="1"/>
    <col min="6405" max="6409" width="3.8984375" style="55" customWidth="1"/>
    <col min="6410" max="6417" width="4.5" style="55" customWidth="1"/>
    <col min="6418" max="6419" width="2.5" style="55" customWidth="1"/>
    <col min="6420" max="6420" width="24.19921875" style="55" customWidth="1"/>
    <col min="6421" max="6421" width="9.3984375" style="55" customWidth="1"/>
    <col min="6422" max="6656" width="9" style="55"/>
    <col min="6657" max="6657" width="4" style="55" customWidth="1"/>
    <col min="6658" max="6659" width="8.09765625" style="55" customWidth="1"/>
    <col min="6660" max="6660" width="5.5" style="55" customWidth="1"/>
    <col min="6661" max="6665" width="3.8984375" style="55" customWidth="1"/>
    <col min="6666" max="6673" width="4.5" style="55" customWidth="1"/>
    <col min="6674" max="6675" width="2.5" style="55" customWidth="1"/>
    <col min="6676" max="6676" width="24.19921875" style="55" customWidth="1"/>
    <col min="6677" max="6677" width="9.3984375" style="55" customWidth="1"/>
    <col min="6678" max="6912" width="9" style="55"/>
    <col min="6913" max="6913" width="4" style="55" customWidth="1"/>
    <col min="6914" max="6915" width="8.09765625" style="55" customWidth="1"/>
    <col min="6916" max="6916" width="5.5" style="55" customWidth="1"/>
    <col min="6917" max="6921" width="3.8984375" style="55" customWidth="1"/>
    <col min="6922" max="6929" width="4.5" style="55" customWidth="1"/>
    <col min="6930" max="6931" width="2.5" style="55" customWidth="1"/>
    <col min="6932" max="6932" width="24.19921875" style="55" customWidth="1"/>
    <col min="6933" max="6933" width="9.3984375" style="55" customWidth="1"/>
    <col min="6934" max="7168" width="9" style="55"/>
    <col min="7169" max="7169" width="4" style="55" customWidth="1"/>
    <col min="7170" max="7171" width="8.09765625" style="55" customWidth="1"/>
    <col min="7172" max="7172" width="5.5" style="55" customWidth="1"/>
    <col min="7173" max="7177" width="3.8984375" style="55" customWidth="1"/>
    <col min="7178" max="7185" width="4.5" style="55" customWidth="1"/>
    <col min="7186" max="7187" width="2.5" style="55" customWidth="1"/>
    <col min="7188" max="7188" width="24.19921875" style="55" customWidth="1"/>
    <col min="7189" max="7189" width="9.3984375" style="55" customWidth="1"/>
    <col min="7190" max="7424" width="9" style="55"/>
    <col min="7425" max="7425" width="4" style="55" customWidth="1"/>
    <col min="7426" max="7427" width="8.09765625" style="55" customWidth="1"/>
    <col min="7428" max="7428" width="5.5" style="55" customWidth="1"/>
    <col min="7429" max="7433" width="3.8984375" style="55" customWidth="1"/>
    <col min="7434" max="7441" width="4.5" style="55" customWidth="1"/>
    <col min="7442" max="7443" width="2.5" style="55" customWidth="1"/>
    <col min="7444" max="7444" width="24.19921875" style="55" customWidth="1"/>
    <col min="7445" max="7445" width="9.3984375" style="55" customWidth="1"/>
    <col min="7446" max="7680" width="9" style="55"/>
    <col min="7681" max="7681" width="4" style="55" customWidth="1"/>
    <col min="7682" max="7683" width="8.09765625" style="55" customWidth="1"/>
    <col min="7684" max="7684" width="5.5" style="55" customWidth="1"/>
    <col min="7685" max="7689" width="3.8984375" style="55" customWidth="1"/>
    <col min="7690" max="7697" width="4.5" style="55" customWidth="1"/>
    <col min="7698" max="7699" width="2.5" style="55" customWidth="1"/>
    <col min="7700" max="7700" width="24.19921875" style="55" customWidth="1"/>
    <col min="7701" max="7701" width="9.3984375" style="55" customWidth="1"/>
    <col min="7702" max="7936" width="9" style="55"/>
    <col min="7937" max="7937" width="4" style="55" customWidth="1"/>
    <col min="7938" max="7939" width="8.09765625" style="55" customWidth="1"/>
    <col min="7940" max="7940" width="5.5" style="55" customWidth="1"/>
    <col min="7941" max="7945" width="3.8984375" style="55" customWidth="1"/>
    <col min="7946" max="7953" width="4.5" style="55" customWidth="1"/>
    <col min="7954" max="7955" width="2.5" style="55" customWidth="1"/>
    <col min="7956" max="7956" width="24.19921875" style="55" customWidth="1"/>
    <col min="7957" max="7957" width="9.3984375" style="55" customWidth="1"/>
    <col min="7958" max="8192" width="9" style="55"/>
    <col min="8193" max="8193" width="4" style="55" customWidth="1"/>
    <col min="8194" max="8195" width="8.09765625" style="55" customWidth="1"/>
    <col min="8196" max="8196" width="5.5" style="55" customWidth="1"/>
    <col min="8197" max="8201" width="3.8984375" style="55" customWidth="1"/>
    <col min="8202" max="8209" width="4.5" style="55" customWidth="1"/>
    <col min="8210" max="8211" width="2.5" style="55" customWidth="1"/>
    <col min="8212" max="8212" width="24.19921875" style="55" customWidth="1"/>
    <col min="8213" max="8213" width="9.3984375" style="55" customWidth="1"/>
    <col min="8214" max="8448" width="9" style="55"/>
    <col min="8449" max="8449" width="4" style="55" customWidth="1"/>
    <col min="8450" max="8451" width="8.09765625" style="55" customWidth="1"/>
    <col min="8452" max="8452" width="5.5" style="55" customWidth="1"/>
    <col min="8453" max="8457" width="3.8984375" style="55" customWidth="1"/>
    <col min="8458" max="8465" width="4.5" style="55" customWidth="1"/>
    <col min="8466" max="8467" width="2.5" style="55" customWidth="1"/>
    <col min="8468" max="8468" width="24.19921875" style="55" customWidth="1"/>
    <col min="8469" max="8469" width="9.3984375" style="55" customWidth="1"/>
    <col min="8470" max="8704" width="9" style="55"/>
    <col min="8705" max="8705" width="4" style="55" customWidth="1"/>
    <col min="8706" max="8707" width="8.09765625" style="55" customWidth="1"/>
    <col min="8708" max="8708" width="5.5" style="55" customWidth="1"/>
    <col min="8709" max="8713" width="3.8984375" style="55" customWidth="1"/>
    <col min="8714" max="8721" width="4.5" style="55" customWidth="1"/>
    <col min="8722" max="8723" width="2.5" style="55" customWidth="1"/>
    <col min="8724" max="8724" width="24.19921875" style="55" customWidth="1"/>
    <col min="8725" max="8725" width="9.3984375" style="55" customWidth="1"/>
    <col min="8726" max="8960" width="9" style="55"/>
    <col min="8961" max="8961" width="4" style="55" customWidth="1"/>
    <col min="8962" max="8963" width="8.09765625" style="55" customWidth="1"/>
    <col min="8964" max="8964" width="5.5" style="55" customWidth="1"/>
    <col min="8965" max="8969" width="3.8984375" style="55" customWidth="1"/>
    <col min="8970" max="8977" width="4.5" style="55" customWidth="1"/>
    <col min="8978" max="8979" width="2.5" style="55" customWidth="1"/>
    <col min="8980" max="8980" width="24.19921875" style="55" customWidth="1"/>
    <col min="8981" max="8981" width="9.3984375" style="55" customWidth="1"/>
    <col min="8982" max="9216" width="9" style="55"/>
    <col min="9217" max="9217" width="4" style="55" customWidth="1"/>
    <col min="9218" max="9219" width="8.09765625" style="55" customWidth="1"/>
    <col min="9220" max="9220" width="5.5" style="55" customWidth="1"/>
    <col min="9221" max="9225" width="3.8984375" style="55" customWidth="1"/>
    <col min="9226" max="9233" width="4.5" style="55" customWidth="1"/>
    <col min="9234" max="9235" width="2.5" style="55" customWidth="1"/>
    <col min="9236" max="9236" width="24.19921875" style="55" customWidth="1"/>
    <col min="9237" max="9237" width="9.3984375" style="55" customWidth="1"/>
    <col min="9238" max="9472" width="9" style="55"/>
    <col min="9473" max="9473" width="4" style="55" customWidth="1"/>
    <col min="9474" max="9475" width="8.09765625" style="55" customWidth="1"/>
    <col min="9476" max="9476" width="5.5" style="55" customWidth="1"/>
    <col min="9477" max="9481" width="3.8984375" style="55" customWidth="1"/>
    <col min="9482" max="9489" width="4.5" style="55" customWidth="1"/>
    <col min="9490" max="9491" width="2.5" style="55" customWidth="1"/>
    <col min="9492" max="9492" width="24.19921875" style="55" customWidth="1"/>
    <col min="9493" max="9493" width="9.3984375" style="55" customWidth="1"/>
    <col min="9494" max="9728" width="9" style="55"/>
    <col min="9729" max="9729" width="4" style="55" customWidth="1"/>
    <col min="9730" max="9731" width="8.09765625" style="55" customWidth="1"/>
    <col min="9732" max="9732" width="5.5" style="55" customWidth="1"/>
    <col min="9733" max="9737" width="3.8984375" style="55" customWidth="1"/>
    <col min="9738" max="9745" width="4.5" style="55" customWidth="1"/>
    <col min="9746" max="9747" width="2.5" style="55" customWidth="1"/>
    <col min="9748" max="9748" width="24.19921875" style="55" customWidth="1"/>
    <col min="9749" max="9749" width="9.3984375" style="55" customWidth="1"/>
    <col min="9750" max="9984" width="9" style="55"/>
    <col min="9985" max="9985" width="4" style="55" customWidth="1"/>
    <col min="9986" max="9987" width="8.09765625" style="55" customWidth="1"/>
    <col min="9988" max="9988" width="5.5" style="55" customWidth="1"/>
    <col min="9989" max="9993" width="3.8984375" style="55" customWidth="1"/>
    <col min="9994" max="10001" width="4.5" style="55" customWidth="1"/>
    <col min="10002" max="10003" width="2.5" style="55" customWidth="1"/>
    <col min="10004" max="10004" width="24.19921875" style="55" customWidth="1"/>
    <col min="10005" max="10005" width="9.3984375" style="55" customWidth="1"/>
    <col min="10006" max="10240" width="9" style="55"/>
    <col min="10241" max="10241" width="4" style="55" customWidth="1"/>
    <col min="10242" max="10243" width="8.09765625" style="55" customWidth="1"/>
    <col min="10244" max="10244" width="5.5" style="55" customWidth="1"/>
    <col min="10245" max="10249" width="3.8984375" style="55" customWidth="1"/>
    <col min="10250" max="10257" width="4.5" style="55" customWidth="1"/>
    <col min="10258" max="10259" width="2.5" style="55" customWidth="1"/>
    <col min="10260" max="10260" width="24.19921875" style="55" customWidth="1"/>
    <col min="10261" max="10261" width="9.3984375" style="55" customWidth="1"/>
    <col min="10262" max="10496" width="9" style="55"/>
    <col min="10497" max="10497" width="4" style="55" customWidth="1"/>
    <col min="10498" max="10499" width="8.09765625" style="55" customWidth="1"/>
    <col min="10500" max="10500" width="5.5" style="55" customWidth="1"/>
    <col min="10501" max="10505" width="3.8984375" style="55" customWidth="1"/>
    <col min="10506" max="10513" width="4.5" style="55" customWidth="1"/>
    <col min="10514" max="10515" width="2.5" style="55" customWidth="1"/>
    <col min="10516" max="10516" width="24.19921875" style="55" customWidth="1"/>
    <col min="10517" max="10517" width="9.3984375" style="55" customWidth="1"/>
    <col min="10518" max="10752" width="9" style="55"/>
    <col min="10753" max="10753" width="4" style="55" customWidth="1"/>
    <col min="10754" max="10755" width="8.09765625" style="55" customWidth="1"/>
    <col min="10756" max="10756" width="5.5" style="55" customWidth="1"/>
    <col min="10757" max="10761" width="3.8984375" style="55" customWidth="1"/>
    <col min="10762" max="10769" width="4.5" style="55" customWidth="1"/>
    <col min="10770" max="10771" width="2.5" style="55" customWidth="1"/>
    <col min="10772" max="10772" width="24.19921875" style="55" customWidth="1"/>
    <col min="10773" max="10773" width="9.3984375" style="55" customWidth="1"/>
    <col min="10774" max="11008" width="9" style="55"/>
    <col min="11009" max="11009" width="4" style="55" customWidth="1"/>
    <col min="11010" max="11011" width="8.09765625" style="55" customWidth="1"/>
    <col min="11012" max="11012" width="5.5" style="55" customWidth="1"/>
    <col min="11013" max="11017" width="3.8984375" style="55" customWidth="1"/>
    <col min="11018" max="11025" width="4.5" style="55" customWidth="1"/>
    <col min="11026" max="11027" width="2.5" style="55" customWidth="1"/>
    <col min="11028" max="11028" width="24.19921875" style="55" customWidth="1"/>
    <col min="11029" max="11029" width="9.3984375" style="55" customWidth="1"/>
    <col min="11030" max="11264" width="9" style="55"/>
    <col min="11265" max="11265" width="4" style="55" customWidth="1"/>
    <col min="11266" max="11267" width="8.09765625" style="55" customWidth="1"/>
    <col min="11268" max="11268" width="5.5" style="55" customWidth="1"/>
    <col min="11269" max="11273" width="3.8984375" style="55" customWidth="1"/>
    <col min="11274" max="11281" width="4.5" style="55" customWidth="1"/>
    <col min="11282" max="11283" width="2.5" style="55" customWidth="1"/>
    <col min="11284" max="11284" width="24.19921875" style="55" customWidth="1"/>
    <col min="11285" max="11285" width="9.3984375" style="55" customWidth="1"/>
    <col min="11286" max="11520" width="9" style="55"/>
    <col min="11521" max="11521" width="4" style="55" customWidth="1"/>
    <col min="11522" max="11523" width="8.09765625" style="55" customWidth="1"/>
    <col min="11524" max="11524" width="5.5" style="55" customWidth="1"/>
    <col min="11525" max="11529" width="3.8984375" style="55" customWidth="1"/>
    <col min="11530" max="11537" width="4.5" style="55" customWidth="1"/>
    <col min="11538" max="11539" width="2.5" style="55" customWidth="1"/>
    <col min="11540" max="11540" width="24.19921875" style="55" customWidth="1"/>
    <col min="11541" max="11541" width="9.3984375" style="55" customWidth="1"/>
    <col min="11542" max="11776" width="9" style="55"/>
    <col min="11777" max="11777" width="4" style="55" customWidth="1"/>
    <col min="11778" max="11779" width="8.09765625" style="55" customWidth="1"/>
    <col min="11780" max="11780" width="5.5" style="55" customWidth="1"/>
    <col min="11781" max="11785" width="3.8984375" style="55" customWidth="1"/>
    <col min="11786" max="11793" width="4.5" style="55" customWidth="1"/>
    <col min="11794" max="11795" width="2.5" style="55" customWidth="1"/>
    <col min="11796" max="11796" width="24.19921875" style="55" customWidth="1"/>
    <col min="11797" max="11797" width="9.3984375" style="55" customWidth="1"/>
    <col min="11798" max="12032" width="9" style="55"/>
    <col min="12033" max="12033" width="4" style="55" customWidth="1"/>
    <col min="12034" max="12035" width="8.09765625" style="55" customWidth="1"/>
    <col min="12036" max="12036" width="5.5" style="55" customWidth="1"/>
    <col min="12037" max="12041" width="3.8984375" style="55" customWidth="1"/>
    <col min="12042" max="12049" width="4.5" style="55" customWidth="1"/>
    <col min="12050" max="12051" width="2.5" style="55" customWidth="1"/>
    <col min="12052" max="12052" width="24.19921875" style="55" customWidth="1"/>
    <col min="12053" max="12053" width="9.3984375" style="55" customWidth="1"/>
    <col min="12054" max="12288" width="9" style="55"/>
    <col min="12289" max="12289" width="4" style="55" customWidth="1"/>
    <col min="12290" max="12291" width="8.09765625" style="55" customWidth="1"/>
    <col min="12292" max="12292" width="5.5" style="55" customWidth="1"/>
    <col min="12293" max="12297" width="3.8984375" style="55" customWidth="1"/>
    <col min="12298" max="12305" width="4.5" style="55" customWidth="1"/>
    <col min="12306" max="12307" width="2.5" style="55" customWidth="1"/>
    <col min="12308" max="12308" width="24.19921875" style="55" customWidth="1"/>
    <col min="12309" max="12309" width="9.3984375" style="55" customWidth="1"/>
    <col min="12310" max="12544" width="9" style="55"/>
    <col min="12545" max="12545" width="4" style="55" customWidth="1"/>
    <col min="12546" max="12547" width="8.09765625" style="55" customWidth="1"/>
    <col min="12548" max="12548" width="5.5" style="55" customWidth="1"/>
    <col min="12549" max="12553" width="3.8984375" style="55" customWidth="1"/>
    <col min="12554" max="12561" width="4.5" style="55" customWidth="1"/>
    <col min="12562" max="12563" width="2.5" style="55" customWidth="1"/>
    <col min="12564" max="12564" width="24.19921875" style="55" customWidth="1"/>
    <col min="12565" max="12565" width="9.3984375" style="55" customWidth="1"/>
    <col min="12566" max="12800" width="9" style="55"/>
    <col min="12801" max="12801" width="4" style="55" customWidth="1"/>
    <col min="12802" max="12803" width="8.09765625" style="55" customWidth="1"/>
    <col min="12804" max="12804" width="5.5" style="55" customWidth="1"/>
    <col min="12805" max="12809" width="3.8984375" style="55" customWidth="1"/>
    <col min="12810" max="12817" width="4.5" style="55" customWidth="1"/>
    <col min="12818" max="12819" width="2.5" style="55" customWidth="1"/>
    <col min="12820" max="12820" width="24.19921875" style="55" customWidth="1"/>
    <col min="12821" max="12821" width="9.3984375" style="55" customWidth="1"/>
    <col min="12822" max="13056" width="9" style="55"/>
    <col min="13057" max="13057" width="4" style="55" customWidth="1"/>
    <col min="13058" max="13059" width="8.09765625" style="55" customWidth="1"/>
    <col min="13060" max="13060" width="5.5" style="55" customWidth="1"/>
    <col min="13061" max="13065" width="3.8984375" style="55" customWidth="1"/>
    <col min="13066" max="13073" width="4.5" style="55" customWidth="1"/>
    <col min="13074" max="13075" width="2.5" style="55" customWidth="1"/>
    <col min="13076" max="13076" width="24.19921875" style="55" customWidth="1"/>
    <col min="13077" max="13077" width="9.3984375" style="55" customWidth="1"/>
    <col min="13078" max="13312" width="9" style="55"/>
    <col min="13313" max="13313" width="4" style="55" customWidth="1"/>
    <col min="13314" max="13315" width="8.09765625" style="55" customWidth="1"/>
    <col min="13316" max="13316" width="5.5" style="55" customWidth="1"/>
    <col min="13317" max="13321" width="3.8984375" style="55" customWidth="1"/>
    <col min="13322" max="13329" width="4.5" style="55" customWidth="1"/>
    <col min="13330" max="13331" width="2.5" style="55" customWidth="1"/>
    <col min="13332" max="13332" width="24.19921875" style="55" customWidth="1"/>
    <col min="13333" max="13333" width="9.3984375" style="55" customWidth="1"/>
    <col min="13334" max="13568" width="9" style="55"/>
    <col min="13569" max="13569" width="4" style="55" customWidth="1"/>
    <col min="13570" max="13571" width="8.09765625" style="55" customWidth="1"/>
    <col min="13572" max="13572" width="5.5" style="55" customWidth="1"/>
    <col min="13573" max="13577" width="3.8984375" style="55" customWidth="1"/>
    <col min="13578" max="13585" width="4.5" style="55" customWidth="1"/>
    <col min="13586" max="13587" width="2.5" style="55" customWidth="1"/>
    <col min="13588" max="13588" width="24.19921875" style="55" customWidth="1"/>
    <col min="13589" max="13589" width="9.3984375" style="55" customWidth="1"/>
    <col min="13590" max="13824" width="9" style="55"/>
    <col min="13825" max="13825" width="4" style="55" customWidth="1"/>
    <col min="13826" max="13827" width="8.09765625" style="55" customWidth="1"/>
    <col min="13828" max="13828" width="5.5" style="55" customWidth="1"/>
    <col min="13829" max="13833" width="3.8984375" style="55" customWidth="1"/>
    <col min="13834" max="13841" width="4.5" style="55" customWidth="1"/>
    <col min="13842" max="13843" width="2.5" style="55" customWidth="1"/>
    <col min="13844" max="13844" width="24.19921875" style="55" customWidth="1"/>
    <col min="13845" max="13845" width="9.3984375" style="55" customWidth="1"/>
    <col min="13846" max="14080" width="9" style="55"/>
    <col min="14081" max="14081" width="4" style="55" customWidth="1"/>
    <col min="14082" max="14083" width="8.09765625" style="55" customWidth="1"/>
    <col min="14084" max="14084" width="5.5" style="55" customWidth="1"/>
    <col min="14085" max="14089" width="3.8984375" style="55" customWidth="1"/>
    <col min="14090" max="14097" width="4.5" style="55" customWidth="1"/>
    <col min="14098" max="14099" width="2.5" style="55" customWidth="1"/>
    <col min="14100" max="14100" width="24.19921875" style="55" customWidth="1"/>
    <col min="14101" max="14101" width="9.3984375" style="55" customWidth="1"/>
    <col min="14102" max="14336" width="9" style="55"/>
    <col min="14337" max="14337" width="4" style="55" customWidth="1"/>
    <col min="14338" max="14339" width="8.09765625" style="55" customWidth="1"/>
    <col min="14340" max="14340" width="5.5" style="55" customWidth="1"/>
    <col min="14341" max="14345" width="3.8984375" style="55" customWidth="1"/>
    <col min="14346" max="14353" width="4.5" style="55" customWidth="1"/>
    <col min="14354" max="14355" width="2.5" style="55" customWidth="1"/>
    <col min="14356" max="14356" width="24.19921875" style="55" customWidth="1"/>
    <col min="14357" max="14357" width="9.3984375" style="55" customWidth="1"/>
    <col min="14358" max="14592" width="9" style="55"/>
    <col min="14593" max="14593" width="4" style="55" customWidth="1"/>
    <col min="14594" max="14595" width="8.09765625" style="55" customWidth="1"/>
    <col min="14596" max="14596" width="5.5" style="55" customWidth="1"/>
    <col min="14597" max="14601" width="3.8984375" style="55" customWidth="1"/>
    <col min="14602" max="14609" width="4.5" style="55" customWidth="1"/>
    <col min="14610" max="14611" width="2.5" style="55" customWidth="1"/>
    <col min="14612" max="14612" width="24.19921875" style="55" customWidth="1"/>
    <col min="14613" max="14613" width="9.3984375" style="55" customWidth="1"/>
    <col min="14614" max="14848" width="9" style="55"/>
    <col min="14849" max="14849" width="4" style="55" customWidth="1"/>
    <col min="14850" max="14851" width="8.09765625" style="55" customWidth="1"/>
    <col min="14852" max="14852" width="5.5" style="55" customWidth="1"/>
    <col min="14853" max="14857" width="3.8984375" style="55" customWidth="1"/>
    <col min="14858" max="14865" width="4.5" style="55" customWidth="1"/>
    <col min="14866" max="14867" width="2.5" style="55" customWidth="1"/>
    <col min="14868" max="14868" width="24.19921875" style="55" customWidth="1"/>
    <col min="14869" max="14869" width="9.3984375" style="55" customWidth="1"/>
    <col min="14870" max="15104" width="9" style="55"/>
    <col min="15105" max="15105" width="4" style="55" customWidth="1"/>
    <col min="15106" max="15107" width="8.09765625" style="55" customWidth="1"/>
    <col min="15108" max="15108" width="5.5" style="55" customWidth="1"/>
    <col min="15109" max="15113" width="3.8984375" style="55" customWidth="1"/>
    <col min="15114" max="15121" width="4.5" style="55" customWidth="1"/>
    <col min="15122" max="15123" width="2.5" style="55" customWidth="1"/>
    <col min="15124" max="15124" width="24.19921875" style="55" customWidth="1"/>
    <col min="15125" max="15125" width="9.3984375" style="55" customWidth="1"/>
    <col min="15126" max="15360" width="9" style="55"/>
    <col min="15361" max="15361" width="4" style="55" customWidth="1"/>
    <col min="15362" max="15363" width="8.09765625" style="55" customWidth="1"/>
    <col min="15364" max="15364" width="5.5" style="55" customWidth="1"/>
    <col min="15365" max="15369" width="3.8984375" style="55" customWidth="1"/>
    <col min="15370" max="15377" width="4.5" style="55" customWidth="1"/>
    <col min="15378" max="15379" width="2.5" style="55" customWidth="1"/>
    <col min="15380" max="15380" width="24.19921875" style="55" customWidth="1"/>
    <col min="15381" max="15381" width="9.3984375" style="55" customWidth="1"/>
    <col min="15382" max="15616" width="9" style="55"/>
    <col min="15617" max="15617" width="4" style="55" customWidth="1"/>
    <col min="15618" max="15619" width="8.09765625" style="55" customWidth="1"/>
    <col min="15620" max="15620" width="5.5" style="55" customWidth="1"/>
    <col min="15621" max="15625" width="3.8984375" style="55" customWidth="1"/>
    <col min="15626" max="15633" width="4.5" style="55" customWidth="1"/>
    <col min="15634" max="15635" width="2.5" style="55" customWidth="1"/>
    <col min="15636" max="15636" width="24.19921875" style="55" customWidth="1"/>
    <col min="15637" max="15637" width="9.3984375" style="55" customWidth="1"/>
    <col min="15638" max="15872" width="9" style="55"/>
    <col min="15873" max="15873" width="4" style="55" customWidth="1"/>
    <col min="15874" max="15875" width="8.09765625" style="55" customWidth="1"/>
    <col min="15876" max="15876" width="5.5" style="55" customWidth="1"/>
    <col min="15877" max="15881" width="3.8984375" style="55" customWidth="1"/>
    <col min="15882" max="15889" width="4.5" style="55" customWidth="1"/>
    <col min="15890" max="15891" width="2.5" style="55" customWidth="1"/>
    <col min="15892" max="15892" width="24.19921875" style="55" customWidth="1"/>
    <col min="15893" max="15893" width="9.3984375" style="55" customWidth="1"/>
    <col min="15894" max="16128" width="9" style="55"/>
    <col min="16129" max="16129" width="4" style="55" customWidth="1"/>
    <col min="16130" max="16131" width="8.09765625" style="55" customWidth="1"/>
    <col min="16132" max="16132" width="5.5" style="55" customWidth="1"/>
    <col min="16133" max="16137" width="3.8984375" style="55" customWidth="1"/>
    <col min="16138" max="16145" width="4.5" style="55" customWidth="1"/>
    <col min="16146" max="16147" width="2.5" style="55" customWidth="1"/>
    <col min="16148" max="16148" width="24.19921875" style="55" customWidth="1"/>
    <col min="16149" max="16149" width="9.3984375" style="55" customWidth="1"/>
    <col min="16150" max="16384" width="9" style="55"/>
  </cols>
  <sheetData>
    <row r="1" spans="1:27" s="60" customFormat="1" ht="16.5" customHeight="1">
      <c r="B1" s="174"/>
      <c r="C1" s="174"/>
      <c r="D1" s="174"/>
      <c r="E1" s="174"/>
      <c r="R1" s="174"/>
      <c r="S1" s="59" t="s">
        <v>340</v>
      </c>
    </row>
    <row r="2" spans="1:27" s="66" customFormat="1" ht="19.5" customHeight="1">
      <c r="A2" s="67" t="s">
        <v>730</v>
      </c>
      <c r="B2" s="65"/>
      <c r="C2" s="65"/>
      <c r="D2" s="65"/>
      <c r="E2" s="65"/>
      <c r="F2" s="59"/>
      <c r="G2" s="59"/>
      <c r="H2" s="59"/>
      <c r="I2" s="59"/>
      <c r="J2" s="59"/>
      <c r="K2" s="59"/>
      <c r="L2" s="59"/>
      <c r="M2" s="59"/>
      <c r="N2" s="59"/>
      <c r="O2" s="171" t="str">
        <f>'SP4-1'!L2</f>
        <v>Spreadsheet May 2025</v>
      </c>
      <c r="P2" s="59"/>
      <c r="Q2" s="59"/>
      <c r="R2" s="123"/>
      <c r="S2" s="236" t="s">
        <v>341</v>
      </c>
      <c r="U2" s="59"/>
      <c r="V2" s="59"/>
      <c r="W2" s="59"/>
      <c r="X2" s="59"/>
      <c r="Y2" s="59"/>
      <c r="Z2" s="59"/>
      <c r="AA2" s="59"/>
    </row>
    <row r="3" spans="1:27" s="60" customFormat="1" ht="11.25" customHeight="1">
      <c r="A3" s="65" t="s">
        <v>407</v>
      </c>
      <c r="B3" s="65"/>
      <c r="C3" s="65"/>
      <c r="D3" s="65"/>
      <c r="E3" s="65"/>
      <c r="F3" s="59"/>
      <c r="G3" s="59"/>
      <c r="H3" s="59"/>
      <c r="I3" s="59"/>
      <c r="J3" s="59"/>
      <c r="K3" s="59"/>
      <c r="L3" s="59"/>
      <c r="M3" s="59"/>
      <c r="N3" s="59"/>
      <c r="O3" s="59"/>
      <c r="P3" s="59"/>
      <c r="Q3" s="59"/>
      <c r="R3" s="123"/>
      <c r="S3" s="129"/>
      <c r="T3" s="59"/>
      <c r="U3" s="59"/>
      <c r="V3" s="59"/>
      <c r="W3" s="59"/>
      <c r="X3" s="59"/>
      <c r="Y3" s="59"/>
      <c r="Z3" s="59"/>
      <c r="AA3" s="59"/>
    </row>
    <row r="4" spans="1:27" s="53" customFormat="1" ht="66.75" customHeight="1">
      <c r="A4" s="64"/>
      <c r="B4" s="649" t="s">
        <v>408</v>
      </c>
      <c r="C4" s="649"/>
      <c r="D4" s="649"/>
      <c r="E4" s="649"/>
      <c r="F4" s="649"/>
      <c r="G4" s="649"/>
      <c r="H4" s="649"/>
      <c r="I4" s="649"/>
      <c r="J4" s="649"/>
      <c r="K4" s="649"/>
      <c r="L4" s="649"/>
      <c r="M4" s="649"/>
      <c r="N4" s="649"/>
      <c r="O4" s="649"/>
      <c r="P4" s="649"/>
      <c r="Q4" s="649"/>
      <c r="R4" s="63"/>
      <c r="S4" s="63"/>
      <c r="T4" s="63"/>
      <c r="U4" s="63"/>
      <c r="V4" s="63"/>
      <c r="W4" s="63"/>
      <c r="X4" s="63"/>
      <c r="Y4" s="63"/>
      <c r="Z4" s="63"/>
    </row>
    <row r="5" spans="1:27" s="60" customFormat="1" ht="20.25" customHeight="1">
      <c r="A5" s="174"/>
      <c r="B5" s="649"/>
      <c r="C5" s="649"/>
      <c r="D5" s="649"/>
      <c r="E5" s="649"/>
      <c r="F5" s="649"/>
      <c r="G5" s="649"/>
      <c r="H5" s="649"/>
      <c r="I5" s="649"/>
      <c r="J5" s="649"/>
      <c r="K5" s="649"/>
      <c r="L5" s="649"/>
      <c r="M5" s="649"/>
      <c r="N5" s="649"/>
      <c r="O5" s="649"/>
      <c r="P5" s="649"/>
      <c r="Q5" s="649"/>
      <c r="R5" s="174"/>
      <c r="S5" s="250"/>
      <c r="T5" s="534"/>
      <c r="U5" s="534"/>
      <c r="V5" s="534"/>
    </row>
    <row r="6" spans="1:27" s="385" customFormat="1" ht="11.4" customHeight="1">
      <c r="A6" s="250"/>
      <c r="B6" s="383"/>
      <c r="C6" s="383"/>
      <c r="D6" s="383"/>
      <c r="E6" s="383"/>
      <c r="F6" s="383"/>
      <c r="G6" s="383"/>
      <c r="H6" s="383"/>
      <c r="I6" s="383"/>
      <c r="J6" s="383"/>
      <c r="K6" s="383"/>
      <c r="L6" s="383"/>
      <c r="M6" s="383"/>
      <c r="N6" s="383"/>
      <c r="O6" s="383"/>
      <c r="P6" s="383"/>
      <c r="Q6" s="383"/>
      <c r="R6" s="250"/>
      <c r="S6" s="250"/>
      <c r="T6" s="384"/>
      <c r="U6" s="384"/>
      <c r="V6" s="384"/>
    </row>
    <row r="7" spans="1:27" s="59" customFormat="1" ht="3.75" customHeight="1" thickBot="1">
      <c r="A7" s="298"/>
      <c r="B7" s="298"/>
      <c r="C7" s="298"/>
      <c r="D7" s="298"/>
      <c r="E7" s="298"/>
      <c r="F7" s="299"/>
      <c r="G7" s="299"/>
      <c r="H7" s="299"/>
      <c r="I7" s="299"/>
      <c r="J7" s="299"/>
      <c r="K7" s="299"/>
      <c r="L7" s="299"/>
      <c r="M7" s="299"/>
      <c r="N7" s="299"/>
      <c r="O7" s="299"/>
      <c r="P7" s="299"/>
      <c r="Q7" s="299"/>
      <c r="R7" s="298"/>
      <c r="S7" s="129"/>
    </row>
    <row r="8" spans="1:27" s="66" customFormat="1" ht="19.5" customHeight="1" thickTop="1" thickBot="1">
      <c r="A8" s="314"/>
      <c r="B8" s="299" t="s">
        <v>409</v>
      </c>
      <c r="C8" s="299"/>
      <c r="D8" s="299"/>
      <c r="E8" s="637"/>
      <c r="F8" s="638"/>
      <c r="G8" s="638"/>
      <c r="H8" s="639"/>
      <c r="I8" s="299"/>
      <c r="J8" s="299"/>
      <c r="K8" s="299"/>
      <c r="L8" s="299"/>
      <c r="M8" s="313" t="s">
        <v>411</v>
      </c>
      <c r="N8" s="637"/>
      <c r="O8" s="638"/>
      <c r="P8" s="638"/>
      <c r="Q8" s="639"/>
      <c r="R8" s="298"/>
      <c r="S8" s="129"/>
      <c r="T8" s="59"/>
      <c r="U8" s="59"/>
      <c r="V8" s="59"/>
      <c r="W8" s="59"/>
      <c r="X8" s="59"/>
      <c r="Y8" s="59"/>
      <c r="Z8" s="59"/>
      <c r="AA8" s="59"/>
    </row>
    <row r="9" spans="1:27" s="66" customFormat="1" ht="19.5" customHeight="1" thickTop="1" thickBot="1">
      <c r="A9" s="314">
        <v>1</v>
      </c>
      <c r="B9" s="299" t="s">
        <v>413</v>
      </c>
      <c r="C9" s="299"/>
      <c r="D9" s="299"/>
      <c r="E9" s="637"/>
      <c r="F9" s="638"/>
      <c r="G9" s="638"/>
      <c r="H9" s="639"/>
      <c r="I9" s="299"/>
      <c r="J9" s="299"/>
      <c r="K9" s="299"/>
      <c r="L9" s="299"/>
      <c r="M9" s="313" t="s">
        <v>323</v>
      </c>
      <c r="N9" s="650">
        <f>'SP4-4'!O7</f>
        <v>0</v>
      </c>
      <c r="O9" s="651"/>
      <c r="P9" s="651"/>
      <c r="Q9" s="652"/>
      <c r="R9" s="298"/>
      <c r="S9" s="129"/>
      <c r="T9" s="59"/>
      <c r="U9" s="59"/>
      <c r="V9" s="59"/>
      <c r="W9" s="59"/>
      <c r="X9" s="59"/>
      <c r="Y9" s="59"/>
      <c r="Z9" s="59"/>
      <c r="AA9" s="59"/>
    </row>
    <row r="10" spans="1:27" s="66" customFormat="1" ht="19.5" customHeight="1" thickTop="1" thickBot="1">
      <c r="A10" s="314"/>
      <c r="B10" s="299" t="s">
        <v>414</v>
      </c>
      <c r="C10" s="299"/>
      <c r="D10" s="299"/>
      <c r="E10" s="637"/>
      <c r="F10" s="638"/>
      <c r="G10" s="638"/>
      <c r="H10" s="639"/>
      <c r="I10" s="299"/>
      <c r="J10" s="299"/>
      <c r="K10" s="299"/>
      <c r="L10" s="299"/>
      <c r="M10" s="313" t="s">
        <v>448</v>
      </c>
      <c r="N10" s="570">
        <f>'SP4-1'!I34</f>
        <v>0</v>
      </c>
      <c r="O10" s="571"/>
      <c r="P10" s="571"/>
      <c r="Q10" s="572"/>
      <c r="R10" s="298"/>
      <c r="S10" s="129"/>
      <c r="T10" s="59"/>
      <c r="U10" s="59"/>
      <c r="V10" s="59"/>
      <c r="W10" s="59"/>
      <c r="X10" s="59"/>
      <c r="Y10" s="59"/>
      <c r="Z10" s="59"/>
      <c r="AA10" s="59"/>
    </row>
    <row r="11" spans="1:27" s="66" customFormat="1" ht="19.5" customHeight="1" thickTop="1" thickBot="1">
      <c r="A11" s="314">
        <v>2</v>
      </c>
      <c r="B11" s="299" t="s">
        <v>415</v>
      </c>
      <c r="C11" s="299"/>
      <c r="D11" s="299"/>
      <c r="E11" s="637"/>
      <c r="F11" s="638"/>
      <c r="G11" s="638"/>
      <c r="H11" s="639"/>
      <c r="I11" s="299"/>
      <c r="J11" s="299"/>
      <c r="K11" s="299"/>
      <c r="L11" s="299"/>
      <c r="M11" s="299"/>
      <c r="N11" s="299"/>
      <c r="O11" s="299"/>
      <c r="P11" s="299"/>
      <c r="Q11" s="299"/>
      <c r="R11" s="298"/>
      <c r="S11" s="129"/>
      <c r="T11" s="59"/>
      <c r="U11" s="59"/>
      <c r="V11" s="59"/>
      <c r="W11" s="59"/>
      <c r="X11" s="59"/>
      <c r="Y11" s="59"/>
      <c r="Z11" s="59"/>
      <c r="AA11" s="59"/>
    </row>
    <row r="12" spans="1:27" s="66" customFormat="1" ht="3.75" customHeight="1" thickTop="1">
      <c r="A12" s="314"/>
      <c r="B12" s="299"/>
      <c r="C12" s="299"/>
      <c r="D12" s="299"/>
      <c r="E12" s="299"/>
      <c r="F12" s="313"/>
      <c r="G12" s="299"/>
      <c r="H12" s="299"/>
      <c r="I12" s="299"/>
      <c r="J12" s="299"/>
      <c r="K12" s="299"/>
      <c r="L12" s="299"/>
      <c r="M12" s="313"/>
      <c r="N12" s="299"/>
      <c r="O12" s="299"/>
      <c r="P12" s="299"/>
      <c r="Q12" s="299"/>
      <c r="R12" s="298"/>
      <c r="S12" s="129"/>
      <c r="T12" s="59"/>
      <c r="U12" s="59"/>
      <c r="V12" s="59"/>
      <c r="W12" s="59"/>
      <c r="X12" s="59"/>
      <c r="Y12" s="59"/>
      <c r="Z12" s="59"/>
      <c r="AA12" s="59"/>
    </row>
    <row r="13" spans="1:27" s="66" customFormat="1" ht="14.25" customHeight="1">
      <c r="A13" s="314"/>
      <c r="B13" s="640" t="s">
        <v>251</v>
      </c>
      <c r="C13" s="641"/>
      <c r="D13" s="641"/>
      <c r="E13" s="641"/>
      <c r="F13" s="641"/>
      <c r="G13" s="641"/>
      <c r="H13" s="641"/>
      <c r="I13" s="641"/>
      <c r="J13" s="644" t="s">
        <v>417</v>
      </c>
      <c r="K13" s="644"/>
      <c r="L13" s="644"/>
      <c r="M13" s="644"/>
      <c r="N13" s="644"/>
      <c r="O13" s="644"/>
      <c r="P13" s="644"/>
      <c r="Q13" s="645"/>
      <c r="R13" s="298"/>
      <c r="S13" s="129"/>
      <c r="T13" s="546" t="s">
        <v>416</v>
      </c>
      <c r="U13" s="546"/>
      <c r="V13" s="546"/>
      <c r="W13" s="546"/>
      <c r="X13" s="546"/>
      <c r="Y13" s="59"/>
      <c r="Z13" s="59"/>
      <c r="AA13" s="59"/>
    </row>
    <row r="14" spans="1:27" s="66" customFormat="1" ht="24" customHeight="1">
      <c r="A14" s="314"/>
      <c r="B14" s="642"/>
      <c r="C14" s="643"/>
      <c r="D14" s="643"/>
      <c r="E14" s="643"/>
      <c r="F14" s="643"/>
      <c r="G14" s="643"/>
      <c r="H14" s="643"/>
      <c r="I14" s="643"/>
      <c r="J14" s="646" t="s">
        <v>236</v>
      </c>
      <c r="K14" s="646"/>
      <c r="L14" s="646" t="s">
        <v>237</v>
      </c>
      <c r="M14" s="646"/>
      <c r="N14" s="646" t="s">
        <v>238</v>
      </c>
      <c r="O14" s="646"/>
      <c r="P14" s="647" t="s">
        <v>418</v>
      </c>
      <c r="Q14" s="648"/>
      <c r="R14" s="298"/>
      <c r="S14" s="129"/>
      <c r="T14" s="546"/>
      <c r="U14" s="546"/>
      <c r="V14" s="546"/>
      <c r="W14" s="546"/>
      <c r="X14" s="546"/>
      <c r="Y14" s="59"/>
      <c r="Z14" s="59"/>
      <c r="AA14" s="59"/>
    </row>
    <row r="15" spans="1:27" s="66" customFormat="1" ht="14.25" customHeight="1">
      <c r="A15" s="314">
        <v>3</v>
      </c>
      <c r="B15" s="626" t="s">
        <v>420</v>
      </c>
      <c r="C15" s="626"/>
      <c r="D15" s="626"/>
      <c r="E15" s="626"/>
      <c r="F15" s="626"/>
      <c r="G15" s="626"/>
      <c r="H15" s="626"/>
      <c r="I15" s="627"/>
      <c r="J15" s="536"/>
      <c r="K15" s="536"/>
      <c r="L15" s="536"/>
      <c r="M15" s="536"/>
      <c r="N15" s="536"/>
      <c r="O15" s="536"/>
      <c r="P15" s="536"/>
      <c r="Q15" s="536"/>
      <c r="R15" s="298"/>
      <c r="S15" s="129"/>
      <c r="T15" s="62" t="s">
        <v>419</v>
      </c>
      <c r="U15" s="65"/>
      <c r="V15" s="59"/>
      <c r="W15" s="59"/>
      <c r="X15" s="59"/>
      <c r="Y15" s="59"/>
      <c r="Z15" s="59"/>
      <c r="AA15" s="59"/>
    </row>
    <row r="16" spans="1:27" s="66" customFormat="1" ht="14.25" customHeight="1">
      <c r="A16" s="314">
        <v>4</v>
      </c>
      <c r="B16" s="610" t="s">
        <v>421</v>
      </c>
      <c r="C16" s="610"/>
      <c r="D16" s="610"/>
      <c r="E16" s="610"/>
      <c r="F16" s="610"/>
      <c r="G16" s="610"/>
      <c r="H16" s="610"/>
      <c r="I16" s="611"/>
      <c r="J16" s="536"/>
      <c r="K16" s="536"/>
      <c r="L16" s="536"/>
      <c r="M16" s="536"/>
      <c r="N16" s="536"/>
      <c r="O16" s="536"/>
      <c r="P16" s="536"/>
      <c r="Q16" s="536"/>
      <c r="R16" s="298"/>
      <c r="S16" s="129"/>
      <c r="T16" s="633"/>
      <c r="U16" s="634"/>
      <c r="V16" s="251" t="s">
        <v>236</v>
      </c>
      <c r="W16" s="251" t="s">
        <v>237</v>
      </c>
      <c r="X16" s="252" t="s">
        <v>238</v>
      </c>
      <c r="Y16" s="59"/>
      <c r="Z16" s="59"/>
      <c r="AA16" s="59"/>
    </row>
    <row r="17" spans="1:27" s="66" customFormat="1" ht="14.25" customHeight="1">
      <c r="A17" s="314">
        <v>5</v>
      </c>
      <c r="B17" s="610" t="s">
        <v>423</v>
      </c>
      <c r="C17" s="610"/>
      <c r="D17" s="610"/>
      <c r="E17" s="610"/>
      <c r="F17" s="610"/>
      <c r="G17" s="610"/>
      <c r="H17" s="610"/>
      <c r="I17" s="611"/>
      <c r="J17" s="616" t="str">
        <f>IF(E8="","",IF(Tables!G270="",0,Tables!G270))</f>
        <v/>
      </c>
      <c r="K17" s="616"/>
      <c r="L17" s="616" t="str">
        <f>IF(E8="","",IF(Tables!H270="",0,Tables!H270))</f>
        <v/>
      </c>
      <c r="M17" s="616"/>
      <c r="N17" s="635">
        <v>1</v>
      </c>
      <c r="O17" s="635"/>
      <c r="P17" s="635">
        <v>1</v>
      </c>
      <c r="Q17" s="635"/>
      <c r="R17" s="298"/>
      <c r="S17" s="129"/>
      <c r="T17" s="636" t="s">
        <v>827</v>
      </c>
      <c r="U17" s="374" t="s">
        <v>422</v>
      </c>
      <c r="V17" s="631">
        <v>1</v>
      </c>
      <c r="W17" s="632">
        <v>1.5</v>
      </c>
      <c r="X17" s="375">
        <v>4.5</v>
      </c>
      <c r="Y17" s="59"/>
      <c r="Z17" s="59"/>
      <c r="AA17" s="59"/>
    </row>
    <row r="18" spans="1:27" s="66" customFormat="1" ht="24" customHeight="1">
      <c r="A18" s="314">
        <v>6</v>
      </c>
      <c r="B18" s="562" t="s">
        <v>425</v>
      </c>
      <c r="C18" s="562"/>
      <c r="D18" s="562"/>
      <c r="E18" s="562"/>
      <c r="F18" s="562"/>
      <c r="G18" s="562"/>
      <c r="H18" s="562"/>
      <c r="I18" s="615"/>
      <c r="J18" s="616" t="str">
        <f>IF(J17="","",IF(J16="","",IF(L16="","",(L16+J16)*J17)))</f>
        <v/>
      </c>
      <c r="K18" s="616"/>
      <c r="L18" s="616" t="str">
        <f>IF(L17="","",IF(J16="","",IF(L16="","",(L16+J16)*L17)))</f>
        <v/>
      </c>
      <c r="M18" s="616"/>
      <c r="N18" s="616" t="str">
        <f>IF(N16="","",N16*N17)</f>
        <v/>
      </c>
      <c r="O18" s="616"/>
      <c r="P18" s="616" t="str">
        <f>IF(P16="","",P16*P17)</f>
        <v/>
      </c>
      <c r="Q18" s="616"/>
      <c r="R18" s="298"/>
      <c r="S18" s="129"/>
      <c r="T18" s="630"/>
      <c r="U18" s="376" t="s">
        <v>424</v>
      </c>
      <c r="V18" s="628"/>
      <c r="W18" s="629"/>
      <c r="X18" s="377">
        <v>2.75</v>
      </c>
      <c r="Y18" s="59"/>
      <c r="Z18" s="59"/>
      <c r="AA18" s="59"/>
    </row>
    <row r="19" spans="1:27" s="66" customFormat="1" ht="14.25" customHeight="1">
      <c r="A19" s="314">
        <v>7</v>
      </c>
      <c r="B19" s="610" t="s">
        <v>427</v>
      </c>
      <c r="C19" s="610"/>
      <c r="D19" s="610"/>
      <c r="E19" s="610"/>
      <c r="F19" s="610"/>
      <c r="G19" s="610"/>
      <c r="H19" s="610"/>
      <c r="I19" s="611"/>
      <c r="J19" s="538" t="str">
        <f>IF($J15="","",IF(J18="","",J18/$J15))</f>
        <v/>
      </c>
      <c r="K19" s="538"/>
      <c r="L19" s="538" t="str">
        <f>IF($J15="","",IF(L18="","",L18/$J15))</f>
        <v/>
      </c>
      <c r="M19" s="538"/>
      <c r="N19" s="538" t="str">
        <f>IF($J15="","",IF(N18="","",N18/$J15))</f>
        <v/>
      </c>
      <c r="O19" s="538"/>
      <c r="P19" s="538" t="str">
        <f>IF($J15="","",IF(P18="","",P18/$J15))</f>
        <v/>
      </c>
      <c r="Q19" s="538"/>
      <c r="R19" s="298"/>
      <c r="S19" s="129"/>
      <c r="T19" s="630" t="s">
        <v>828</v>
      </c>
      <c r="U19" s="376" t="s">
        <v>422</v>
      </c>
      <c r="V19" s="628">
        <v>1</v>
      </c>
      <c r="W19" s="629">
        <v>1.9</v>
      </c>
      <c r="X19" s="375">
        <v>7.5</v>
      </c>
      <c r="Y19" s="59"/>
      <c r="Z19" s="59"/>
      <c r="AA19" s="59"/>
    </row>
    <row r="20" spans="1:27" s="66" customFormat="1" ht="14.25" customHeight="1">
      <c r="A20" s="314">
        <v>8</v>
      </c>
      <c r="B20" s="610" t="s">
        <v>428</v>
      </c>
      <c r="C20" s="610"/>
      <c r="D20" s="610"/>
      <c r="E20" s="610"/>
      <c r="F20" s="610"/>
      <c r="G20" s="610"/>
      <c r="H20" s="610"/>
      <c r="I20" s="611"/>
      <c r="J20" s="538">
        <f>IF(E10&lt;A76,_xlfn.XLOOKUP(N10,C75:J75,C76:J76),_xlfn.XLOOKUP(N10,C75:J75,C77:J77))</f>
        <v>0.83</v>
      </c>
      <c r="K20" s="538"/>
      <c r="L20" s="538"/>
      <c r="M20" s="538"/>
      <c r="N20" s="538"/>
      <c r="O20" s="538"/>
      <c r="P20" s="538"/>
      <c r="Q20" s="538"/>
      <c r="R20" s="298"/>
      <c r="S20" s="129"/>
      <c r="T20" s="630"/>
      <c r="U20" s="376" t="s">
        <v>424</v>
      </c>
      <c r="V20" s="628"/>
      <c r="W20" s="629"/>
      <c r="X20" s="377">
        <v>4.5</v>
      </c>
      <c r="Y20" s="59"/>
      <c r="Z20" s="59"/>
      <c r="AA20" s="59"/>
    </row>
    <row r="21" spans="1:27" s="66" customFormat="1" ht="14.25" customHeight="1">
      <c r="A21" s="314">
        <v>9</v>
      </c>
      <c r="B21" s="610" t="s">
        <v>429</v>
      </c>
      <c r="C21" s="610"/>
      <c r="D21" s="610"/>
      <c r="E21" s="610"/>
      <c r="F21" s="610"/>
      <c r="G21" s="610"/>
      <c r="H21" s="610"/>
      <c r="I21" s="611"/>
      <c r="J21" s="620" t="str">
        <f>IF(J19="","",J19*$J20)</f>
        <v/>
      </c>
      <c r="K21" s="620"/>
      <c r="L21" s="620" t="str">
        <f>IF(L19="","",L19*$J20)</f>
        <v/>
      </c>
      <c r="M21" s="620"/>
      <c r="N21" s="620" t="str">
        <f>IF(N19="","",N19*$J20)</f>
        <v/>
      </c>
      <c r="O21" s="620"/>
      <c r="P21" s="620" t="str">
        <f>IF(P19="","",P19*$J20)</f>
        <v/>
      </c>
      <c r="Q21" s="620"/>
      <c r="R21" s="298"/>
      <c r="S21" s="129"/>
      <c r="T21" s="630" t="s">
        <v>829</v>
      </c>
      <c r="U21" s="376" t="s">
        <v>422</v>
      </c>
      <c r="V21" s="628">
        <v>1</v>
      </c>
      <c r="W21" s="629">
        <v>2.2999999999999998</v>
      </c>
      <c r="X21" s="375">
        <v>13</v>
      </c>
      <c r="Y21" s="59"/>
      <c r="Z21" s="59"/>
      <c r="AA21" s="59"/>
    </row>
    <row r="22" spans="1:27" s="66" customFormat="1" ht="14.25" customHeight="1">
      <c r="A22" s="314">
        <v>10</v>
      </c>
      <c r="B22" s="610" t="s">
        <v>702</v>
      </c>
      <c r="C22" s="610"/>
      <c r="D22" s="610"/>
      <c r="E22" s="610"/>
      <c r="F22" s="610"/>
      <c r="G22" s="610"/>
      <c r="H22" s="610"/>
      <c r="I22" s="611"/>
      <c r="J22" s="536"/>
      <c r="K22" s="536"/>
      <c r="L22" s="536"/>
      <c r="M22" s="536"/>
      <c r="N22" s="536"/>
      <c r="O22" s="536"/>
      <c r="P22" s="536"/>
      <c r="Q22" s="536"/>
      <c r="R22" s="298"/>
      <c r="S22" s="129"/>
      <c r="T22" s="630"/>
      <c r="U22" s="376" t="s">
        <v>424</v>
      </c>
      <c r="V22" s="628"/>
      <c r="W22" s="629"/>
      <c r="X22" s="377">
        <v>7.5</v>
      </c>
      <c r="Y22" s="59"/>
      <c r="Z22" s="59"/>
      <c r="AA22" s="59"/>
    </row>
    <row r="23" spans="1:27" s="66" customFormat="1" ht="14.25" customHeight="1">
      <c r="A23" s="314">
        <v>11</v>
      </c>
      <c r="B23" s="610" t="s">
        <v>431</v>
      </c>
      <c r="C23" s="610"/>
      <c r="D23" s="610"/>
      <c r="E23" s="610"/>
      <c r="F23" s="610"/>
      <c r="G23" s="610"/>
      <c r="H23" s="610"/>
      <c r="I23" s="611"/>
      <c r="J23" s="620" t="str">
        <f>IF(J21="","",J21*J22)</f>
        <v/>
      </c>
      <c r="K23" s="620"/>
      <c r="L23" s="620" t="str">
        <f>IF(L21="","",L21*L22)</f>
        <v/>
      </c>
      <c r="M23" s="620"/>
      <c r="N23" s="620" t="str">
        <f>IF(N21="","",N21*N22)</f>
        <v/>
      </c>
      <c r="O23" s="620"/>
      <c r="P23" s="620" t="str">
        <f>IF(P21="","",P21*P22)</f>
        <v/>
      </c>
      <c r="Q23" s="620"/>
      <c r="R23" s="298"/>
      <c r="S23" s="129"/>
      <c r="T23" s="378" t="s">
        <v>324</v>
      </c>
      <c r="U23" s="376" t="s">
        <v>430</v>
      </c>
      <c r="V23" s="379">
        <v>1</v>
      </c>
      <c r="W23" s="380">
        <v>1.9</v>
      </c>
      <c r="X23" s="381">
        <v>1.9</v>
      </c>
      <c r="Y23" s="59"/>
      <c r="Z23" s="59"/>
      <c r="AA23" s="59"/>
    </row>
    <row r="24" spans="1:27" s="66" customFormat="1" ht="14.25" customHeight="1">
      <c r="A24" s="314">
        <v>12</v>
      </c>
      <c r="B24" s="610" t="s">
        <v>832</v>
      </c>
      <c r="C24" s="610"/>
      <c r="D24" s="610"/>
      <c r="E24" s="610"/>
      <c r="F24" s="610"/>
      <c r="G24" s="610"/>
      <c r="H24" s="610"/>
      <c r="I24" s="611"/>
      <c r="J24" s="614" t="str">
        <f xml:space="preserve"> IF($N$8="","",IF($E$8="","",Tables!J199))</f>
        <v/>
      </c>
      <c r="K24" s="614"/>
      <c r="L24" s="614" t="str">
        <f xml:space="preserve"> IF($N$8="","",IF($E$8="","",Tables!J216))</f>
        <v/>
      </c>
      <c r="M24" s="614"/>
      <c r="N24" s="614" t="str">
        <f xml:space="preserve"> IF($N$8="","",IF($E$8="","",Tables!J234))</f>
        <v/>
      </c>
      <c r="O24" s="614"/>
      <c r="P24" s="614" t="str">
        <f xml:space="preserve"> IF($N$8="","",IF($E$8="","",Tables!J251))</f>
        <v/>
      </c>
      <c r="Q24" s="614"/>
      <c r="R24" s="298"/>
      <c r="S24" s="129"/>
      <c r="T24" s="378" t="s">
        <v>430</v>
      </c>
      <c r="U24" s="376" t="s">
        <v>430</v>
      </c>
      <c r="V24" s="379">
        <v>1</v>
      </c>
      <c r="W24" s="380">
        <v>1.7</v>
      </c>
      <c r="X24" s="375">
        <v>3.6</v>
      </c>
      <c r="Y24" s="59"/>
      <c r="Z24" s="59"/>
      <c r="AA24" s="59"/>
    </row>
    <row r="25" spans="1:27" s="66" customFormat="1" ht="14.25" customHeight="1">
      <c r="A25" s="314">
        <v>13</v>
      </c>
      <c r="B25" s="610" t="s">
        <v>833</v>
      </c>
      <c r="C25" s="610"/>
      <c r="D25" s="610"/>
      <c r="E25" s="610"/>
      <c r="F25" s="610"/>
      <c r="G25" s="610"/>
      <c r="H25" s="610"/>
      <c r="I25" s="611"/>
      <c r="J25" s="614" t="str">
        <f xml:space="preserve"> IF($N$8="","",IF($E$8="","",Tables!J128))</f>
        <v/>
      </c>
      <c r="K25" s="614"/>
      <c r="L25" s="614" t="str">
        <f xml:space="preserve"> IF($N$8="","",IF($E$8="","",Tables!J145))</f>
        <v/>
      </c>
      <c r="M25" s="614"/>
      <c r="N25" s="614" t="str">
        <f xml:space="preserve"> IF($N$8="","",IF($E$8="","",Tables!J164))</f>
        <v/>
      </c>
      <c r="O25" s="614"/>
      <c r="P25" s="614" t="str">
        <f xml:space="preserve"> IF($N$8="","",IF($E$8="","",Tables!J181))</f>
        <v/>
      </c>
      <c r="Q25" s="614"/>
      <c r="R25" s="298"/>
      <c r="S25" s="129"/>
      <c r="T25" s="546" t="s">
        <v>432</v>
      </c>
      <c r="U25" s="546"/>
      <c r="V25" s="546"/>
      <c r="W25" s="546"/>
      <c r="X25" s="59"/>
      <c r="Y25" s="59"/>
      <c r="Z25" s="59"/>
      <c r="AA25" s="59"/>
    </row>
    <row r="26" spans="1:27" s="66" customFormat="1" ht="14.25" customHeight="1">
      <c r="A26" s="314">
        <v>14</v>
      </c>
      <c r="B26" s="610" t="s">
        <v>834</v>
      </c>
      <c r="C26" s="610"/>
      <c r="D26" s="610"/>
      <c r="E26" s="610"/>
      <c r="F26" s="610"/>
      <c r="G26" s="610"/>
      <c r="H26" s="610"/>
      <c r="I26" s="611"/>
      <c r="J26" s="616">
        <f>(E9-50)/30</f>
        <v>-1.6666666666666667</v>
      </c>
      <c r="K26" s="616"/>
      <c r="L26" s="616"/>
      <c r="M26" s="616"/>
      <c r="N26" s="616"/>
      <c r="O26" s="616"/>
      <c r="P26" s="616"/>
      <c r="Q26" s="616"/>
      <c r="R26" s="298"/>
      <c r="S26" s="129"/>
      <c r="T26" s="546"/>
      <c r="U26" s="546"/>
      <c r="V26" s="546"/>
      <c r="W26" s="546"/>
      <c r="X26" s="59"/>
      <c r="Y26" s="59"/>
      <c r="Z26" s="59"/>
      <c r="AA26" s="59"/>
    </row>
    <row r="27" spans="1:27" s="66" customFormat="1" ht="14.25" customHeight="1">
      <c r="A27" s="314">
        <v>15</v>
      </c>
      <c r="B27" s="610" t="s">
        <v>836</v>
      </c>
      <c r="C27" s="610"/>
      <c r="D27" s="610"/>
      <c r="E27" s="610"/>
      <c r="F27" s="610"/>
      <c r="G27" s="610"/>
      <c r="H27" s="610"/>
      <c r="I27" s="611"/>
      <c r="J27" s="614" t="str">
        <f>IF(J24="","",IF($E$9&gt;=80,J24,IF($E$9&lt;50,J25,J25+$J26*(J24-J25))))</f>
        <v/>
      </c>
      <c r="K27" s="614"/>
      <c r="L27" s="614" t="str">
        <f t="shared" ref="L27" si="0">IF(L24="","",IF($E$9&gt;=80,L24,IF($E$9&lt;50,L25,L25+$J26*(L24-L25))))</f>
        <v/>
      </c>
      <c r="M27" s="614"/>
      <c r="N27" s="614" t="str">
        <f t="shared" ref="N27" si="1">IF(N24="","",IF($E$9&gt;=80,N24,IF($E$9&lt;50,N25,N25+$J26*(N24-N25))))</f>
        <v/>
      </c>
      <c r="O27" s="614"/>
      <c r="P27" s="614" t="str">
        <f t="shared" ref="P27" si="2">IF(P24="","",IF($E$9&gt;=80,P24,IF($E$9&lt;50,P25,P25+$J26*(P24-P25))))</f>
        <v/>
      </c>
      <c r="Q27" s="614"/>
      <c r="R27" s="298"/>
      <c r="S27" s="129"/>
      <c r="T27" s="546"/>
      <c r="U27" s="546"/>
      <c r="V27" s="546"/>
      <c r="W27" s="546"/>
      <c r="X27" s="59"/>
      <c r="Y27" s="59"/>
      <c r="Z27" s="59"/>
      <c r="AA27" s="59"/>
    </row>
    <row r="28" spans="1:27" s="66" customFormat="1" ht="14.25" customHeight="1">
      <c r="A28" s="314">
        <v>16</v>
      </c>
      <c r="B28" s="610" t="s">
        <v>434</v>
      </c>
      <c r="C28" s="610"/>
      <c r="D28" s="610"/>
      <c r="E28" s="610"/>
      <c r="F28" s="610"/>
      <c r="G28" s="610"/>
      <c r="H28" s="610"/>
      <c r="I28" s="611"/>
      <c r="J28" s="614" t="str">
        <f>IF(J23="","",IF(J27="","",J23*J27))</f>
        <v/>
      </c>
      <c r="K28" s="614"/>
      <c r="L28" s="614" t="str">
        <f>IF(L23="","",IF(L27="","",L23*L27))</f>
        <v/>
      </c>
      <c r="M28" s="614"/>
      <c r="N28" s="614" t="str">
        <f>IF(N23="","",IF(N27="","",N23*N27))</f>
        <v/>
      </c>
      <c r="O28" s="614"/>
      <c r="P28" s="614" t="str">
        <f>IF(P23="","",IF(P27="","",P23*P27))</f>
        <v/>
      </c>
      <c r="Q28" s="614"/>
      <c r="R28" s="298"/>
      <c r="S28" s="129"/>
      <c r="T28" s="70" t="s">
        <v>433</v>
      </c>
      <c r="U28" s="59"/>
      <c r="V28" s="59"/>
      <c r="W28" s="59"/>
      <c r="X28" s="59"/>
      <c r="Y28" s="59"/>
      <c r="Z28" s="59"/>
      <c r="AA28" s="59"/>
    </row>
    <row r="29" spans="1:27" s="66" customFormat="1" ht="24.75" customHeight="1">
      <c r="A29" s="314">
        <v>17</v>
      </c>
      <c r="B29" s="623" t="s">
        <v>438</v>
      </c>
      <c r="C29" s="623"/>
      <c r="D29" s="623"/>
      <c r="E29" s="623"/>
      <c r="F29" s="623"/>
      <c r="G29" s="623"/>
      <c r="H29" s="623"/>
      <c r="I29" s="624"/>
      <c r="J29" s="612">
        <f>SUM(J28:Q28)</f>
        <v>0</v>
      </c>
      <c r="K29" s="612"/>
      <c r="L29" s="612"/>
      <c r="M29" s="612"/>
      <c r="N29" s="612"/>
      <c r="O29" s="612"/>
      <c r="P29" s="612"/>
      <c r="Q29" s="612"/>
      <c r="R29" s="298"/>
      <c r="S29" s="129"/>
      <c r="T29" s="382" t="s">
        <v>435</v>
      </c>
      <c r="U29" s="382" t="s">
        <v>830</v>
      </c>
      <c r="V29" s="382" t="s">
        <v>831</v>
      </c>
      <c r="W29" s="382" t="s">
        <v>324</v>
      </c>
      <c r="X29" s="59"/>
      <c r="Y29" s="59"/>
      <c r="Z29" s="59"/>
      <c r="AA29" s="59"/>
    </row>
    <row r="30" spans="1:27" s="66" customFormat="1" ht="16.5" customHeight="1">
      <c r="A30" s="299"/>
      <c r="B30" s="253" t="s">
        <v>396</v>
      </c>
      <c r="C30" s="253"/>
      <c r="D30" s="253"/>
      <c r="E30" s="253"/>
      <c r="F30" s="253"/>
      <c r="G30" s="253"/>
      <c r="H30" s="253"/>
      <c r="I30" s="253"/>
      <c r="J30" s="253"/>
      <c r="K30" s="253"/>
      <c r="L30" s="253"/>
      <c r="M30" s="253"/>
      <c r="N30" s="253"/>
      <c r="O30" s="253"/>
      <c r="P30" s="253"/>
      <c r="Q30" s="253"/>
      <c r="R30" s="298"/>
      <c r="S30" s="129"/>
      <c r="T30" s="623" t="s">
        <v>439</v>
      </c>
      <c r="U30" s="625">
        <v>7</v>
      </c>
      <c r="V30" s="625">
        <v>18.5</v>
      </c>
      <c r="W30" s="625">
        <v>7</v>
      </c>
      <c r="X30" s="59"/>
      <c r="Y30" s="59"/>
      <c r="Z30" s="59"/>
      <c r="AA30" s="59"/>
    </row>
    <row r="31" spans="1:27" s="66" customFormat="1" ht="14.25" customHeight="1">
      <c r="A31" s="314">
        <v>18</v>
      </c>
      <c r="B31" s="626" t="s">
        <v>440</v>
      </c>
      <c r="C31" s="626"/>
      <c r="D31" s="626"/>
      <c r="E31" s="626"/>
      <c r="F31" s="626"/>
      <c r="G31" s="626"/>
      <c r="H31" s="626"/>
      <c r="I31" s="627"/>
      <c r="J31" s="621"/>
      <c r="K31" s="621"/>
      <c r="L31" s="621"/>
      <c r="M31" s="621"/>
      <c r="N31" s="621"/>
      <c r="O31" s="621"/>
      <c r="P31" s="621"/>
      <c r="Q31" s="621"/>
      <c r="R31" s="298"/>
      <c r="S31" s="129"/>
      <c r="T31" s="595"/>
      <c r="U31" s="596"/>
      <c r="V31" s="596"/>
      <c r="W31" s="596"/>
      <c r="X31" s="59"/>
      <c r="Y31" s="59"/>
      <c r="Z31" s="59"/>
      <c r="AA31" s="59"/>
    </row>
    <row r="32" spans="1:27" s="66" customFormat="1" ht="14.25" customHeight="1">
      <c r="A32" s="314">
        <v>19</v>
      </c>
      <c r="B32" s="610" t="s">
        <v>825</v>
      </c>
      <c r="C32" s="610"/>
      <c r="D32" s="610"/>
      <c r="E32" s="610"/>
      <c r="F32" s="610"/>
      <c r="G32" s="610"/>
      <c r="H32" s="610"/>
      <c r="I32" s="611"/>
      <c r="J32" s="622">
        <f>1-J31</f>
        <v>1</v>
      </c>
      <c r="K32" s="622"/>
      <c r="L32" s="622">
        <f t="shared" ref="L32" si="3">1-L31</f>
        <v>1</v>
      </c>
      <c r="M32" s="622"/>
      <c r="N32" s="622">
        <f t="shared" ref="N32" si="4">1-N31</f>
        <v>1</v>
      </c>
      <c r="O32" s="622"/>
      <c r="P32" s="622">
        <f t="shared" ref="P32" si="5">1-P31</f>
        <v>1</v>
      </c>
      <c r="Q32" s="622"/>
      <c r="R32" s="298"/>
      <c r="S32" s="129"/>
      <c r="T32" s="617" t="s">
        <v>796</v>
      </c>
      <c r="U32" s="618"/>
      <c r="V32" s="618"/>
      <c r="W32" s="618"/>
      <c r="X32" s="619"/>
      <c r="Y32" s="59"/>
      <c r="Z32" s="59"/>
      <c r="AA32" s="59"/>
    </row>
    <row r="33" spans="1:31" s="66" customFormat="1" ht="14.25" customHeight="1">
      <c r="A33" s="314">
        <v>20</v>
      </c>
      <c r="B33" s="610" t="s">
        <v>441</v>
      </c>
      <c r="C33" s="610"/>
      <c r="D33" s="610"/>
      <c r="E33" s="610"/>
      <c r="F33" s="610"/>
      <c r="G33" s="610"/>
      <c r="H33" s="610"/>
      <c r="I33" s="611"/>
      <c r="J33" s="620" t="str">
        <f>IF(J23="","",J23*J32)</f>
        <v/>
      </c>
      <c r="K33" s="620"/>
      <c r="L33" s="620" t="str">
        <f t="shared" ref="L33" si="6">IF(L23="","",L23*L32)</f>
        <v/>
      </c>
      <c r="M33" s="620"/>
      <c r="N33" s="620" t="str">
        <f t="shared" ref="N33" si="7">IF(N23="","",N23*N32)</f>
        <v/>
      </c>
      <c r="O33" s="620"/>
      <c r="P33" s="620" t="str">
        <f t="shared" ref="P33" si="8">IF(P23="","",P23*P32)</f>
        <v/>
      </c>
      <c r="Q33" s="620"/>
      <c r="R33" s="298"/>
      <c r="S33" s="129"/>
      <c r="T33" s="59"/>
      <c r="U33" s="59"/>
      <c r="V33" s="59"/>
      <c r="W33" s="59"/>
      <c r="X33" s="59"/>
      <c r="Y33" s="59"/>
      <c r="Z33" s="59"/>
      <c r="AA33" s="59"/>
    </row>
    <row r="34" spans="1:31" s="66" customFormat="1" ht="14.25" customHeight="1">
      <c r="A34" s="314">
        <v>21</v>
      </c>
      <c r="B34" s="610" t="s">
        <v>832</v>
      </c>
      <c r="C34" s="610"/>
      <c r="D34" s="610"/>
      <c r="E34" s="610"/>
      <c r="F34" s="610"/>
      <c r="G34" s="610"/>
      <c r="H34" s="610"/>
      <c r="I34" s="611"/>
      <c r="J34" s="614" t="str">
        <f>J24</f>
        <v/>
      </c>
      <c r="K34" s="614"/>
      <c r="L34" s="614" t="str">
        <f>L24</f>
        <v/>
      </c>
      <c r="M34" s="614"/>
      <c r="N34" s="614" t="str">
        <f>N24</f>
        <v/>
      </c>
      <c r="O34" s="614"/>
      <c r="P34" s="614" t="str">
        <f>P24</f>
        <v/>
      </c>
      <c r="Q34" s="614"/>
      <c r="R34" s="298"/>
      <c r="S34" s="129"/>
      <c r="T34" s="59"/>
      <c r="U34" s="59"/>
      <c r="V34" s="59"/>
      <c r="W34" s="59"/>
      <c r="X34" s="59"/>
      <c r="Y34" s="59"/>
      <c r="Z34" s="59"/>
      <c r="AA34" s="59"/>
    </row>
    <row r="35" spans="1:31" s="66" customFormat="1" ht="14.25" customHeight="1">
      <c r="A35" s="314">
        <v>22</v>
      </c>
      <c r="B35" s="610" t="s">
        <v>833</v>
      </c>
      <c r="C35" s="610"/>
      <c r="D35" s="610"/>
      <c r="E35" s="610"/>
      <c r="F35" s="610"/>
      <c r="G35" s="610"/>
      <c r="H35" s="610"/>
      <c r="I35" s="611"/>
      <c r="J35" s="614" t="str">
        <f>J25</f>
        <v/>
      </c>
      <c r="K35" s="614"/>
      <c r="L35" s="614" t="str">
        <f>L25</f>
        <v/>
      </c>
      <c r="M35" s="614"/>
      <c r="N35" s="614" t="str">
        <f>N25</f>
        <v/>
      </c>
      <c r="O35" s="614"/>
      <c r="P35" s="614" t="str">
        <f>P25</f>
        <v/>
      </c>
      <c r="Q35" s="614"/>
      <c r="R35" s="298"/>
      <c r="S35" s="129"/>
      <c r="T35" s="59"/>
      <c r="U35" s="59"/>
      <c r="V35" s="59"/>
      <c r="W35" s="59"/>
      <c r="X35" s="59"/>
      <c r="Y35" s="59"/>
      <c r="Z35" s="59"/>
      <c r="AA35" s="59"/>
    </row>
    <row r="36" spans="1:31" s="66" customFormat="1" ht="14.25" customHeight="1">
      <c r="A36" s="314">
        <v>23</v>
      </c>
      <c r="B36" s="610" t="s">
        <v>835</v>
      </c>
      <c r="C36" s="610"/>
      <c r="D36" s="610"/>
      <c r="E36" s="610"/>
      <c r="F36" s="610"/>
      <c r="G36" s="610"/>
      <c r="H36" s="610"/>
      <c r="I36" s="611"/>
      <c r="J36" s="616">
        <f>(E11-50)/30</f>
        <v>-1.6666666666666667</v>
      </c>
      <c r="K36" s="616"/>
      <c r="L36" s="616"/>
      <c r="M36" s="616"/>
      <c r="N36" s="616"/>
      <c r="O36" s="616"/>
      <c r="P36" s="616"/>
      <c r="Q36" s="616"/>
      <c r="R36" s="298"/>
      <c r="S36" s="129"/>
      <c r="T36" s="59"/>
      <c r="U36" s="59"/>
      <c r="V36" s="59"/>
      <c r="W36" s="59"/>
      <c r="X36" s="59"/>
      <c r="Y36" s="59"/>
      <c r="Z36" s="59"/>
      <c r="AA36" s="59"/>
    </row>
    <row r="37" spans="1:31" s="66" customFormat="1" ht="14.25" customHeight="1">
      <c r="A37" s="314">
        <v>24</v>
      </c>
      <c r="B37" s="610" t="s">
        <v>837</v>
      </c>
      <c r="C37" s="610"/>
      <c r="D37" s="610"/>
      <c r="E37" s="610"/>
      <c r="F37" s="610"/>
      <c r="G37" s="610"/>
      <c r="H37" s="610"/>
      <c r="I37" s="611"/>
      <c r="J37" s="614" t="str">
        <f>IF(J34="","",IF($E$11&gt;=80,J34,IF($E$11&lt;50,J35,J35+$J36*(J34-J35))))</f>
        <v/>
      </c>
      <c r="K37" s="614"/>
      <c r="L37" s="614" t="str">
        <f t="shared" ref="L37" si="9">IF(L34="","",IF($E$11&gt;=80,L34,IF($E$11&lt;50,L35,L35+$J36*(L34-L35))))</f>
        <v/>
      </c>
      <c r="M37" s="614"/>
      <c r="N37" s="614" t="str">
        <f t="shared" ref="N37" si="10">IF(N34="","",IF($E$11&gt;=80,N34,IF($E$11&lt;50,N35,N35+$J36*(N34-N35))))</f>
        <v/>
      </c>
      <c r="O37" s="614"/>
      <c r="P37" s="614" t="str">
        <f t="shared" ref="P37" si="11">IF(P34="","",IF($E$11&gt;=80,P34,IF($E$11&lt;50,P35,P35+$J36*(P34-P35))))</f>
        <v/>
      </c>
      <c r="Q37" s="614"/>
      <c r="R37" s="298"/>
      <c r="S37" s="129"/>
      <c r="T37" s="59"/>
      <c r="U37" s="59"/>
      <c r="V37" s="59"/>
      <c r="W37" s="59"/>
      <c r="X37" s="59"/>
      <c r="Y37" s="59"/>
      <c r="Z37" s="59"/>
      <c r="AA37" s="59"/>
    </row>
    <row r="38" spans="1:31" s="66" customFormat="1" ht="14.25" customHeight="1">
      <c r="A38" s="314">
        <v>25</v>
      </c>
      <c r="B38" s="610" t="s">
        <v>442</v>
      </c>
      <c r="C38" s="610"/>
      <c r="D38" s="610"/>
      <c r="E38" s="610"/>
      <c r="F38" s="610"/>
      <c r="G38" s="610"/>
      <c r="H38" s="610"/>
      <c r="I38" s="611"/>
      <c r="J38" s="614" t="str">
        <f>IF(J37="","",IF(J33="","",J37*J33))</f>
        <v/>
      </c>
      <c r="K38" s="614"/>
      <c r="L38" s="614" t="str">
        <f>IF(L37="","",IF(L33="","",L37*L33))</f>
        <v/>
      </c>
      <c r="M38" s="614"/>
      <c r="N38" s="614" t="str">
        <f>IF(N37="","",IF(N33="","",N37*N33))</f>
        <v/>
      </c>
      <c r="O38" s="614"/>
      <c r="P38" s="614" t="str">
        <f>IF(P37="","",IF(P33="","",P37*P33))</f>
        <v/>
      </c>
      <c r="Q38" s="614"/>
      <c r="R38" s="298"/>
      <c r="S38" s="129"/>
      <c r="T38" s="59"/>
      <c r="U38" s="59"/>
      <c r="V38" s="59"/>
      <c r="W38" s="59"/>
      <c r="X38" s="59"/>
      <c r="Y38" s="59"/>
      <c r="Z38" s="59"/>
      <c r="AA38" s="59"/>
    </row>
    <row r="39" spans="1:31" s="66" customFormat="1" ht="24.75" customHeight="1">
      <c r="A39" s="314">
        <v>26</v>
      </c>
      <c r="B39" s="562" t="s">
        <v>443</v>
      </c>
      <c r="C39" s="562"/>
      <c r="D39" s="562"/>
      <c r="E39" s="562"/>
      <c r="F39" s="562"/>
      <c r="G39" s="562"/>
      <c r="H39" s="562"/>
      <c r="I39" s="615"/>
      <c r="J39" s="612">
        <f>SUM(J38:Q38)</f>
        <v>0</v>
      </c>
      <c r="K39" s="612"/>
      <c r="L39" s="612"/>
      <c r="M39" s="612"/>
      <c r="N39" s="612"/>
      <c r="O39" s="612"/>
      <c r="P39" s="612"/>
      <c r="Q39" s="612"/>
      <c r="R39" s="298"/>
      <c r="S39" s="129"/>
      <c r="T39" s="59"/>
      <c r="U39" s="59"/>
      <c r="V39" s="59"/>
      <c r="W39" s="59"/>
      <c r="X39" s="364"/>
      <c r="Y39" s="364"/>
      <c r="Z39" s="364"/>
      <c r="AA39" s="364"/>
      <c r="AB39" s="365"/>
      <c r="AC39" s="365"/>
      <c r="AD39" s="365"/>
      <c r="AE39" s="365"/>
    </row>
    <row r="40" spans="1:31" s="66" customFormat="1" ht="14.25" customHeight="1">
      <c r="A40" s="314">
        <v>27</v>
      </c>
      <c r="B40" s="610" t="s">
        <v>444</v>
      </c>
      <c r="C40" s="610"/>
      <c r="D40" s="610"/>
      <c r="E40" s="610"/>
      <c r="F40" s="610"/>
      <c r="G40" s="610"/>
      <c r="H40" s="610"/>
      <c r="I40" s="611"/>
      <c r="J40" s="612">
        <f>J29-J39</f>
        <v>0</v>
      </c>
      <c r="K40" s="612"/>
      <c r="L40" s="612"/>
      <c r="M40" s="612"/>
      <c r="N40" s="612"/>
      <c r="O40" s="612"/>
      <c r="P40" s="612"/>
      <c r="Q40" s="612"/>
      <c r="R40" s="298"/>
      <c r="S40" s="129"/>
      <c r="T40" s="59"/>
      <c r="U40" s="59"/>
      <c r="V40" s="59"/>
      <c r="W40" s="59"/>
      <c r="X40" s="364"/>
      <c r="Y40" s="364"/>
      <c r="Z40" s="364"/>
      <c r="AA40" s="364"/>
      <c r="AB40" s="365"/>
      <c r="AC40" s="365"/>
      <c r="AD40" s="365"/>
      <c r="AE40" s="365"/>
    </row>
    <row r="41" spans="1:31" s="66" customFormat="1" ht="14.25" customHeight="1">
      <c r="A41" s="314">
        <v>28</v>
      </c>
      <c r="B41" s="610" t="s">
        <v>445</v>
      </c>
      <c r="C41" s="610"/>
      <c r="D41" s="610"/>
      <c r="E41" s="610"/>
      <c r="F41" s="610"/>
      <c r="G41" s="610"/>
      <c r="H41" s="610"/>
      <c r="I41" s="611"/>
      <c r="J41" s="612">
        <f>F70*J40</f>
        <v>0</v>
      </c>
      <c r="K41" s="612"/>
      <c r="L41" s="612"/>
      <c r="M41" s="612"/>
      <c r="N41" s="612"/>
      <c r="O41" s="612"/>
      <c r="P41" s="612"/>
      <c r="Q41" s="612"/>
      <c r="R41" s="314" t="s">
        <v>446</v>
      </c>
      <c r="S41" s="130"/>
      <c r="T41" s="59"/>
      <c r="U41" s="59"/>
      <c r="V41" s="59"/>
      <c r="W41" s="59"/>
      <c r="X41" s="364"/>
      <c r="Y41" s="364"/>
      <c r="Z41" s="364"/>
      <c r="AA41" s="364"/>
      <c r="AB41" s="365"/>
      <c r="AC41" s="365"/>
      <c r="AD41" s="365"/>
      <c r="AE41" s="365"/>
    </row>
    <row r="42" spans="1:31" s="66" customFormat="1" ht="14.25" customHeight="1">
      <c r="A42" s="314"/>
      <c r="B42" s="309" t="s">
        <v>797</v>
      </c>
      <c r="C42" s="309"/>
      <c r="D42" s="309"/>
      <c r="E42" s="309"/>
      <c r="F42" s="309"/>
      <c r="G42" s="309"/>
      <c r="H42" s="309"/>
      <c r="I42" s="309"/>
      <c r="J42" s="309"/>
      <c r="K42" s="309"/>
      <c r="L42" s="309"/>
      <c r="M42" s="309"/>
      <c r="N42" s="325"/>
      <c r="O42" s="309"/>
      <c r="P42" s="309"/>
      <c r="Q42" s="313"/>
      <c r="R42" s="298"/>
      <c r="S42" s="129"/>
      <c r="T42" s="59"/>
      <c r="U42" s="59"/>
      <c r="V42" s="59"/>
      <c r="W42" s="59"/>
      <c r="X42" s="59"/>
      <c r="Y42" s="59"/>
      <c r="Z42" s="59"/>
      <c r="AA42" s="59"/>
    </row>
    <row r="43" spans="1:31">
      <c r="A43" s="254"/>
      <c r="B43" s="57"/>
      <c r="C43" s="57"/>
      <c r="D43" s="57"/>
      <c r="E43" s="57"/>
      <c r="F43" s="57"/>
      <c r="G43" s="57"/>
      <c r="H43" s="57"/>
      <c r="I43" s="57"/>
      <c r="J43" s="57"/>
      <c r="K43" s="57"/>
      <c r="L43" s="57"/>
      <c r="M43" s="57"/>
      <c r="N43" s="57"/>
      <c r="O43" s="57"/>
      <c r="P43" s="57"/>
      <c r="Q43" s="57"/>
      <c r="R43" s="58"/>
      <c r="S43" s="255"/>
      <c r="T43" s="57"/>
      <c r="U43" s="57"/>
      <c r="V43" s="57"/>
      <c r="W43" s="57"/>
      <c r="X43" s="57"/>
      <c r="Y43" s="57"/>
      <c r="Z43" s="57"/>
      <c r="AA43" s="57"/>
    </row>
    <row r="44" spans="1:31">
      <c r="A44" s="57"/>
      <c r="B44" s="57"/>
      <c r="C44" s="57"/>
      <c r="D44" s="57"/>
      <c r="E44" s="57"/>
      <c r="F44" s="57"/>
      <c r="G44" s="57"/>
      <c r="H44" s="57"/>
      <c r="I44" s="57"/>
      <c r="J44" s="57"/>
      <c r="K44" s="57"/>
      <c r="L44" s="57"/>
      <c r="M44" s="57"/>
      <c r="N44" s="57"/>
      <c r="O44" s="57"/>
      <c r="P44" s="57"/>
      <c r="Q44" s="57"/>
      <c r="R44" s="57"/>
      <c r="S44" s="124"/>
      <c r="T44" s="57"/>
      <c r="U44" s="57"/>
      <c r="V44" s="57"/>
      <c r="W44" s="57"/>
      <c r="X44" s="57"/>
      <c r="Y44" s="57"/>
      <c r="Z44" s="57"/>
      <c r="AA44" s="57"/>
    </row>
    <row r="45" spans="1:31" ht="9.75" customHeight="1">
      <c r="A45" s="256"/>
      <c r="B45" s="57"/>
      <c r="C45" s="57"/>
      <c r="D45" s="57"/>
      <c r="E45" s="57"/>
      <c r="F45" s="57"/>
      <c r="G45" s="57"/>
      <c r="H45" s="57"/>
      <c r="I45" s="57"/>
      <c r="J45" s="124"/>
      <c r="K45" s="57"/>
      <c r="L45" s="57"/>
      <c r="M45" s="57"/>
      <c r="N45" s="57"/>
      <c r="O45" s="57"/>
      <c r="P45" s="57"/>
      <c r="Q45" s="57"/>
      <c r="R45" s="57"/>
      <c r="S45" s="124"/>
      <c r="T45" s="57"/>
      <c r="U45" s="57"/>
      <c r="V45" s="57"/>
      <c r="W45" s="57"/>
      <c r="X45" s="57"/>
      <c r="Y45" s="57"/>
      <c r="Z45" s="57"/>
      <c r="AA45" s="57"/>
    </row>
    <row r="46" spans="1:31">
      <c r="A46" s="256"/>
      <c r="B46" s="57"/>
      <c r="C46" s="57"/>
      <c r="D46" s="57"/>
      <c r="E46" s="57"/>
      <c r="F46" s="57"/>
      <c r="G46" s="57"/>
      <c r="H46" s="57"/>
      <c r="I46" s="57"/>
      <c r="J46" s="57"/>
      <c r="K46" s="57"/>
      <c r="L46" s="57"/>
      <c r="M46" s="57"/>
      <c r="N46" s="57"/>
      <c r="O46" s="57"/>
      <c r="P46" s="57"/>
      <c r="Q46" s="57"/>
      <c r="R46" s="57"/>
      <c r="S46" s="124"/>
      <c r="T46" s="57"/>
      <c r="U46" s="57"/>
      <c r="V46" s="57"/>
      <c r="W46" s="57"/>
      <c r="X46" s="57"/>
      <c r="Y46" s="57"/>
      <c r="Z46" s="57"/>
      <c r="AA46" s="57"/>
    </row>
    <row r="47" spans="1:31" ht="13.5" customHeight="1">
      <c r="A47" s="256"/>
      <c r="B47" s="57"/>
      <c r="C47" s="57"/>
      <c r="D47" s="57"/>
      <c r="E47" s="57"/>
      <c r="F47" s="57"/>
      <c r="G47" s="57"/>
      <c r="H47" s="57"/>
      <c r="I47" s="57"/>
      <c r="J47" s="57"/>
      <c r="K47" s="57"/>
      <c r="L47" s="57"/>
      <c r="M47" s="57"/>
      <c r="N47" s="57"/>
      <c r="O47" s="57"/>
      <c r="P47" s="57"/>
      <c r="Q47" s="57"/>
      <c r="R47" s="57"/>
      <c r="S47" s="124"/>
      <c r="T47" s="57"/>
      <c r="U47" s="57"/>
      <c r="V47" s="57"/>
      <c r="W47" s="57"/>
      <c r="X47" s="57"/>
      <c r="Y47" s="57"/>
      <c r="Z47" s="57"/>
      <c r="AA47" s="57"/>
    </row>
    <row r="48" spans="1:31" hidden="1">
      <c r="A48" s="256"/>
      <c r="B48" s="57"/>
      <c r="C48" s="57"/>
      <c r="D48" s="57"/>
      <c r="E48" s="57"/>
      <c r="F48" s="57"/>
      <c r="G48" s="57"/>
      <c r="H48" s="57"/>
      <c r="I48" s="57"/>
      <c r="J48" s="57"/>
      <c r="K48" s="57"/>
      <c r="L48" s="57"/>
      <c r="M48" s="57"/>
      <c r="N48" s="57"/>
      <c r="O48" s="57"/>
      <c r="P48" s="57"/>
      <c r="Q48" s="57"/>
      <c r="R48" s="57"/>
      <c r="S48" s="124"/>
      <c r="T48" s="57"/>
      <c r="U48" s="57"/>
      <c r="V48" s="57"/>
      <c r="W48" s="57"/>
      <c r="X48" s="57"/>
      <c r="Y48" s="57"/>
      <c r="Z48" s="57"/>
      <c r="AA48" s="57"/>
    </row>
    <row r="49" spans="1:27" ht="13.2" hidden="1" thickBot="1">
      <c r="A49" s="257"/>
      <c r="B49" s="57"/>
      <c r="C49" s="258" t="s">
        <v>527</v>
      </c>
      <c r="D49" s="57"/>
      <c r="E49" s="57"/>
      <c r="F49" s="57"/>
      <c r="G49" s="57"/>
      <c r="H49" s="57"/>
      <c r="I49" s="57"/>
      <c r="J49" s="57"/>
      <c r="K49" s="57"/>
      <c r="L49" s="57"/>
      <c r="M49" s="57"/>
      <c r="N49" s="57"/>
      <c r="O49" s="57"/>
      <c r="P49" s="57"/>
      <c r="Q49" s="57"/>
      <c r="R49" s="57"/>
      <c r="S49" s="124"/>
      <c r="T49" s="57"/>
      <c r="U49" s="57"/>
      <c r="V49" s="57"/>
      <c r="W49" s="57"/>
      <c r="X49" s="57"/>
      <c r="Y49" s="57"/>
      <c r="Z49" s="57"/>
      <c r="AA49" s="57"/>
    </row>
    <row r="50" spans="1:27" ht="21" hidden="1" thickBot="1">
      <c r="A50" s="257" t="s">
        <v>531</v>
      </c>
      <c r="B50" s="57">
        <v>1</v>
      </c>
      <c r="C50" s="258" t="s">
        <v>528</v>
      </c>
      <c r="D50" s="57"/>
      <c r="E50" s="57"/>
      <c r="F50" s="57"/>
      <c r="G50" s="57"/>
      <c r="H50" s="57"/>
      <c r="I50" s="57"/>
      <c r="J50" s="57"/>
      <c r="K50" s="57"/>
      <c r="L50" s="57"/>
      <c r="M50" s="57"/>
      <c r="N50" s="57"/>
      <c r="O50" s="57"/>
      <c r="P50" s="57"/>
      <c r="Q50" s="57"/>
      <c r="R50" s="57"/>
      <c r="S50" s="124"/>
      <c r="T50" s="57"/>
      <c r="U50" s="57"/>
      <c r="V50" s="57"/>
      <c r="W50" s="57"/>
      <c r="X50" s="57"/>
      <c r="Y50" s="57"/>
      <c r="Z50" s="57"/>
      <c r="AA50" s="57"/>
    </row>
    <row r="51" spans="1:27" ht="31.2" hidden="1" thickBot="1">
      <c r="A51" s="257" t="s">
        <v>532</v>
      </c>
      <c r="B51" s="57">
        <v>2</v>
      </c>
      <c r="C51" s="258" t="s">
        <v>529</v>
      </c>
      <c r="D51" s="57"/>
      <c r="E51" s="57"/>
      <c r="F51" s="57"/>
      <c r="G51" s="57"/>
      <c r="H51" s="57"/>
      <c r="I51" s="57"/>
      <c r="J51" s="57"/>
      <c r="K51" s="57"/>
      <c r="L51" s="57"/>
      <c r="M51" s="57"/>
      <c r="N51" s="57"/>
      <c r="O51" s="57"/>
      <c r="P51" s="57"/>
      <c r="Q51" s="57"/>
      <c r="R51" s="57"/>
      <c r="S51" s="124"/>
      <c r="T51" s="57"/>
      <c r="U51" s="57"/>
      <c r="V51" s="57"/>
      <c r="W51" s="57"/>
      <c r="X51" s="57"/>
      <c r="Y51" s="57"/>
      <c r="Z51" s="57"/>
      <c r="AA51" s="57"/>
    </row>
    <row r="52" spans="1:27" ht="51.6" hidden="1" thickBot="1">
      <c r="A52" s="257" t="s">
        <v>410</v>
      </c>
      <c r="B52" s="57">
        <v>3</v>
      </c>
      <c r="C52" s="258" t="s">
        <v>530</v>
      </c>
      <c r="D52" s="57"/>
      <c r="E52" s="57"/>
      <c r="F52" s="57"/>
      <c r="G52" s="259"/>
      <c r="H52" s="57"/>
      <c r="I52" s="57"/>
      <c r="J52" s="57"/>
      <c r="K52" s="57"/>
      <c r="L52" s="57"/>
      <c r="M52" s="57"/>
      <c r="N52" s="57"/>
      <c r="O52" s="57"/>
      <c r="P52" s="57"/>
      <c r="Q52" s="57"/>
      <c r="R52" s="57"/>
      <c r="S52" s="124"/>
      <c r="T52" s="57"/>
      <c r="U52" s="57"/>
      <c r="V52" s="57"/>
      <c r="W52" s="57"/>
      <c r="X52" s="57"/>
      <c r="Y52" s="57"/>
      <c r="Z52" s="57"/>
      <c r="AA52" s="57"/>
    </row>
    <row r="53" spans="1:27" ht="51.6" hidden="1" thickBot="1">
      <c r="A53" s="257" t="s">
        <v>533</v>
      </c>
      <c r="B53" s="57">
        <v>4</v>
      </c>
      <c r="C53" s="258" t="s">
        <v>535</v>
      </c>
      <c r="D53" s="57"/>
      <c r="E53" s="57"/>
      <c r="F53" s="57"/>
      <c r="G53" s="57"/>
      <c r="H53" s="57"/>
      <c r="I53" s="57"/>
      <c r="J53" s="259"/>
      <c r="K53" s="57"/>
      <c r="L53" s="57"/>
      <c r="M53" s="57"/>
      <c r="N53" s="57"/>
      <c r="O53" s="57"/>
      <c r="P53" s="57"/>
      <c r="Q53" s="57"/>
      <c r="R53" s="57"/>
      <c r="S53" s="124"/>
      <c r="T53" s="57"/>
      <c r="U53" s="57"/>
      <c r="V53" s="57"/>
      <c r="W53" s="57"/>
      <c r="X53" s="57"/>
      <c r="Y53" s="57"/>
      <c r="Z53" s="57"/>
      <c r="AA53" s="57"/>
    </row>
    <row r="54" spans="1:27" ht="31.2" hidden="1" thickBot="1">
      <c r="A54" s="257" t="s">
        <v>534</v>
      </c>
      <c r="B54" s="57">
        <v>5</v>
      </c>
      <c r="C54" s="258" t="s">
        <v>412</v>
      </c>
      <c r="D54" s="57"/>
      <c r="E54" s="57"/>
      <c r="F54" s="57"/>
      <c r="G54" s="57"/>
      <c r="H54" s="57"/>
      <c r="I54" s="57"/>
      <c r="J54" s="259"/>
      <c r="K54" s="57"/>
      <c r="L54" s="57"/>
      <c r="M54" s="57"/>
      <c r="N54" s="57"/>
      <c r="O54" s="57"/>
      <c r="P54" s="57"/>
      <c r="Q54" s="57"/>
      <c r="R54" s="57"/>
      <c r="S54" s="124"/>
      <c r="T54" s="57"/>
      <c r="U54" s="57"/>
      <c r="V54" s="57"/>
      <c r="W54" s="57"/>
      <c r="X54" s="57"/>
      <c r="Y54" s="57"/>
      <c r="Z54" s="57"/>
      <c r="AA54" s="57"/>
    </row>
    <row r="55" spans="1:27" ht="31.2" hidden="1" thickBot="1">
      <c r="A55" s="257" t="s">
        <v>536</v>
      </c>
      <c r="B55" s="57">
        <v>6</v>
      </c>
      <c r="C55" s="236"/>
      <c r="D55" s="57"/>
      <c r="E55" s="57"/>
      <c r="F55" s="57"/>
      <c r="G55" s="57"/>
      <c r="H55" s="57"/>
      <c r="I55" s="57"/>
      <c r="J55" s="259"/>
      <c r="K55" s="57"/>
      <c r="L55" s="57"/>
      <c r="M55" s="57"/>
      <c r="N55" s="57"/>
      <c r="O55" s="57"/>
      <c r="P55" s="57"/>
      <c r="Q55" s="57"/>
      <c r="R55" s="57"/>
      <c r="S55" s="124"/>
      <c r="T55" s="57"/>
      <c r="U55" s="57"/>
      <c r="V55" s="57"/>
      <c r="W55" s="57"/>
      <c r="X55" s="57"/>
      <c r="Y55" s="57"/>
      <c r="Z55" s="57"/>
      <c r="AA55" s="57"/>
    </row>
    <row r="56" spans="1:27" ht="31.2" hidden="1" thickBot="1">
      <c r="A56" s="257" t="s">
        <v>422</v>
      </c>
      <c r="B56" s="57">
        <v>7</v>
      </c>
      <c r="C56" s="613"/>
      <c r="D56" s="57"/>
      <c r="E56" s="57"/>
      <c r="F56" s="57"/>
      <c r="G56" s="57"/>
      <c r="H56" s="57"/>
      <c r="I56" s="57"/>
      <c r="J56" s="259"/>
      <c r="K56" s="57"/>
      <c r="L56" s="57"/>
      <c r="M56" s="57"/>
      <c r="N56" s="57"/>
      <c r="O56" s="57"/>
      <c r="P56" s="57"/>
      <c r="Q56" s="57"/>
      <c r="R56" s="57"/>
      <c r="S56" s="124"/>
      <c r="T56" s="57"/>
      <c r="U56" s="57"/>
      <c r="V56" s="57"/>
      <c r="W56" s="57"/>
      <c r="X56" s="57"/>
      <c r="Y56" s="57"/>
      <c r="Z56" s="57"/>
      <c r="AA56" s="57"/>
    </row>
    <row r="57" spans="1:27" ht="41.4" hidden="1" thickBot="1">
      <c r="A57" s="257" t="s">
        <v>537</v>
      </c>
      <c r="B57" s="57">
        <v>8</v>
      </c>
      <c r="C57" s="613"/>
      <c r="D57" s="57"/>
      <c r="E57" s="57"/>
      <c r="F57" s="57"/>
      <c r="G57" s="57"/>
      <c r="H57" s="57"/>
      <c r="I57" s="57"/>
      <c r="J57" s="259"/>
      <c r="K57" s="57"/>
      <c r="L57" s="57"/>
      <c r="M57" s="57"/>
      <c r="N57" s="57"/>
      <c r="O57" s="57"/>
      <c r="P57" s="57"/>
      <c r="Q57" s="57"/>
      <c r="R57" s="57"/>
      <c r="S57" s="124"/>
      <c r="T57" s="57"/>
      <c r="U57" s="57"/>
      <c r="V57" s="57"/>
      <c r="W57" s="57"/>
      <c r="X57" s="57"/>
      <c r="Y57" s="57"/>
      <c r="Z57" s="57"/>
      <c r="AA57" s="57"/>
    </row>
    <row r="58" spans="1:27" ht="41.4" hidden="1" thickBot="1">
      <c r="A58" s="257" t="s">
        <v>538</v>
      </c>
      <c r="B58" s="57">
        <v>9</v>
      </c>
      <c r="C58" s="57"/>
      <c r="D58" s="57"/>
      <c r="E58" s="57"/>
      <c r="F58" s="57"/>
      <c r="G58" s="57"/>
      <c r="H58" s="57"/>
      <c r="I58" s="57"/>
      <c r="J58" s="259"/>
      <c r="K58" s="57"/>
      <c r="L58" s="57"/>
      <c r="M58" s="57"/>
      <c r="N58" s="57"/>
      <c r="O58" s="57"/>
      <c r="P58" s="57"/>
      <c r="Q58" s="57"/>
      <c r="R58" s="57"/>
      <c r="S58" s="124"/>
      <c r="T58" s="57"/>
      <c r="U58" s="57"/>
      <c r="V58" s="57"/>
      <c r="W58" s="57"/>
      <c r="X58" s="57"/>
      <c r="Y58" s="57"/>
      <c r="Z58" s="57"/>
      <c r="AA58" s="57"/>
    </row>
    <row r="59" spans="1:27" ht="51.6" hidden="1" thickBot="1">
      <c r="A59" s="257" t="s">
        <v>539</v>
      </c>
      <c r="B59" s="57">
        <v>10</v>
      </c>
      <c r="C59" s="57"/>
      <c r="D59" s="57"/>
      <c r="E59" s="57"/>
      <c r="F59" s="57"/>
      <c r="G59" s="57"/>
      <c r="H59" s="57"/>
      <c r="I59" s="57"/>
      <c r="J59" s="259"/>
      <c r="K59" s="57"/>
      <c r="L59" s="57"/>
      <c r="M59" s="57"/>
      <c r="N59" s="57"/>
      <c r="O59" s="57"/>
      <c r="P59" s="57"/>
      <c r="Q59" s="57"/>
      <c r="R59" s="57"/>
      <c r="S59" s="124"/>
      <c r="T59" s="57"/>
      <c r="U59" s="57"/>
      <c r="V59" s="57"/>
      <c r="W59" s="57"/>
      <c r="X59" s="57"/>
      <c r="Y59" s="57"/>
      <c r="Z59" s="57"/>
      <c r="AA59" s="57"/>
    </row>
    <row r="60" spans="1:27" ht="41.4" hidden="1" thickBot="1">
      <c r="A60" s="257" t="s">
        <v>540</v>
      </c>
      <c r="B60" s="57">
        <v>11</v>
      </c>
      <c r="C60" s="57"/>
      <c r="D60" s="57"/>
      <c r="E60" s="57"/>
      <c r="F60" s="57"/>
      <c r="G60" s="57"/>
      <c r="H60" s="57"/>
      <c r="I60" s="57"/>
      <c r="J60" s="259"/>
      <c r="K60" s="57"/>
      <c r="L60" s="57"/>
      <c r="M60" s="57"/>
      <c r="N60" s="57"/>
      <c r="O60" s="57"/>
      <c r="P60" s="57"/>
      <c r="Q60" s="57"/>
      <c r="R60" s="57"/>
      <c r="S60" s="124"/>
      <c r="T60" s="57"/>
      <c r="U60" s="57"/>
      <c r="V60" s="57"/>
      <c r="W60" s="57"/>
      <c r="X60" s="57"/>
      <c r="Y60" s="57"/>
      <c r="Z60" s="57"/>
      <c r="AA60" s="57"/>
    </row>
    <row r="61" spans="1:27" ht="41.4" hidden="1" thickBot="1">
      <c r="A61" s="257" t="s">
        <v>541</v>
      </c>
      <c r="B61" s="57">
        <v>12</v>
      </c>
      <c r="C61" s="57"/>
      <c r="D61" s="57"/>
      <c r="E61" s="57"/>
      <c r="F61" s="57"/>
      <c r="G61" s="57"/>
      <c r="H61" s="57"/>
      <c r="I61" s="57"/>
      <c r="J61" s="259"/>
      <c r="K61" s="57"/>
      <c r="L61" s="57"/>
      <c r="M61" s="57"/>
      <c r="N61" s="57"/>
      <c r="O61" s="57"/>
      <c r="P61" s="57"/>
      <c r="Q61" s="57"/>
      <c r="R61" s="57"/>
      <c r="S61" s="124"/>
      <c r="T61" s="57"/>
      <c r="U61" s="57"/>
      <c r="V61" s="57"/>
      <c r="W61" s="57"/>
      <c r="X61" s="57"/>
      <c r="Y61" s="57"/>
      <c r="Z61" s="57"/>
      <c r="AA61" s="57"/>
    </row>
    <row r="62" spans="1:27" ht="41.4" hidden="1" thickBot="1">
      <c r="A62" s="257" t="s">
        <v>439</v>
      </c>
      <c r="B62" s="57">
        <v>13</v>
      </c>
      <c r="C62" s="57"/>
      <c r="D62" s="57"/>
      <c r="E62" s="57"/>
      <c r="F62" s="57"/>
      <c r="G62" s="57"/>
      <c r="H62" s="57"/>
      <c r="I62" s="57"/>
      <c r="J62" s="259"/>
      <c r="K62" s="57"/>
      <c r="L62" s="57"/>
      <c r="M62" s="57"/>
      <c r="N62" s="57"/>
      <c r="O62" s="57"/>
      <c r="P62" s="57"/>
      <c r="Q62" s="57"/>
      <c r="R62" s="57"/>
      <c r="S62" s="124"/>
      <c r="T62" s="57"/>
      <c r="U62" s="57"/>
      <c r="V62" s="57"/>
      <c r="W62" s="57"/>
      <c r="X62" s="57"/>
      <c r="Y62" s="57"/>
      <c r="Z62" s="57"/>
      <c r="AA62" s="57"/>
    </row>
    <row r="63" spans="1:27" hidden="1">
      <c r="A63" s="256"/>
      <c r="B63" s="57"/>
      <c r="C63" s="57"/>
      <c r="D63" s="57"/>
      <c r="E63" s="57"/>
      <c r="F63" s="57"/>
      <c r="G63" s="57"/>
      <c r="H63" s="57"/>
      <c r="I63" s="57"/>
      <c r="J63" s="259"/>
      <c r="K63" s="57"/>
      <c r="L63" s="57"/>
      <c r="M63" s="57"/>
      <c r="N63" s="57"/>
      <c r="O63" s="57"/>
      <c r="P63" s="57"/>
      <c r="Q63" s="57"/>
      <c r="R63" s="57"/>
      <c r="S63" s="124"/>
      <c r="T63" s="57"/>
      <c r="U63" s="57"/>
      <c r="V63" s="57"/>
      <c r="W63" s="57"/>
      <c r="X63" s="57"/>
      <c r="Y63" s="57"/>
      <c r="Z63" s="57"/>
      <c r="AA63" s="57"/>
    </row>
    <row r="64" spans="1:27" ht="20.399999999999999" hidden="1">
      <c r="A64" s="256"/>
      <c r="B64" s="353" t="s">
        <v>816</v>
      </c>
      <c r="C64" s="354" t="str">
        <f>'SP4-1'!I28</f>
        <v>2% up to 30 years and 1.5% after 30 years</v>
      </c>
      <c r="D64" s="57"/>
      <c r="E64" s="57"/>
      <c r="F64" s="57"/>
      <c r="G64" s="57"/>
      <c r="H64" s="57"/>
      <c r="I64" s="57"/>
      <c r="J64" s="260"/>
      <c r="K64" s="57"/>
      <c r="L64" s="57"/>
      <c r="M64" s="57"/>
      <c r="N64" s="57"/>
      <c r="O64" s="57"/>
      <c r="P64" s="57"/>
      <c r="Q64" s="57"/>
      <c r="R64" s="57"/>
      <c r="S64" s="124"/>
      <c r="T64" s="57"/>
      <c r="U64" s="57"/>
      <c r="V64" s="57"/>
      <c r="W64" s="57"/>
      <c r="X64" s="57"/>
      <c r="Y64" s="57"/>
      <c r="Z64" s="57"/>
      <c r="AA64" s="57"/>
    </row>
    <row r="65" spans="1:27" hidden="1">
      <c r="A65" s="256"/>
      <c r="B65" s="353" t="s">
        <v>817</v>
      </c>
      <c r="C65" s="355">
        <v>1</v>
      </c>
      <c r="D65" s="57"/>
      <c r="E65" s="57"/>
      <c r="F65" s="57"/>
      <c r="G65" s="57"/>
      <c r="H65" s="57"/>
      <c r="I65" s="57"/>
      <c r="J65" s="57"/>
      <c r="K65" s="57"/>
      <c r="L65" s="57"/>
      <c r="M65" s="57"/>
      <c r="N65" s="57"/>
      <c r="O65" s="57"/>
      <c r="P65" s="57"/>
      <c r="Q65" s="57"/>
      <c r="R65" s="57"/>
      <c r="S65" s="124"/>
      <c r="T65" s="57"/>
      <c r="U65" s="57"/>
      <c r="V65" s="57"/>
      <c r="W65" s="57"/>
      <c r="X65" s="57"/>
      <c r="Y65" s="57"/>
      <c r="Z65" s="57"/>
      <c r="AA65" s="57"/>
    </row>
    <row r="66" spans="1:27" ht="30.6" hidden="1">
      <c r="A66" s="256"/>
      <c r="B66" s="353" t="str">
        <f>'SP4-1'!B27</f>
        <v>Eval. Period (yrs)</v>
      </c>
      <c r="C66" s="355">
        <f>'SP4-1'!I27</f>
        <v>40</v>
      </c>
      <c r="D66" s="57"/>
      <c r="E66" s="57"/>
      <c r="F66" s="57"/>
      <c r="G66" s="57"/>
      <c r="H66" s="57"/>
      <c r="I66" s="57"/>
      <c r="J66" s="57"/>
      <c r="K66" s="57"/>
      <c r="L66" s="57"/>
      <c r="M66" s="57"/>
      <c r="N66" s="57"/>
      <c r="O66" s="57"/>
      <c r="P66" s="57"/>
      <c r="Q66" s="57"/>
      <c r="R66" s="57"/>
      <c r="S66" s="124"/>
      <c r="T66" s="57"/>
      <c r="U66" s="57"/>
      <c r="V66" s="57"/>
      <c r="W66" s="57"/>
      <c r="X66" s="57"/>
      <c r="Y66" s="57"/>
      <c r="Z66" s="57"/>
      <c r="AA66" s="57"/>
    </row>
    <row r="67" spans="1:27" ht="30.6" hidden="1">
      <c r="A67" s="256"/>
      <c r="B67" s="353" t="str">
        <f>M10</f>
        <v>Traffic growth rate</v>
      </c>
      <c r="C67" s="356">
        <f>N10</f>
        <v>0</v>
      </c>
      <c r="D67" s="57"/>
      <c r="E67" s="57"/>
      <c r="F67" s="57"/>
      <c r="G67" s="57"/>
      <c r="H67" s="57"/>
      <c r="I67" s="57"/>
      <c r="J67" s="57"/>
      <c r="K67" s="57"/>
      <c r="L67" s="57"/>
      <c r="M67" s="57"/>
      <c r="N67" s="57"/>
      <c r="O67" s="57"/>
      <c r="P67" s="57"/>
      <c r="Q67" s="57"/>
      <c r="R67" s="57"/>
      <c r="S67" s="124"/>
      <c r="T67" s="57"/>
      <c r="U67" s="57"/>
      <c r="V67" s="57"/>
      <c r="W67" s="57"/>
      <c r="X67" s="57"/>
      <c r="Y67" s="57"/>
      <c r="Z67" s="57"/>
      <c r="AA67" s="57"/>
    </row>
    <row r="68" spans="1:27" hidden="1">
      <c r="A68" s="256"/>
      <c r="B68" s="57"/>
      <c r="C68" s="57"/>
      <c r="D68" s="57"/>
      <c r="E68" s="57"/>
      <c r="F68" s="57"/>
      <c r="G68" s="57"/>
      <c r="H68" s="57"/>
      <c r="I68" s="57"/>
      <c r="J68" s="57"/>
      <c r="K68" s="57"/>
      <c r="L68" s="57"/>
      <c r="M68" s="57"/>
      <c r="N68" s="57"/>
      <c r="O68" s="57"/>
      <c r="P68" s="57"/>
      <c r="Q68" s="57"/>
      <c r="R68" s="57"/>
      <c r="S68" s="124"/>
      <c r="T68" s="57"/>
      <c r="U68" s="57"/>
      <c r="V68" s="57"/>
      <c r="W68" s="57"/>
      <c r="X68" s="57"/>
      <c r="Y68" s="57"/>
      <c r="Z68" s="57"/>
      <c r="AA68" s="57"/>
    </row>
    <row r="69" spans="1:27" ht="13.2" hidden="1">
      <c r="A69" s="256"/>
      <c r="B69" s="357" t="s">
        <v>134</v>
      </c>
      <c r="C69" s="357" t="s">
        <v>135</v>
      </c>
      <c r="D69" s="357" t="s">
        <v>137</v>
      </c>
      <c r="E69" s="357" t="s">
        <v>136</v>
      </c>
      <c r="F69" s="604" t="s">
        <v>818</v>
      </c>
      <c r="G69" s="605"/>
      <c r="H69" s="57"/>
      <c r="I69" s="57"/>
      <c r="J69" s="57"/>
      <c r="K69" s="57"/>
      <c r="L69" s="57"/>
      <c r="M69" s="57"/>
      <c r="N69" s="57"/>
      <c r="O69" s="57"/>
      <c r="P69" s="57"/>
      <c r="Q69" s="57"/>
      <c r="R69" s="57"/>
      <c r="S69" s="124"/>
      <c r="T69" s="57"/>
      <c r="U69" s="57"/>
      <c r="V69" s="57"/>
      <c r="W69" s="57"/>
      <c r="X69" s="57"/>
      <c r="Y69" s="57"/>
      <c r="Z69" s="57"/>
      <c r="AA69" s="57"/>
    </row>
    <row r="70" spans="1:27" hidden="1">
      <c r="A70" s="256"/>
      <c r="B70" s="57">
        <f>Tables!$O$11</f>
        <v>0.99016372140870601</v>
      </c>
      <c r="C70" s="57">
        <f>Tables!$O$12</f>
        <v>27.749070548666339</v>
      </c>
      <c r="D70" s="57">
        <f>Tables!$O$13</f>
        <v>0.49344788445523591</v>
      </c>
      <c r="E70" s="57">
        <f>Tables!$O$14</f>
        <v>484.78895313845783</v>
      </c>
      <c r="F70" s="606">
        <f>(C70-B70)+((C$67)*(E70-D70))</f>
        <v>26.758906827257633</v>
      </c>
      <c r="G70" s="607"/>
      <c r="H70" s="57"/>
      <c r="I70" s="57"/>
      <c r="J70" s="57"/>
      <c r="K70" s="57"/>
      <c r="L70" s="57"/>
      <c r="M70" s="57"/>
      <c r="N70" s="57"/>
      <c r="O70" s="57"/>
      <c r="P70" s="57"/>
      <c r="Q70" s="57"/>
      <c r="R70" s="57"/>
      <c r="S70" s="124"/>
      <c r="T70" s="57"/>
      <c r="U70" s="57"/>
      <c r="V70" s="57"/>
      <c r="W70" s="57"/>
      <c r="X70" s="57"/>
      <c r="Y70" s="57"/>
      <c r="Z70" s="57"/>
      <c r="AA70" s="57"/>
    </row>
    <row r="71" spans="1:27" hidden="1">
      <c r="A71" s="256"/>
      <c r="B71" s="57"/>
      <c r="C71" s="57"/>
      <c r="D71" s="57"/>
      <c r="E71" s="57"/>
      <c r="F71" s="57"/>
      <c r="G71" s="57"/>
      <c r="H71" s="57"/>
      <c r="I71" s="57"/>
      <c r="J71" s="57"/>
      <c r="K71" s="57"/>
      <c r="L71" s="57"/>
      <c r="M71" s="57"/>
      <c r="N71" s="57"/>
      <c r="O71" s="57"/>
      <c r="P71" s="57"/>
      <c r="Q71" s="57"/>
      <c r="R71" s="57"/>
      <c r="S71" s="124"/>
      <c r="T71" s="57"/>
      <c r="U71" s="57"/>
      <c r="V71" s="57"/>
      <c r="W71" s="57"/>
      <c r="X71" s="57"/>
      <c r="Y71" s="57"/>
      <c r="Z71" s="57"/>
      <c r="AA71" s="57"/>
    </row>
    <row r="72" spans="1:27" hidden="1">
      <c r="A72" s="256"/>
      <c r="B72" s="57"/>
      <c r="C72" s="57"/>
      <c r="D72" s="57"/>
      <c r="E72" s="57"/>
      <c r="F72" s="57"/>
      <c r="G72" s="57"/>
      <c r="H72" s="57"/>
      <c r="I72" s="57"/>
      <c r="J72" s="57"/>
      <c r="K72" s="57"/>
      <c r="L72" s="57"/>
      <c r="M72" s="57"/>
      <c r="N72" s="57"/>
      <c r="O72" s="57"/>
      <c r="P72" s="57"/>
      <c r="Q72" s="57"/>
      <c r="R72" s="57"/>
      <c r="S72" s="124"/>
      <c r="T72" s="57"/>
      <c r="U72" s="57"/>
      <c r="V72" s="57"/>
      <c r="W72" s="57"/>
      <c r="X72" s="57"/>
      <c r="Y72" s="57"/>
      <c r="Z72" s="57"/>
      <c r="AA72" s="57"/>
    </row>
    <row r="73" spans="1:27" s="66" customFormat="1" ht="15.6" hidden="1">
      <c r="A73" s="62"/>
      <c r="B73" s="118" t="s">
        <v>819</v>
      </c>
      <c r="C73"/>
      <c r="D73"/>
      <c r="E73"/>
      <c r="F73"/>
      <c r="G73"/>
      <c r="H73"/>
      <c r="I73"/>
      <c r="J73"/>
      <c r="K73" s="59"/>
      <c r="L73" s="59"/>
      <c r="M73" s="59"/>
      <c r="N73" s="59"/>
      <c r="O73" s="59"/>
      <c r="P73" s="59"/>
      <c r="Q73" s="59"/>
      <c r="R73" s="59"/>
      <c r="S73" s="63"/>
      <c r="T73" s="59"/>
      <c r="U73" s="59"/>
      <c r="V73" s="59"/>
      <c r="W73" s="59"/>
      <c r="X73" s="59"/>
      <c r="Y73" s="59"/>
      <c r="Z73" s="59"/>
      <c r="AA73" s="59"/>
    </row>
    <row r="74" spans="1:27" s="66" customFormat="1" ht="15" hidden="1" customHeight="1" thickBot="1">
      <c r="A74" s="62"/>
      <c r="B74" s="608" t="s">
        <v>447</v>
      </c>
      <c r="C74" s="609" t="s">
        <v>448</v>
      </c>
      <c r="D74" s="609"/>
      <c r="E74" s="609"/>
      <c r="F74" s="609"/>
      <c r="G74" s="609"/>
      <c r="H74" s="609"/>
      <c r="I74" s="609"/>
      <c r="J74" s="609"/>
      <c r="K74" s="59"/>
      <c r="L74" s="59"/>
      <c r="M74" s="59"/>
      <c r="N74" s="59"/>
      <c r="O74" s="59"/>
      <c r="P74" s="59"/>
      <c r="Q74" s="59"/>
      <c r="R74" s="59"/>
      <c r="S74" s="63"/>
      <c r="T74" s="59"/>
      <c r="U74" s="59"/>
      <c r="V74" s="59"/>
      <c r="W74" s="59"/>
      <c r="X74" s="59"/>
      <c r="Y74" s="59"/>
      <c r="Z74" s="59"/>
      <c r="AA74" s="59"/>
    </row>
    <row r="75" spans="1:27" s="66" customFormat="1" ht="14.4" hidden="1" thickBot="1">
      <c r="A75" s="62"/>
      <c r="B75" s="609"/>
      <c r="C75" s="358">
        <v>0</v>
      </c>
      <c r="D75" s="358">
        <v>0.01</v>
      </c>
      <c r="E75" s="358">
        <v>0.02</v>
      </c>
      <c r="F75" s="358">
        <v>0.03</v>
      </c>
      <c r="G75" s="358">
        <v>0.04</v>
      </c>
      <c r="H75" s="358">
        <v>0.05</v>
      </c>
      <c r="I75" s="358">
        <v>0.06</v>
      </c>
      <c r="J75" s="358">
        <v>7.0000000000000007E-2</v>
      </c>
      <c r="K75" s="59"/>
      <c r="L75" s="59"/>
      <c r="M75" s="59"/>
      <c r="N75" s="59"/>
      <c r="O75" s="59"/>
      <c r="P75" s="59"/>
      <c r="Q75" s="59"/>
      <c r="R75" s="59"/>
      <c r="S75" s="59"/>
      <c r="T75" s="59"/>
      <c r="U75" s="59"/>
      <c r="V75" s="59"/>
      <c r="W75" s="59"/>
      <c r="X75" s="59"/>
      <c r="Y75" s="59"/>
      <c r="Z75" s="59"/>
      <c r="AA75" s="59"/>
    </row>
    <row r="76" spans="1:27" s="66" customFormat="1" ht="28.2" hidden="1" thickBot="1">
      <c r="A76" s="62">
        <v>70</v>
      </c>
      <c r="B76" s="119" t="s">
        <v>820</v>
      </c>
      <c r="C76" s="119">
        <v>0.83</v>
      </c>
      <c r="D76" s="119">
        <v>0.86</v>
      </c>
      <c r="E76" s="119">
        <v>0.9</v>
      </c>
      <c r="F76" s="119">
        <v>0.93</v>
      </c>
      <c r="G76" s="119">
        <v>0.96</v>
      </c>
      <c r="H76" s="119">
        <v>0.99</v>
      </c>
      <c r="I76" s="119">
        <v>1.03</v>
      </c>
      <c r="J76" s="119">
        <v>1.06</v>
      </c>
      <c r="K76" s="59"/>
      <c r="L76" s="59"/>
      <c r="M76" s="59"/>
      <c r="N76" s="59"/>
      <c r="O76" s="59"/>
      <c r="P76" s="59"/>
      <c r="Q76" s="59"/>
      <c r="R76" s="59"/>
      <c r="S76" s="59"/>
      <c r="T76" s="59"/>
      <c r="U76" s="59"/>
      <c r="V76" s="59"/>
      <c r="W76" s="59"/>
      <c r="X76" s="59"/>
      <c r="Y76" s="59"/>
      <c r="Z76" s="59"/>
      <c r="AA76" s="59"/>
    </row>
    <row r="77" spans="1:27" s="66" customFormat="1" ht="42" hidden="1" thickBot="1">
      <c r="A77" s="62"/>
      <c r="B77" s="119" t="s">
        <v>821</v>
      </c>
      <c r="C77" s="119">
        <v>0.95</v>
      </c>
      <c r="D77" s="119">
        <v>0.98</v>
      </c>
      <c r="E77" s="119">
        <v>1.02</v>
      </c>
      <c r="F77" s="119">
        <v>1.06</v>
      </c>
      <c r="G77" s="119">
        <v>1.1000000000000001</v>
      </c>
      <c r="H77" s="119">
        <v>1.1399999999999999</v>
      </c>
      <c r="I77" s="119">
        <v>1.17</v>
      </c>
      <c r="J77" s="119">
        <v>1.21</v>
      </c>
      <c r="K77" s="59"/>
      <c r="L77" s="59"/>
      <c r="M77" s="59"/>
      <c r="N77" s="59"/>
      <c r="O77" s="59"/>
      <c r="P77" s="59"/>
      <c r="Q77" s="59"/>
      <c r="R77" s="59"/>
      <c r="S77" s="59"/>
      <c r="T77" s="59"/>
      <c r="U77" s="59"/>
      <c r="V77" s="59"/>
      <c r="W77" s="59"/>
      <c r="X77" s="59"/>
      <c r="Y77" s="59"/>
      <c r="Z77" s="59"/>
      <c r="AA77" s="59"/>
    </row>
    <row r="78" spans="1:27" hidden="1">
      <c r="A78" s="256"/>
      <c r="B78" s="57"/>
      <c r="C78" s="57"/>
      <c r="D78" s="57"/>
      <c r="E78" s="57"/>
      <c r="F78" s="57"/>
      <c r="G78" s="57"/>
      <c r="H78" s="57"/>
      <c r="I78" s="57"/>
      <c r="J78" s="57"/>
      <c r="K78" s="57"/>
      <c r="L78" s="57"/>
      <c r="M78" s="57"/>
      <c r="N78" s="57"/>
      <c r="O78" s="57"/>
      <c r="P78" s="57"/>
      <c r="Q78" s="57"/>
      <c r="R78" s="57"/>
      <c r="S78" s="124"/>
      <c r="T78" s="57"/>
      <c r="U78" s="57"/>
      <c r="V78" s="57"/>
      <c r="W78" s="57"/>
      <c r="X78" s="57"/>
      <c r="Y78" s="57"/>
      <c r="Z78" s="57"/>
      <c r="AA78" s="57"/>
    </row>
    <row r="79" spans="1:27" hidden="1">
      <c r="A79" s="256"/>
      <c r="B79" s="57"/>
      <c r="C79" s="57"/>
      <c r="D79" s="57"/>
      <c r="E79" s="57"/>
      <c r="F79" s="57"/>
      <c r="G79" s="57"/>
      <c r="H79" s="57"/>
      <c r="I79" s="57"/>
      <c r="J79" s="57"/>
      <c r="K79" s="57"/>
      <c r="L79" s="57"/>
      <c r="M79" s="57"/>
      <c r="N79" s="57"/>
      <c r="O79" s="57"/>
      <c r="P79" s="57"/>
      <c r="Q79" s="57"/>
      <c r="R79" s="57"/>
      <c r="S79" s="124"/>
      <c r="T79" s="57"/>
      <c r="U79" s="57"/>
      <c r="V79" s="57"/>
      <c r="W79" s="57"/>
      <c r="X79" s="57"/>
      <c r="Y79" s="57"/>
      <c r="Z79" s="57"/>
      <c r="AA79" s="57"/>
    </row>
    <row r="80" spans="1:27" hidden="1">
      <c r="A80" s="256"/>
      <c r="B80" s="57"/>
      <c r="C80" s="57"/>
      <c r="D80" s="57"/>
      <c r="E80" s="57"/>
      <c r="F80" s="57"/>
      <c r="G80" s="57"/>
      <c r="H80" s="57"/>
      <c r="I80" s="57"/>
      <c r="J80" s="57"/>
      <c r="K80" s="57"/>
      <c r="L80" s="57"/>
      <c r="M80" s="57"/>
      <c r="N80" s="57"/>
      <c r="O80" s="57"/>
      <c r="P80" s="57"/>
      <c r="Q80" s="57"/>
      <c r="R80" s="57"/>
      <c r="S80" s="124"/>
      <c r="T80" s="57"/>
      <c r="U80" s="57"/>
      <c r="V80" s="57"/>
      <c r="W80" s="57"/>
      <c r="X80" s="57"/>
      <c r="Y80" s="57"/>
      <c r="Z80" s="57"/>
      <c r="AA80" s="57"/>
    </row>
    <row r="81" spans="1:27" hidden="1">
      <c r="A81" s="256"/>
      <c r="B81" s="57"/>
      <c r="C81" s="57"/>
      <c r="D81" s="57"/>
      <c r="E81" s="57"/>
      <c r="F81" s="57"/>
      <c r="G81" s="57"/>
      <c r="H81" s="57"/>
      <c r="I81" s="57"/>
      <c r="J81" s="57"/>
      <c r="K81" s="57"/>
      <c r="L81" s="57"/>
      <c r="M81" s="57"/>
      <c r="N81" s="57"/>
      <c r="O81" s="57"/>
      <c r="P81" s="57"/>
      <c r="Q81" s="57"/>
      <c r="R81" s="57"/>
      <c r="S81" s="124"/>
      <c r="T81" s="57"/>
      <c r="U81" s="57"/>
      <c r="V81" s="57"/>
      <c r="W81" s="57"/>
      <c r="X81" s="57"/>
      <c r="Y81" s="57"/>
      <c r="Z81" s="57"/>
      <c r="AA81" s="57"/>
    </row>
    <row r="82" spans="1:27">
      <c r="A82" s="256"/>
      <c r="B82" s="57"/>
      <c r="C82" s="57"/>
      <c r="D82" s="57"/>
      <c r="E82" s="57"/>
      <c r="F82" s="57"/>
      <c r="G82" s="57"/>
      <c r="H82" s="57"/>
      <c r="I82" s="57"/>
      <c r="J82" s="57"/>
      <c r="K82" s="57"/>
      <c r="L82" s="57"/>
      <c r="M82" s="57"/>
      <c r="N82" s="57"/>
      <c r="O82" s="57"/>
      <c r="P82" s="57"/>
      <c r="Q82" s="57"/>
      <c r="R82" s="57"/>
      <c r="S82" s="124"/>
      <c r="T82" s="57"/>
      <c r="U82" s="57"/>
      <c r="V82" s="57"/>
      <c r="W82" s="57"/>
      <c r="X82" s="57"/>
      <c r="Y82" s="57"/>
      <c r="Z82" s="57"/>
      <c r="AA82" s="57"/>
    </row>
    <row r="83" spans="1:27">
      <c r="A83" s="256"/>
      <c r="B83" s="57"/>
      <c r="C83" s="57"/>
      <c r="D83" s="57"/>
      <c r="E83" s="57"/>
      <c r="F83" s="57"/>
      <c r="G83" s="57"/>
      <c r="H83" s="57"/>
      <c r="I83" s="57"/>
      <c r="J83" s="57"/>
      <c r="K83" s="57"/>
      <c r="L83" s="57"/>
      <c r="M83" s="57"/>
      <c r="N83" s="57"/>
      <c r="O83" s="57"/>
      <c r="P83" s="57"/>
      <c r="Q83" s="57"/>
      <c r="R83" s="57"/>
      <c r="S83" s="124"/>
      <c r="T83" s="57"/>
      <c r="U83" s="57"/>
      <c r="V83" s="57"/>
      <c r="W83" s="57"/>
      <c r="X83" s="57"/>
      <c r="Y83" s="57"/>
      <c r="Z83" s="57"/>
      <c r="AA83" s="57"/>
    </row>
  </sheetData>
  <sheetProtection algorithmName="SHA-512" hashValue="0CLnBrf9TVSvqz37Cf8OeI/UNBDsp/qtq2YGEm5Gq+Mb+Hhn9P+e9wLnUrrl938hQoVIoMpSLHLp4axqiVZxKg==" saltValue="ZAB49ccioegBYElCtznkHg==" spinCount="100000" sheet="1" objects="1" scenarios="1"/>
  <protectedRanges>
    <protectedRange sqref="E42:F42" name="Range15"/>
    <protectedRange sqref="L42:M42" name="Range14"/>
    <protectedRange sqref="C8:D9 O8:Q10 R28:S28 J8 K8:M9 I9:J9 R8:S13 M12" name="Range1"/>
    <protectedRange sqref="R22:S22" name="Range3"/>
    <protectedRange sqref="R24:S27 R31:S31" name="Range5"/>
    <protectedRange sqref="M13" name="Range1_1"/>
    <protectedRange sqref="E40:F41" name="Range15_1"/>
    <protectedRange sqref="F28:I28 G33:I33" name="Range5_1_1"/>
    <protectedRange sqref="E37:G37" name="Range10_1"/>
    <protectedRange sqref="E8:H11" name="Range1_1_1"/>
  </protectedRanges>
  <mergeCells count="143">
    <mergeCell ref="T13:X14"/>
    <mergeCell ref="J14:K14"/>
    <mergeCell ref="L14:M14"/>
    <mergeCell ref="N14:O14"/>
    <mergeCell ref="P14:Q14"/>
    <mergeCell ref="B4:Q5"/>
    <mergeCell ref="T5:V5"/>
    <mergeCell ref="E8:H8"/>
    <mergeCell ref="N8:Q8"/>
    <mergeCell ref="E9:H9"/>
    <mergeCell ref="N9:Q9"/>
    <mergeCell ref="B15:I15"/>
    <mergeCell ref="J15:Q15"/>
    <mergeCell ref="B16:I16"/>
    <mergeCell ref="J16:K16"/>
    <mergeCell ref="L16:M16"/>
    <mergeCell ref="N16:O16"/>
    <mergeCell ref="P16:Q16"/>
    <mergeCell ref="E10:H10"/>
    <mergeCell ref="N10:Q10"/>
    <mergeCell ref="E11:H11"/>
    <mergeCell ref="B13:I14"/>
    <mergeCell ref="J13:Q13"/>
    <mergeCell ref="V17:V18"/>
    <mergeCell ref="W17:W18"/>
    <mergeCell ref="B18:I18"/>
    <mergeCell ref="J18:K18"/>
    <mergeCell ref="L18:M18"/>
    <mergeCell ref="N18:O18"/>
    <mergeCell ref="P18:Q18"/>
    <mergeCell ref="T16:U16"/>
    <mergeCell ref="B17:I17"/>
    <mergeCell ref="J17:K17"/>
    <mergeCell ref="L17:M17"/>
    <mergeCell ref="N17:O17"/>
    <mergeCell ref="P17:Q17"/>
    <mergeCell ref="T17:T18"/>
    <mergeCell ref="V21:V22"/>
    <mergeCell ref="W21:W22"/>
    <mergeCell ref="B22:I22"/>
    <mergeCell ref="J22:K22"/>
    <mergeCell ref="L22:M22"/>
    <mergeCell ref="N22:O22"/>
    <mergeCell ref="P22:Q22"/>
    <mergeCell ref="V19:V20"/>
    <mergeCell ref="W19:W20"/>
    <mergeCell ref="B20:I20"/>
    <mergeCell ref="J20:Q20"/>
    <mergeCell ref="B21:I21"/>
    <mergeCell ref="J21:K21"/>
    <mergeCell ref="L21:M21"/>
    <mergeCell ref="N21:O21"/>
    <mergeCell ref="P21:Q21"/>
    <mergeCell ref="T21:T22"/>
    <mergeCell ref="B19:I19"/>
    <mergeCell ref="J19:K19"/>
    <mergeCell ref="L19:M19"/>
    <mergeCell ref="N19:O19"/>
    <mergeCell ref="P19:Q19"/>
    <mergeCell ref="T19:T20"/>
    <mergeCell ref="T25:W27"/>
    <mergeCell ref="B26:I26"/>
    <mergeCell ref="J26:Q26"/>
    <mergeCell ref="B27:I27"/>
    <mergeCell ref="J27:K27"/>
    <mergeCell ref="B23:I23"/>
    <mergeCell ref="J23:K23"/>
    <mergeCell ref="L23:M23"/>
    <mergeCell ref="N23:O23"/>
    <mergeCell ref="P23:Q23"/>
    <mergeCell ref="B24:I24"/>
    <mergeCell ref="J24:K24"/>
    <mergeCell ref="L24:M24"/>
    <mergeCell ref="N24:O24"/>
    <mergeCell ref="P24:Q24"/>
    <mergeCell ref="L27:M27"/>
    <mergeCell ref="N27:O27"/>
    <mergeCell ref="P27:Q27"/>
    <mergeCell ref="B28:I28"/>
    <mergeCell ref="J28:K28"/>
    <mergeCell ref="L28:M28"/>
    <mergeCell ref="N28:O28"/>
    <mergeCell ref="P28:Q28"/>
    <mergeCell ref="B25:I25"/>
    <mergeCell ref="J25:K25"/>
    <mergeCell ref="L25:M25"/>
    <mergeCell ref="N25:O25"/>
    <mergeCell ref="P25:Q25"/>
    <mergeCell ref="B29:I29"/>
    <mergeCell ref="J29:Q29"/>
    <mergeCell ref="T30:T31"/>
    <mergeCell ref="U30:U31"/>
    <mergeCell ref="V30:V31"/>
    <mergeCell ref="W30:W31"/>
    <mergeCell ref="B31:I31"/>
    <mergeCell ref="J31:K31"/>
    <mergeCell ref="L31:M31"/>
    <mergeCell ref="N31:O31"/>
    <mergeCell ref="T32:X32"/>
    <mergeCell ref="B33:I33"/>
    <mergeCell ref="J33:K33"/>
    <mergeCell ref="L33:M33"/>
    <mergeCell ref="N33:O33"/>
    <mergeCell ref="P33:Q33"/>
    <mergeCell ref="P31:Q31"/>
    <mergeCell ref="B32:I32"/>
    <mergeCell ref="J32:K32"/>
    <mergeCell ref="L32:M32"/>
    <mergeCell ref="N32:O32"/>
    <mergeCell ref="P32:Q32"/>
    <mergeCell ref="B34:I34"/>
    <mergeCell ref="J34:K34"/>
    <mergeCell ref="L34:M34"/>
    <mergeCell ref="N34:O34"/>
    <mergeCell ref="P34:Q34"/>
    <mergeCell ref="B35:I35"/>
    <mergeCell ref="J35:K35"/>
    <mergeCell ref="L35:M35"/>
    <mergeCell ref="N35:O35"/>
    <mergeCell ref="P35:Q35"/>
    <mergeCell ref="B38:I38"/>
    <mergeCell ref="J38:K38"/>
    <mergeCell ref="L38:M38"/>
    <mergeCell ref="N38:O38"/>
    <mergeCell ref="P38:Q38"/>
    <mergeCell ref="B39:I39"/>
    <mergeCell ref="J39:Q39"/>
    <mergeCell ref="B36:I36"/>
    <mergeCell ref="J36:Q36"/>
    <mergeCell ref="B37:I37"/>
    <mergeCell ref="J37:K37"/>
    <mergeCell ref="L37:M37"/>
    <mergeCell ref="N37:O37"/>
    <mergeCell ref="P37:Q37"/>
    <mergeCell ref="F69:G69"/>
    <mergeCell ref="F70:G70"/>
    <mergeCell ref="B74:B75"/>
    <mergeCell ref="C74:J74"/>
    <mergeCell ref="B40:I40"/>
    <mergeCell ref="J40:Q40"/>
    <mergeCell ref="B41:I41"/>
    <mergeCell ref="J41:Q41"/>
    <mergeCell ref="C56:C57"/>
  </mergeCells>
  <dataValidations count="3">
    <dataValidation type="whole" operator="greaterThanOrEqual" allowBlank="1" showInputMessage="1" showErrorMessage="1" error="Speed limit to be 30kph or greater" sqref="E10:H10 JA10:JD10 SW10:SZ10 ACS10:ACV10 AMO10:AMR10 AWK10:AWN10 BGG10:BGJ10 BQC10:BQF10 BZY10:CAB10 CJU10:CJX10 CTQ10:CTT10 DDM10:DDP10 DNI10:DNL10 DXE10:DXH10 EHA10:EHD10 EQW10:EQZ10 FAS10:FAV10 FKO10:FKR10 FUK10:FUN10 GEG10:GEJ10 GOC10:GOF10 GXY10:GYB10 HHU10:HHX10 HRQ10:HRT10 IBM10:IBP10 ILI10:ILL10 IVE10:IVH10 JFA10:JFD10 JOW10:JOZ10 JYS10:JYV10 KIO10:KIR10 KSK10:KSN10 LCG10:LCJ10 LMC10:LMF10 LVY10:LWB10 MFU10:MFX10 MPQ10:MPT10 MZM10:MZP10 NJI10:NJL10 NTE10:NTH10 ODA10:ODD10 OMW10:OMZ10 OWS10:OWV10 PGO10:PGR10 PQK10:PQN10 QAG10:QAJ10 QKC10:QKF10 QTY10:QUB10 RDU10:RDX10 RNQ10:RNT10 RXM10:RXP10 SHI10:SHL10 SRE10:SRH10 TBA10:TBD10 TKW10:TKZ10 TUS10:TUV10 UEO10:UER10 UOK10:UON10 UYG10:UYJ10 VIC10:VIF10 VRY10:VSB10 WBU10:WBX10 WLQ10:WLT10 WVM10:WVP10 E65546:H65546 JA65546:JD65546 SW65546:SZ65546 ACS65546:ACV65546 AMO65546:AMR65546 AWK65546:AWN65546 BGG65546:BGJ65546 BQC65546:BQF65546 BZY65546:CAB65546 CJU65546:CJX65546 CTQ65546:CTT65546 DDM65546:DDP65546 DNI65546:DNL65546 DXE65546:DXH65546 EHA65546:EHD65546 EQW65546:EQZ65546 FAS65546:FAV65546 FKO65546:FKR65546 FUK65546:FUN65546 GEG65546:GEJ65546 GOC65546:GOF65546 GXY65546:GYB65546 HHU65546:HHX65546 HRQ65546:HRT65546 IBM65546:IBP65546 ILI65546:ILL65546 IVE65546:IVH65546 JFA65546:JFD65546 JOW65546:JOZ65546 JYS65546:JYV65546 KIO65546:KIR65546 KSK65546:KSN65546 LCG65546:LCJ65546 LMC65546:LMF65546 LVY65546:LWB65546 MFU65546:MFX65546 MPQ65546:MPT65546 MZM65546:MZP65546 NJI65546:NJL65546 NTE65546:NTH65546 ODA65546:ODD65546 OMW65546:OMZ65546 OWS65546:OWV65546 PGO65546:PGR65546 PQK65546:PQN65546 QAG65546:QAJ65546 QKC65546:QKF65546 QTY65546:QUB65546 RDU65546:RDX65546 RNQ65546:RNT65546 RXM65546:RXP65546 SHI65546:SHL65546 SRE65546:SRH65546 TBA65546:TBD65546 TKW65546:TKZ65546 TUS65546:TUV65546 UEO65546:UER65546 UOK65546:UON65546 UYG65546:UYJ65546 VIC65546:VIF65546 VRY65546:VSB65546 WBU65546:WBX65546 WLQ65546:WLT65546 WVM65546:WVP65546 E131082:H131082 JA131082:JD131082 SW131082:SZ131082 ACS131082:ACV131082 AMO131082:AMR131082 AWK131082:AWN131082 BGG131082:BGJ131082 BQC131082:BQF131082 BZY131082:CAB131082 CJU131082:CJX131082 CTQ131082:CTT131082 DDM131082:DDP131082 DNI131082:DNL131082 DXE131082:DXH131082 EHA131082:EHD131082 EQW131082:EQZ131082 FAS131082:FAV131082 FKO131082:FKR131082 FUK131082:FUN131082 GEG131082:GEJ131082 GOC131082:GOF131082 GXY131082:GYB131082 HHU131082:HHX131082 HRQ131082:HRT131082 IBM131082:IBP131082 ILI131082:ILL131082 IVE131082:IVH131082 JFA131082:JFD131082 JOW131082:JOZ131082 JYS131082:JYV131082 KIO131082:KIR131082 KSK131082:KSN131082 LCG131082:LCJ131082 LMC131082:LMF131082 LVY131082:LWB131082 MFU131082:MFX131082 MPQ131082:MPT131082 MZM131082:MZP131082 NJI131082:NJL131082 NTE131082:NTH131082 ODA131082:ODD131082 OMW131082:OMZ131082 OWS131082:OWV131082 PGO131082:PGR131082 PQK131082:PQN131082 QAG131082:QAJ131082 QKC131082:QKF131082 QTY131082:QUB131082 RDU131082:RDX131082 RNQ131082:RNT131082 RXM131082:RXP131082 SHI131082:SHL131082 SRE131082:SRH131082 TBA131082:TBD131082 TKW131082:TKZ131082 TUS131082:TUV131082 UEO131082:UER131082 UOK131082:UON131082 UYG131082:UYJ131082 VIC131082:VIF131082 VRY131082:VSB131082 WBU131082:WBX131082 WLQ131082:WLT131082 WVM131082:WVP131082 E196618:H196618 JA196618:JD196618 SW196618:SZ196618 ACS196618:ACV196618 AMO196618:AMR196618 AWK196618:AWN196618 BGG196618:BGJ196618 BQC196618:BQF196618 BZY196618:CAB196618 CJU196618:CJX196618 CTQ196618:CTT196618 DDM196618:DDP196618 DNI196618:DNL196618 DXE196618:DXH196618 EHA196618:EHD196618 EQW196618:EQZ196618 FAS196618:FAV196618 FKO196618:FKR196618 FUK196618:FUN196618 GEG196618:GEJ196618 GOC196618:GOF196618 GXY196618:GYB196618 HHU196618:HHX196618 HRQ196618:HRT196618 IBM196618:IBP196618 ILI196618:ILL196618 IVE196618:IVH196618 JFA196618:JFD196618 JOW196618:JOZ196618 JYS196618:JYV196618 KIO196618:KIR196618 KSK196618:KSN196618 LCG196618:LCJ196618 LMC196618:LMF196618 LVY196618:LWB196618 MFU196618:MFX196618 MPQ196618:MPT196618 MZM196618:MZP196618 NJI196618:NJL196618 NTE196618:NTH196618 ODA196618:ODD196618 OMW196618:OMZ196618 OWS196618:OWV196618 PGO196618:PGR196618 PQK196618:PQN196618 QAG196618:QAJ196618 QKC196618:QKF196618 QTY196618:QUB196618 RDU196618:RDX196618 RNQ196618:RNT196618 RXM196618:RXP196618 SHI196618:SHL196618 SRE196618:SRH196618 TBA196618:TBD196618 TKW196618:TKZ196618 TUS196618:TUV196618 UEO196618:UER196618 UOK196618:UON196618 UYG196618:UYJ196618 VIC196618:VIF196618 VRY196618:VSB196618 WBU196618:WBX196618 WLQ196618:WLT196618 WVM196618:WVP196618 E262154:H262154 JA262154:JD262154 SW262154:SZ262154 ACS262154:ACV262154 AMO262154:AMR262154 AWK262154:AWN262154 BGG262154:BGJ262154 BQC262154:BQF262154 BZY262154:CAB262154 CJU262154:CJX262154 CTQ262154:CTT262154 DDM262154:DDP262154 DNI262154:DNL262154 DXE262154:DXH262154 EHA262154:EHD262154 EQW262154:EQZ262154 FAS262154:FAV262154 FKO262154:FKR262154 FUK262154:FUN262154 GEG262154:GEJ262154 GOC262154:GOF262154 GXY262154:GYB262154 HHU262154:HHX262154 HRQ262154:HRT262154 IBM262154:IBP262154 ILI262154:ILL262154 IVE262154:IVH262154 JFA262154:JFD262154 JOW262154:JOZ262154 JYS262154:JYV262154 KIO262154:KIR262154 KSK262154:KSN262154 LCG262154:LCJ262154 LMC262154:LMF262154 LVY262154:LWB262154 MFU262154:MFX262154 MPQ262154:MPT262154 MZM262154:MZP262154 NJI262154:NJL262154 NTE262154:NTH262154 ODA262154:ODD262154 OMW262154:OMZ262154 OWS262154:OWV262154 PGO262154:PGR262154 PQK262154:PQN262154 QAG262154:QAJ262154 QKC262154:QKF262154 QTY262154:QUB262154 RDU262154:RDX262154 RNQ262154:RNT262154 RXM262154:RXP262154 SHI262154:SHL262154 SRE262154:SRH262154 TBA262154:TBD262154 TKW262154:TKZ262154 TUS262154:TUV262154 UEO262154:UER262154 UOK262154:UON262154 UYG262154:UYJ262154 VIC262154:VIF262154 VRY262154:VSB262154 WBU262154:WBX262154 WLQ262154:WLT262154 WVM262154:WVP262154 E327690:H327690 JA327690:JD327690 SW327690:SZ327690 ACS327690:ACV327690 AMO327690:AMR327690 AWK327690:AWN327690 BGG327690:BGJ327690 BQC327690:BQF327690 BZY327690:CAB327690 CJU327690:CJX327690 CTQ327690:CTT327690 DDM327690:DDP327690 DNI327690:DNL327690 DXE327690:DXH327690 EHA327690:EHD327690 EQW327690:EQZ327690 FAS327690:FAV327690 FKO327690:FKR327690 FUK327690:FUN327690 GEG327690:GEJ327690 GOC327690:GOF327690 GXY327690:GYB327690 HHU327690:HHX327690 HRQ327690:HRT327690 IBM327690:IBP327690 ILI327690:ILL327690 IVE327690:IVH327690 JFA327690:JFD327690 JOW327690:JOZ327690 JYS327690:JYV327690 KIO327690:KIR327690 KSK327690:KSN327690 LCG327690:LCJ327690 LMC327690:LMF327690 LVY327690:LWB327690 MFU327690:MFX327690 MPQ327690:MPT327690 MZM327690:MZP327690 NJI327690:NJL327690 NTE327690:NTH327690 ODA327690:ODD327690 OMW327690:OMZ327690 OWS327690:OWV327690 PGO327690:PGR327690 PQK327690:PQN327690 QAG327690:QAJ327690 QKC327690:QKF327690 QTY327690:QUB327690 RDU327690:RDX327690 RNQ327690:RNT327690 RXM327690:RXP327690 SHI327690:SHL327690 SRE327690:SRH327690 TBA327690:TBD327690 TKW327690:TKZ327690 TUS327690:TUV327690 UEO327690:UER327690 UOK327690:UON327690 UYG327690:UYJ327690 VIC327690:VIF327690 VRY327690:VSB327690 WBU327690:WBX327690 WLQ327690:WLT327690 WVM327690:WVP327690 E393226:H393226 JA393226:JD393226 SW393226:SZ393226 ACS393226:ACV393226 AMO393226:AMR393226 AWK393226:AWN393226 BGG393226:BGJ393226 BQC393226:BQF393226 BZY393226:CAB393226 CJU393226:CJX393226 CTQ393226:CTT393226 DDM393226:DDP393226 DNI393226:DNL393226 DXE393226:DXH393226 EHA393226:EHD393226 EQW393226:EQZ393226 FAS393226:FAV393226 FKO393226:FKR393226 FUK393226:FUN393226 GEG393226:GEJ393226 GOC393226:GOF393226 GXY393226:GYB393226 HHU393226:HHX393226 HRQ393226:HRT393226 IBM393226:IBP393226 ILI393226:ILL393226 IVE393226:IVH393226 JFA393226:JFD393226 JOW393226:JOZ393226 JYS393226:JYV393226 KIO393226:KIR393226 KSK393226:KSN393226 LCG393226:LCJ393226 LMC393226:LMF393226 LVY393226:LWB393226 MFU393226:MFX393226 MPQ393226:MPT393226 MZM393226:MZP393226 NJI393226:NJL393226 NTE393226:NTH393226 ODA393226:ODD393226 OMW393226:OMZ393226 OWS393226:OWV393226 PGO393226:PGR393226 PQK393226:PQN393226 QAG393226:QAJ393226 QKC393226:QKF393226 QTY393226:QUB393226 RDU393226:RDX393226 RNQ393226:RNT393226 RXM393226:RXP393226 SHI393226:SHL393226 SRE393226:SRH393226 TBA393226:TBD393226 TKW393226:TKZ393226 TUS393226:TUV393226 UEO393226:UER393226 UOK393226:UON393226 UYG393226:UYJ393226 VIC393226:VIF393226 VRY393226:VSB393226 WBU393226:WBX393226 WLQ393226:WLT393226 WVM393226:WVP393226 E458762:H458762 JA458762:JD458762 SW458762:SZ458762 ACS458762:ACV458762 AMO458762:AMR458762 AWK458762:AWN458762 BGG458762:BGJ458762 BQC458762:BQF458762 BZY458762:CAB458762 CJU458762:CJX458762 CTQ458762:CTT458762 DDM458762:DDP458762 DNI458762:DNL458762 DXE458762:DXH458762 EHA458762:EHD458762 EQW458762:EQZ458762 FAS458762:FAV458762 FKO458762:FKR458762 FUK458762:FUN458762 GEG458762:GEJ458762 GOC458762:GOF458762 GXY458762:GYB458762 HHU458762:HHX458762 HRQ458762:HRT458762 IBM458762:IBP458762 ILI458762:ILL458762 IVE458762:IVH458762 JFA458762:JFD458762 JOW458762:JOZ458762 JYS458762:JYV458762 KIO458762:KIR458762 KSK458762:KSN458762 LCG458762:LCJ458762 LMC458762:LMF458762 LVY458762:LWB458762 MFU458762:MFX458762 MPQ458762:MPT458762 MZM458762:MZP458762 NJI458762:NJL458762 NTE458762:NTH458762 ODA458762:ODD458762 OMW458762:OMZ458762 OWS458762:OWV458762 PGO458762:PGR458762 PQK458762:PQN458762 QAG458762:QAJ458762 QKC458762:QKF458762 QTY458762:QUB458762 RDU458762:RDX458762 RNQ458762:RNT458762 RXM458762:RXP458762 SHI458762:SHL458762 SRE458762:SRH458762 TBA458762:TBD458762 TKW458762:TKZ458762 TUS458762:TUV458762 UEO458762:UER458762 UOK458762:UON458762 UYG458762:UYJ458762 VIC458762:VIF458762 VRY458762:VSB458762 WBU458762:WBX458762 WLQ458762:WLT458762 WVM458762:WVP458762 E524298:H524298 JA524298:JD524298 SW524298:SZ524298 ACS524298:ACV524298 AMO524298:AMR524298 AWK524298:AWN524298 BGG524298:BGJ524298 BQC524298:BQF524298 BZY524298:CAB524298 CJU524298:CJX524298 CTQ524298:CTT524298 DDM524298:DDP524298 DNI524298:DNL524298 DXE524298:DXH524298 EHA524298:EHD524298 EQW524298:EQZ524298 FAS524298:FAV524298 FKO524298:FKR524298 FUK524298:FUN524298 GEG524298:GEJ524298 GOC524298:GOF524298 GXY524298:GYB524298 HHU524298:HHX524298 HRQ524298:HRT524298 IBM524298:IBP524298 ILI524298:ILL524298 IVE524298:IVH524298 JFA524298:JFD524298 JOW524298:JOZ524298 JYS524298:JYV524298 KIO524298:KIR524298 KSK524298:KSN524298 LCG524298:LCJ524298 LMC524298:LMF524298 LVY524298:LWB524298 MFU524298:MFX524298 MPQ524298:MPT524298 MZM524298:MZP524298 NJI524298:NJL524298 NTE524298:NTH524298 ODA524298:ODD524298 OMW524298:OMZ524298 OWS524298:OWV524298 PGO524298:PGR524298 PQK524298:PQN524298 QAG524298:QAJ524298 QKC524298:QKF524298 QTY524298:QUB524298 RDU524298:RDX524298 RNQ524298:RNT524298 RXM524298:RXP524298 SHI524298:SHL524298 SRE524298:SRH524298 TBA524298:TBD524298 TKW524298:TKZ524298 TUS524298:TUV524298 UEO524298:UER524298 UOK524298:UON524298 UYG524298:UYJ524298 VIC524298:VIF524298 VRY524298:VSB524298 WBU524298:WBX524298 WLQ524298:WLT524298 WVM524298:WVP524298 E589834:H589834 JA589834:JD589834 SW589834:SZ589834 ACS589834:ACV589834 AMO589834:AMR589834 AWK589834:AWN589834 BGG589834:BGJ589834 BQC589834:BQF589834 BZY589834:CAB589834 CJU589834:CJX589834 CTQ589834:CTT589834 DDM589834:DDP589834 DNI589834:DNL589834 DXE589834:DXH589834 EHA589834:EHD589834 EQW589834:EQZ589834 FAS589834:FAV589834 FKO589834:FKR589834 FUK589834:FUN589834 GEG589834:GEJ589834 GOC589834:GOF589834 GXY589834:GYB589834 HHU589834:HHX589834 HRQ589834:HRT589834 IBM589834:IBP589834 ILI589834:ILL589834 IVE589834:IVH589834 JFA589834:JFD589834 JOW589834:JOZ589834 JYS589834:JYV589834 KIO589834:KIR589834 KSK589834:KSN589834 LCG589834:LCJ589834 LMC589834:LMF589834 LVY589834:LWB589834 MFU589834:MFX589834 MPQ589834:MPT589834 MZM589834:MZP589834 NJI589834:NJL589834 NTE589834:NTH589834 ODA589834:ODD589834 OMW589834:OMZ589834 OWS589834:OWV589834 PGO589834:PGR589834 PQK589834:PQN589834 QAG589834:QAJ589834 QKC589834:QKF589834 QTY589834:QUB589834 RDU589834:RDX589834 RNQ589834:RNT589834 RXM589834:RXP589834 SHI589834:SHL589834 SRE589834:SRH589834 TBA589834:TBD589834 TKW589834:TKZ589834 TUS589834:TUV589834 UEO589834:UER589834 UOK589834:UON589834 UYG589834:UYJ589834 VIC589834:VIF589834 VRY589834:VSB589834 WBU589834:WBX589834 WLQ589834:WLT589834 WVM589834:WVP589834 E655370:H655370 JA655370:JD655370 SW655370:SZ655370 ACS655370:ACV655370 AMO655370:AMR655370 AWK655370:AWN655370 BGG655370:BGJ655370 BQC655370:BQF655370 BZY655370:CAB655370 CJU655370:CJX655370 CTQ655370:CTT655370 DDM655370:DDP655370 DNI655370:DNL655370 DXE655370:DXH655370 EHA655370:EHD655370 EQW655370:EQZ655370 FAS655370:FAV655370 FKO655370:FKR655370 FUK655370:FUN655370 GEG655370:GEJ655370 GOC655370:GOF655370 GXY655370:GYB655370 HHU655370:HHX655370 HRQ655370:HRT655370 IBM655370:IBP655370 ILI655370:ILL655370 IVE655370:IVH655370 JFA655370:JFD655370 JOW655370:JOZ655370 JYS655370:JYV655370 KIO655370:KIR655370 KSK655370:KSN655370 LCG655370:LCJ655370 LMC655370:LMF655370 LVY655370:LWB655370 MFU655370:MFX655370 MPQ655370:MPT655370 MZM655370:MZP655370 NJI655370:NJL655370 NTE655370:NTH655370 ODA655370:ODD655370 OMW655370:OMZ655370 OWS655370:OWV655370 PGO655370:PGR655370 PQK655370:PQN655370 QAG655370:QAJ655370 QKC655370:QKF655370 QTY655370:QUB655370 RDU655370:RDX655370 RNQ655370:RNT655370 RXM655370:RXP655370 SHI655370:SHL655370 SRE655370:SRH655370 TBA655370:TBD655370 TKW655370:TKZ655370 TUS655370:TUV655370 UEO655370:UER655370 UOK655370:UON655370 UYG655370:UYJ655370 VIC655370:VIF655370 VRY655370:VSB655370 WBU655370:WBX655370 WLQ655370:WLT655370 WVM655370:WVP655370 E720906:H720906 JA720906:JD720906 SW720906:SZ720906 ACS720906:ACV720906 AMO720906:AMR720906 AWK720906:AWN720906 BGG720906:BGJ720906 BQC720906:BQF720906 BZY720906:CAB720906 CJU720906:CJX720906 CTQ720906:CTT720906 DDM720906:DDP720906 DNI720906:DNL720906 DXE720906:DXH720906 EHA720906:EHD720906 EQW720906:EQZ720906 FAS720906:FAV720906 FKO720906:FKR720906 FUK720906:FUN720906 GEG720906:GEJ720906 GOC720906:GOF720906 GXY720906:GYB720906 HHU720906:HHX720906 HRQ720906:HRT720906 IBM720906:IBP720906 ILI720906:ILL720906 IVE720906:IVH720906 JFA720906:JFD720906 JOW720906:JOZ720906 JYS720906:JYV720906 KIO720906:KIR720906 KSK720906:KSN720906 LCG720906:LCJ720906 LMC720906:LMF720906 LVY720906:LWB720906 MFU720906:MFX720906 MPQ720906:MPT720906 MZM720906:MZP720906 NJI720906:NJL720906 NTE720906:NTH720906 ODA720906:ODD720906 OMW720906:OMZ720906 OWS720906:OWV720906 PGO720906:PGR720906 PQK720906:PQN720906 QAG720906:QAJ720906 QKC720906:QKF720906 QTY720906:QUB720906 RDU720906:RDX720906 RNQ720906:RNT720906 RXM720906:RXP720906 SHI720906:SHL720906 SRE720906:SRH720906 TBA720906:TBD720906 TKW720906:TKZ720906 TUS720906:TUV720906 UEO720906:UER720906 UOK720906:UON720906 UYG720906:UYJ720906 VIC720906:VIF720906 VRY720906:VSB720906 WBU720906:WBX720906 WLQ720906:WLT720906 WVM720906:WVP720906 E786442:H786442 JA786442:JD786442 SW786442:SZ786442 ACS786442:ACV786442 AMO786442:AMR786442 AWK786442:AWN786442 BGG786442:BGJ786442 BQC786442:BQF786442 BZY786442:CAB786442 CJU786442:CJX786442 CTQ786442:CTT786442 DDM786442:DDP786442 DNI786442:DNL786442 DXE786442:DXH786442 EHA786442:EHD786442 EQW786442:EQZ786442 FAS786442:FAV786442 FKO786442:FKR786442 FUK786442:FUN786442 GEG786442:GEJ786442 GOC786442:GOF786442 GXY786442:GYB786442 HHU786442:HHX786442 HRQ786442:HRT786442 IBM786442:IBP786442 ILI786442:ILL786442 IVE786442:IVH786442 JFA786442:JFD786442 JOW786442:JOZ786442 JYS786442:JYV786442 KIO786442:KIR786442 KSK786442:KSN786442 LCG786442:LCJ786442 LMC786442:LMF786442 LVY786442:LWB786442 MFU786442:MFX786442 MPQ786442:MPT786442 MZM786442:MZP786442 NJI786442:NJL786442 NTE786442:NTH786442 ODA786442:ODD786442 OMW786442:OMZ786442 OWS786442:OWV786442 PGO786442:PGR786442 PQK786442:PQN786442 QAG786442:QAJ786442 QKC786442:QKF786442 QTY786442:QUB786442 RDU786442:RDX786442 RNQ786442:RNT786442 RXM786442:RXP786442 SHI786442:SHL786442 SRE786442:SRH786442 TBA786442:TBD786442 TKW786442:TKZ786442 TUS786442:TUV786442 UEO786442:UER786442 UOK786442:UON786442 UYG786442:UYJ786442 VIC786442:VIF786442 VRY786442:VSB786442 WBU786442:WBX786442 WLQ786442:WLT786442 WVM786442:WVP786442 E851978:H851978 JA851978:JD851978 SW851978:SZ851978 ACS851978:ACV851978 AMO851978:AMR851978 AWK851978:AWN851978 BGG851978:BGJ851978 BQC851978:BQF851978 BZY851978:CAB851978 CJU851978:CJX851978 CTQ851978:CTT851978 DDM851978:DDP851978 DNI851978:DNL851978 DXE851978:DXH851978 EHA851978:EHD851978 EQW851978:EQZ851978 FAS851978:FAV851978 FKO851978:FKR851978 FUK851978:FUN851978 GEG851978:GEJ851978 GOC851978:GOF851978 GXY851978:GYB851978 HHU851978:HHX851978 HRQ851978:HRT851978 IBM851978:IBP851978 ILI851978:ILL851978 IVE851978:IVH851978 JFA851978:JFD851978 JOW851978:JOZ851978 JYS851978:JYV851978 KIO851978:KIR851978 KSK851978:KSN851978 LCG851978:LCJ851978 LMC851978:LMF851978 LVY851978:LWB851978 MFU851978:MFX851978 MPQ851978:MPT851978 MZM851978:MZP851978 NJI851978:NJL851978 NTE851978:NTH851978 ODA851978:ODD851978 OMW851978:OMZ851978 OWS851978:OWV851978 PGO851978:PGR851978 PQK851978:PQN851978 QAG851978:QAJ851978 QKC851978:QKF851978 QTY851978:QUB851978 RDU851978:RDX851978 RNQ851978:RNT851978 RXM851978:RXP851978 SHI851978:SHL851978 SRE851978:SRH851978 TBA851978:TBD851978 TKW851978:TKZ851978 TUS851978:TUV851978 UEO851978:UER851978 UOK851978:UON851978 UYG851978:UYJ851978 VIC851978:VIF851978 VRY851978:VSB851978 WBU851978:WBX851978 WLQ851978:WLT851978 WVM851978:WVP851978 E917514:H917514 JA917514:JD917514 SW917514:SZ917514 ACS917514:ACV917514 AMO917514:AMR917514 AWK917514:AWN917514 BGG917514:BGJ917514 BQC917514:BQF917514 BZY917514:CAB917514 CJU917514:CJX917514 CTQ917514:CTT917514 DDM917514:DDP917514 DNI917514:DNL917514 DXE917514:DXH917514 EHA917514:EHD917514 EQW917514:EQZ917514 FAS917514:FAV917514 FKO917514:FKR917514 FUK917514:FUN917514 GEG917514:GEJ917514 GOC917514:GOF917514 GXY917514:GYB917514 HHU917514:HHX917514 HRQ917514:HRT917514 IBM917514:IBP917514 ILI917514:ILL917514 IVE917514:IVH917514 JFA917514:JFD917514 JOW917514:JOZ917514 JYS917514:JYV917514 KIO917514:KIR917514 KSK917514:KSN917514 LCG917514:LCJ917514 LMC917514:LMF917514 LVY917514:LWB917514 MFU917514:MFX917514 MPQ917514:MPT917514 MZM917514:MZP917514 NJI917514:NJL917514 NTE917514:NTH917514 ODA917514:ODD917514 OMW917514:OMZ917514 OWS917514:OWV917514 PGO917514:PGR917514 PQK917514:PQN917514 QAG917514:QAJ917514 QKC917514:QKF917514 QTY917514:QUB917514 RDU917514:RDX917514 RNQ917514:RNT917514 RXM917514:RXP917514 SHI917514:SHL917514 SRE917514:SRH917514 TBA917514:TBD917514 TKW917514:TKZ917514 TUS917514:TUV917514 UEO917514:UER917514 UOK917514:UON917514 UYG917514:UYJ917514 VIC917514:VIF917514 VRY917514:VSB917514 WBU917514:WBX917514 WLQ917514:WLT917514 WVM917514:WVP917514 E983050:H983050 JA983050:JD983050 SW983050:SZ983050 ACS983050:ACV983050 AMO983050:AMR983050 AWK983050:AWN983050 BGG983050:BGJ983050 BQC983050:BQF983050 BZY983050:CAB983050 CJU983050:CJX983050 CTQ983050:CTT983050 DDM983050:DDP983050 DNI983050:DNL983050 DXE983050:DXH983050 EHA983050:EHD983050 EQW983050:EQZ983050 FAS983050:FAV983050 FKO983050:FKR983050 FUK983050:FUN983050 GEG983050:GEJ983050 GOC983050:GOF983050 GXY983050:GYB983050 HHU983050:HHX983050 HRQ983050:HRT983050 IBM983050:IBP983050 ILI983050:ILL983050 IVE983050:IVH983050 JFA983050:JFD983050 JOW983050:JOZ983050 JYS983050:JYV983050 KIO983050:KIR983050 KSK983050:KSN983050 LCG983050:LCJ983050 LMC983050:LMF983050 LVY983050:LWB983050 MFU983050:MFX983050 MPQ983050:MPT983050 MZM983050:MZP983050 NJI983050:NJL983050 NTE983050:NTH983050 ODA983050:ODD983050 OMW983050:OMZ983050 OWS983050:OWV983050 PGO983050:PGR983050 PQK983050:PQN983050 QAG983050:QAJ983050 QKC983050:QKF983050 QTY983050:QUB983050 RDU983050:RDX983050 RNQ983050:RNT983050 RXM983050:RXP983050 SHI983050:SHL983050 SRE983050:SRH983050 TBA983050:TBD983050 TKW983050:TKZ983050 TUS983050:TUV983050 UEO983050:UER983050 UOK983050:UON983050 UYG983050:UYJ983050 VIC983050:VIF983050 VRY983050:VSB983050 WBU983050:WBX983050 WLQ983050:WLT983050 WVM983050:WVP983050" xr:uid="{7F505526-45C2-4F2A-861E-663C499E8FCF}">
      <formula1>30</formula1>
    </dataValidation>
    <dataValidation type="list" allowBlank="1" showErrorMessage="1" errorTitle="Your input was incorrect" error="Choose your vehicle by clicking the arrow and selecting the correct vehicle" prompt="Choose your vehicle by clicking the arrow and selecting your vehicle" sqref="N8:Q8 WVV983048:WVY983048 WLZ983048:WMC983048 WCD983048:WCG983048 VSH983048:VSK983048 VIL983048:VIO983048 UYP983048:UYS983048 UOT983048:UOW983048 UEX983048:UFA983048 TVB983048:TVE983048 TLF983048:TLI983048 TBJ983048:TBM983048 SRN983048:SRQ983048 SHR983048:SHU983048 RXV983048:RXY983048 RNZ983048:ROC983048 RED983048:REG983048 QUH983048:QUK983048 QKL983048:QKO983048 QAP983048:QAS983048 PQT983048:PQW983048 PGX983048:PHA983048 OXB983048:OXE983048 ONF983048:ONI983048 ODJ983048:ODM983048 NTN983048:NTQ983048 NJR983048:NJU983048 MZV983048:MZY983048 MPZ983048:MQC983048 MGD983048:MGG983048 LWH983048:LWK983048 LML983048:LMO983048 LCP983048:LCS983048 KST983048:KSW983048 KIX983048:KJA983048 JZB983048:JZE983048 JPF983048:JPI983048 JFJ983048:JFM983048 IVN983048:IVQ983048 ILR983048:ILU983048 IBV983048:IBY983048 HRZ983048:HSC983048 HID983048:HIG983048 GYH983048:GYK983048 GOL983048:GOO983048 GEP983048:GES983048 FUT983048:FUW983048 FKX983048:FLA983048 FBB983048:FBE983048 ERF983048:ERI983048 EHJ983048:EHM983048 DXN983048:DXQ983048 DNR983048:DNU983048 DDV983048:DDY983048 CTZ983048:CUC983048 CKD983048:CKG983048 CAH983048:CAK983048 BQL983048:BQO983048 BGP983048:BGS983048 AWT983048:AWW983048 AMX983048:ANA983048 ADB983048:ADE983048 TF983048:TI983048 JJ983048:JM983048 N983048:Q983048 WVV917512:WVY917512 WLZ917512:WMC917512 WCD917512:WCG917512 VSH917512:VSK917512 VIL917512:VIO917512 UYP917512:UYS917512 UOT917512:UOW917512 UEX917512:UFA917512 TVB917512:TVE917512 TLF917512:TLI917512 TBJ917512:TBM917512 SRN917512:SRQ917512 SHR917512:SHU917512 RXV917512:RXY917512 RNZ917512:ROC917512 RED917512:REG917512 QUH917512:QUK917512 QKL917512:QKO917512 QAP917512:QAS917512 PQT917512:PQW917512 PGX917512:PHA917512 OXB917512:OXE917512 ONF917512:ONI917512 ODJ917512:ODM917512 NTN917512:NTQ917512 NJR917512:NJU917512 MZV917512:MZY917512 MPZ917512:MQC917512 MGD917512:MGG917512 LWH917512:LWK917512 LML917512:LMO917512 LCP917512:LCS917512 KST917512:KSW917512 KIX917512:KJA917512 JZB917512:JZE917512 JPF917512:JPI917512 JFJ917512:JFM917512 IVN917512:IVQ917512 ILR917512:ILU917512 IBV917512:IBY917512 HRZ917512:HSC917512 HID917512:HIG917512 GYH917512:GYK917512 GOL917512:GOO917512 GEP917512:GES917512 FUT917512:FUW917512 FKX917512:FLA917512 FBB917512:FBE917512 ERF917512:ERI917512 EHJ917512:EHM917512 DXN917512:DXQ917512 DNR917512:DNU917512 DDV917512:DDY917512 CTZ917512:CUC917512 CKD917512:CKG917512 CAH917512:CAK917512 BQL917512:BQO917512 BGP917512:BGS917512 AWT917512:AWW917512 AMX917512:ANA917512 ADB917512:ADE917512 TF917512:TI917512 JJ917512:JM917512 N917512:Q917512 WVV851976:WVY851976 WLZ851976:WMC851976 WCD851976:WCG851976 VSH851976:VSK851976 VIL851976:VIO851976 UYP851976:UYS851976 UOT851976:UOW851976 UEX851976:UFA851976 TVB851976:TVE851976 TLF851976:TLI851976 TBJ851976:TBM851976 SRN851976:SRQ851976 SHR851976:SHU851976 RXV851976:RXY851976 RNZ851976:ROC851976 RED851976:REG851976 QUH851976:QUK851976 QKL851976:QKO851976 QAP851976:QAS851976 PQT851976:PQW851976 PGX851976:PHA851976 OXB851976:OXE851976 ONF851976:ONI851976 ODJ851976:ODM851976 NTN851976:NTQ851976 NJR851976:NJU851976 MZV851976:MZY851976 MPZ851976:MQC851976 MGD851976:MGG851976 LWH851976:LWK851976 LML851976:LMO851976 LCP851976:LCS851976 KST851976:KSW851976 KIX851976:KJA851976 JZB851976:JZE851976 JPF851976:JPI851976 JFJ851976:JFM851976 IVN851976:IVQ851976 ILR851976:ILU851976 IBV851976:IBY851976 HRZ851976:HSC851976 HID851976:HIG851976 GYH851976:GYK851976 GOL851976:GOO851976 GEP851976:GES851976 FUT851976:FUW851976 FKX851976:FLA851976 FBB851976:FBE851976 ERF851976:ERI851976 EHJ851976:EHM851976 DXN851976:DXQ851976 DNR851976:DNU851976 DDV851976:DDY851976 CTZ851976:CUC851976 CKD851976:CKG851976 CAH851976:CAK851976 BQL851976:BQO851976 BGP851976:BGS851976 AWT851976:AWW851976 AMX851976:ANA851976 ADB851976:ADE851976 TF851976:TI851976 JJ851976:JM851976 N851976:Q851976 WVV786440:WVY786440 WLZ786440:WMC786440 WCD786440:WCG786440 VSH786440:VSK786440 VIL786440:VIO786440 UYP786440:UYS786440 UOT786440:UOW786440 UEX786440:UFA786440 TVB786440:TVE786440 TLF786440:TLI786440 TBJ786440:TBM786440 SRN786440:SRQ786440 SHR786440:SHU786440 RXV786440:RXY786440 RNZ786440:ROC786440 RED786440:REG786440 QUH786440:QUK786440 QKL786440:QKO786440 QAP786440:QAS786440 PQT786440:PQW786440 PGX786440:PHA786440 OXB786440:OXE786440 ONF786440:ONI786440 ODJ786440:ODM786440 NTN786440:NTQ786440 NJR786440:NJU786440 MZV786440:MZY786440 MPZ786440:MQC786440 MGD786440:MGG786440 LWH786440:LWK786440 LML786440:LMO786440 LCP786440:LCS786440 KST786440:KSW786440 KIX786440:KJA786440 JZB786440:JZE786440 JPF786440:JPI786440 JFJ786440:JFM786440 IVN786440:IVQ786440 ILR786440:ILU786440 IBV786440:IBY786440 HRZ786440:HSC786440 HID786440:HIG786440 GYH786440:GYK786440 GOL786440:GOO786440 GEP786440:GES786440 FUT786440:FUW786440 FKX786440:FLA786440 FBB786440:FBE786440 ERF786440:ERI786440 EHJ786440:EHM786440 DXN786440:DXQ786440 DNR786440:DNU786440 DDV786440:DDY786440 CTZ786440:CUC786440 CKD786440:CKG786440 CAH786440:CAK786440 BQL786440:BQO786440 BGP786440:BGS786440 AWT786440:AWW786440 AMX786440:ANA786440 ADB786440:ADE786440 TF786440:TI786440 JJ786440:JM786440 N786440:Q786440 WVV720904:WVY720904 WLZ720904:WMC720904 WCD720904:WCG720904 VSH720904:VSK720904 VIL720904:VIO720904 UYP720904:UYS720904 UOT720904:UOW720904 UEX720904:UFA720904 TVB720904:TVE720904 TLF720904:TLI720904 TBJ720904:TBM720904 SRN720904:SRQ720904 SHR720904:SHU720904 RXV720904:RXY720904 RNZ720904:ROC720904 RED720904:REG720904 QUH720904:QUK720904 QKL720904:QKO720904 QAP720904:QAS720904 PQT720904:PQW720904 PGX720904:PHA720904 OXB720904:OXE720904 ONF720904:ONI720904 ODJ720904:ODM720904 NTN720904:NTQ720904 NJR720904:NJU720904 MZV720904:MZY720904 MPZ720904:MQC720904 MGD720904:MGG720904 LWH720904:LWK720904 LML720904:LMO720904 LCP720904:LCS720904 KST720904:KSW720904 KIX720904:KJA720904 JZB720904:JZE720904 JPF720904:JPI720904 JFJ720904:JFM720904 IVN720904:IVQ720904 ILR720904:ILU720904 IBV720904:IBY720904 HRZ720904:HSC720904 HID720904:HIG720904 GYH720904:GYK720904 GOL720904:GOO720904 GEP720904:GES720904 FUT720904:FUW720904 FKX720904:FLA720904 FBB720904:FBE720904 ERF720904:ERI720904 EHJ720904:EHM720904 DXN720904:DXQ720904 DNR720904:DNU720904 DDV720904:DDY720904 CTZ720904:CUC720904 CKD720904:CKG720904 CAH720904:CAK720904 BQL720904:BQO720904 BGP720904:BGS720904 AWT720904:AWW720904 AMX720904:ANA720904 ADB720904:ADE720904 TF720904:TI720904 JJ720904:JM720904 N720904:Q720904 WVV655368:WVY655368 WLZ655368:WMC655368 WCD655368:WCG655368 VSH655368:VSK655368 VIL655368:VIO655368 UYP655368:UYS655368 UOT655368:UOW655368 UEX655368:UFA655368 TVB655368:TVE655368 TLF655368:TLI655368 TBJ655368:TBM655368 SRN655368:SRQ655368 SHR655368:SHU655368 RXV655368:RXY655368 RNZ655368:ROC655368 RED655368:REG655368 QUH655368:QUK655368 QKL655368:QKO655368 QAP655368:QAS655368 PQT655368:PQW655368 PGX655368:PHA655368 OXB655368:OXE655368 ONF655368:ONI655368 ODJ655368:ODM655368 NTN655368:NTQ655368 NJR655368:NJU655368 MZV655368:MZY655368 MPZ655368:MQC655368 MGD655368:MGG655368 LWH655368:LWK655368 LML655368:LMO655368 LCP655368:LCS655368 KST655368:KSW655368 KIX655368:KJA655368 JZB655368:JZE655368 JPF655368:JPI655368 JFJ655368:JFM655368 IVN655368:IVQ655368 ILR655368:ILU655368 IBV655368:IBY655368 HRZ655368:HSC655368 HID655368:HIG655368 GYH655368:GYK655368 GOL655368:GOO655368 GEP655368:GES655368 FUT655368:FUW655368 FKX655368:FLA655368 FBB655368:FBE655368 ERF655368:ERI655368 EHJ655368:EHM655368 DXN655368:DXQ655368 DNR655368:DNU655368 DDV655368:DDY655368 CTZ655368:CUC655368 CKD655368:CKG655368 CAH655368:CAK655368 BQL655368:BQO655368 BGP655368:BGS655368 AWT655368:AWW655368 AMX655368:ANA655368 ADB655368:ADE655368 TF655368:TI655368 JJ655368:JM655368 N655368:Q655368 WVV589832:WVY589832 WLZ589832:WMC589832 WCD589832:WCG589832 VSH589832:VSK589832 VIL589832:VIO589832 UYP589832:UYS589832 UOT589832:UOW589832 UEX589832:UFA589832 TVB589832:TVE589832 TLF589832:TLI589832 TBJ589832:TBM589832 SRN589832:SRQ589832 SHR589832:SHU589832 RXV589832:RXY589832 RNZ589832:ROC589832 RED589832:REG589832 QUH589832:QUK589832 QKL589832:QKO589832 QAP589832:QAS589832 PQT589832:PQW589832 PGX589832:PHA589832 OXB589832:OXE589832 ONF589832:ONI589832 ODJ589832:ODM589832 NTN589832:NTQ589832 NJR589832:NJU589832 MZV589832:MZY589832 MPZ589832:MQC589832 MGD589832:MGG589832 LWH589832:LWK589832 LML589832:LMO589832 LCP589832:LCS589832 KST589832:KSW589832 KIX589832:KJA589832 JZB589832:JZE589832 JPF589832:JPI589832 JFJ589832:JFM589832 IVN589832:IVQ589832 ILR589832:ILU589832 IBV589832:IBY589832 HRZ589832:HSC589832 HID589832:HIG589832 GYH589832:GYK589832 GOL589832:GOO589832 GEP589832:GES589832 FUT589832:FUW589832 FKX589832:FLA589832 FBB589832:FBE589832 ERF589832:ERI589832 EHJ589832:EHM589832 DXN589832:DXQ589832 DNR589832:DNU589832 DDV589832:DDY589832 CTZ589832:CUC589832 CKD589832:CKG589832 CAH589832:CAK589832 BQL589832:BQO589832 BGP589832:BGS589832 AWT589832:AWW589832 AMX589832:ANA589832 ADB589832:ADE589832 TF589832:TI589832 JJ589832:JM589832 N589832:Q589832 WVV524296:WVY524296 WLZ524296:WMC524296 WCD524296:WCG524296 VSH524296:VSK524296 VIL524296:VIO524296 UYP524296:UYS524296 UOT524296:UOW524296 UEX524296:UFA524296 TVB524296:TVE524296 TLF524296:TLI524296 TBJ524296:TBM524296 SRN524296:SRQ524296 SHR524296:SHU524296 RXV524296:RXY524296 RNZ524296:ROC524296 RED524296:REG524296 QUH524296:QUK524296 QKL524296:QKO524296 QAP524296:QAS524296 PQT524296:PQW524296 PGX524296:PHA524296 OXB524296:OXE524296 ONF524296:ONI524296 ODJ524296:ODM524296 NTN524296:NTQ524296 NJR524296:NJU524296 MZV524296:MZY524296 MPZ524296:MQC524296 MGD524296:MGG524296 LWH524296:LWK524296 LML524296:LMO524296 LCP524296:LCS524296 KST524296:KSW524296 KIX524296:KJA524296 JZB524296:JZE524296 JPF524296:JPI524296 JFJ524296:JFM524296 IVN524296:IVQ524296 ILR524296:ILU524296 IBV524296:IBY524296 HRZ524296:HSC524296 HID524296:HIG524296 GYH524296:GYK524296 GOL524296:GOO524296 GEP524296:GES524296 FUT524296:FUW524296 FKX524296:FLA524296 FBB524296:FBE524296 ERF524296:ERI524296 EHJ524296:EHM524296 DXN524296:DXQ524296 DNR524296:DNU524296 DDV524296:DDY524296 CTZ524296:CUC524296 CKD524296:CKG524296 CAH524296:CAK524296 BQL524296:BQO524296 BGP524296:BGS524296 AWT524296:AWW524296 AMX524296:ANA524296 ADB524296:ADE524296 TF524296:TI524296 JJ524296:JM524296 N524296:Q524296 WVV458760:WVY458760 WLZ458760:WMC458760 WCD458760:WCG458760 VSH458760:VSK458760 VIL458760:VIO458760 UYP458760:UYS458760 UOT458760:UOW458760 UEX458760:UFA458760 TVB458760:TVE458760 TLF458760:TLI458760 TBJ458760:TBM458760 SRN458760:SRQ458760 SHR458760:SHU458760 RXV458760:RXY458760 RNZ458760:ROC458760 RED458760:REG458760 QUH458760:QUK458760 QKL458760:QKO458760 QAP458760:QAS458760 PQT458760:PQW458760 PGX458760:PHA458760 OXB458760:OXE458760 ONF458760:ONI458760 ODJ458760:ODM458760 NTN458760:NTQ458760 NJR458760:NJU458760 MZV458760:MZY458760 MPZ458760:MQC458760 MGD458760:MGG458760 LWH458760:LWK458760 LML458760:LMO458760 LCP458760:LCS458760 KST458760:KSW458760 KIX458760:KJA458760 JZB458760:JZE458760 JPF458760:JPI458760 JFJ458760:JFM458760 IVN458760:IVQ458760 ILR458760:ILU458760 IBV458760:IBY458760 HRZ458760:HSC458760 HID458760:HIG458760 GYH458760:GYK458760 GOL458760:GOO458760 GEP458760:GES458760 FUT458760:FUW458760 FKX458760:FLA458760 FBB458760:FBE458760 ERF458760:ERI458760 EHJ458760:EHM458760 DXN458760:DXQ458760 DNR458760:DNU458760 DDV458760:DDY458760 CTZ458760:CUC458760 CKD458760:CKG458760 CAH458760:CAK458760 BQL458760:BQO458760 BGP458760:BGS458760 AWT458760:AWW458760 AMX458760:ANA458760 ADB458760:ADE458760 TF458760:TI458760 JJ458760:JM458760 N458760:Q458760 WVV393224:WVY393224 WLZ393224:WMC393224 WCD393224:WCG393224 VSH393224:VSK393224 VIL393224:VIO393224 UYP393224:UYS393224 UOT393224:UOW393224 UEX393224:UFA393224 TVB393224:TVE393224 TLF393224:TLI393224 TBJ393224:TBM393224 SRN393224:SRQ393224 SHR393224:SHU393224 RXV393224:RXY393224 RNZ393224:ROC393224 RED393224:REG393224 QUH393224:QUK393224 QKL393224:QKO393224 QAP393224:QAS393224 PQT393224:PQW393224 PGX393224:PHA393224 OXB393224:OXE393224 ONF393224:ONI393224 ODJ393224:ODM393224 NTN393224:NTQ393224 NJR393224:NJU393224 MZV393224:MZY393224 MPZ393224:MQC393224 MGD393224:MGG393224 LWH393224:LWK393224 LML393224:LMO393224 LCP393224:LCS393224 KST393224:KSW393224 KIX393224:KJA393224 JZB393224:JZE393224 JPF393224:JPI393224 JFJ393224:JFM393224 IVN393224:IVQ393224 ILR393224:ILU393224 IBV393224:IBY393224 HRZ393224:HSC393224 HID393224:HIG393224 GYH393224:GYK393224 GOL393224:GOO393224 GEP393224:GES393224 FUT393224:FUW393224 FKX393224:FLA393224 FBB393224:FBE393224 ERF393224:ERI393224 EHJ393224:EHM393224 DXN393224:DXQ393224 DNR393224:DNU393224 DDV393224:DDY393224 CTZ393224:CUC393224 CKD393224:CKG393224 CAH393224:CAK393224 BQL393224:BQO393224 BGP393224:BGS393224 AWT393224:AWW393224 AMX393224:ANA393224 ADB393224:ADE393224 TF393224:TI393224 JJ393224:JM393224 N393224:Q393224 WVV327688:WVY327688 WLZ327688:WMC327688 WCD327688:WCG327688 VSH327688:VSK327688 VIL327688:VIO327688 UYP327688:UYS327688 UOT327688:UOW327688 UEX327688:UFA327688 TVB327688:TVE327688 TLF327688:TLI327688 TBJ327688:TBM327688 SRN327688:SRQ327688 SHR327688:SHU327688 RXV327688:RXY327688 RNZ327688:ROC327688 RED327688:REG327688 QUH327688:QUK327688 QKL327688:QKO327688 QAP327688:QAS327688 PQT327688:PQW327688 PGX327688:PHA327688 OXB327688:OXE327688 ONF327688:ONI327688 ODJ327688:ODM327688 NTN327688:NTQ327688 NJR327688:NJU327688 MZV327688:MZY327688 MPZ327688:MQC327688 MGD327688:MGG327688 LWH327688:LWK327688 LML327688:LMO327688 LCP327688:LCS327688 KST327688:KSW327688 KIX327688:KJA327688 JZB327688:JZE327688 JPF327688:JPI327688 JFJ327688:JFM327688 IVN327688:IVQ327688 ILR327688:ILU327688 IBV327688:IBY327688 HRZ327688:HSC327688 HID327688:HIG327688 GYH327688:GYK327688 GOL327688:GOO327688 GEP327688:GES327688 FUT327688:FUW327688 FKX327688:FLA327688 FBB327688:FBE327688 ERF327688:ERI327688 EHJ327688:EHM327688 DXN327688:DXQ327688 DNR327688:DNU327688 DDV327688:DDY327688 CTZ327688:CUC327688 CKD327688:CKG327688 CAH327688:CAK327688 BQL327688:BQO327688 BGP327688:BGS327688 AWT327688:AWW327688 AMX327688:ANA327688 ADB327688:ADE327688 TF327688:TI327688 JJ327688:JM327688 N327688:Q327688 WVV262152:WVY262152 WLZ262152:WMC262152 WCD262152:WCG262152 VSH262152:VSK262152 VIL262152:VIO262152 UYP262152:UYS262152 UOT262152:UOW262152 UEX262152:UFA262152 TVB262152:TVE262152 TLF262152:TLI262152 TBJ262152:TBM262152 SRN262152:SRQ262152 SHR262152:SHU262152 RXV262152:RXY262152 RNZ262152:ROC262152 RED262152:REG262152 QUH262152:QUK262152 QKL262152:QKO262152 QAP262152:QAS262152 PQT262152:PQW262152 PGX262152:PHA262152 OXB262152:OXE262152 ONF262152:ONI262152 ODJ262152:ODM262152 NTN262152:NTQ262152 NJR262152:NJU262152 MZV262152:MZY262152 MPZ262152:MQC262152 MGD262152:MGG262152 LWH262152:LWK262152 LML262152:LMO262152 LCP262152:LCS262152 KST262152:KSW262152 KIX262152:KJA262152 JZB262152:JZE262152 JPF262152:JPI262152 JFJ262152:JFM262152 IVN262152:IVQ262152 ILR262152:ILU262152 IBV262152:IBY262152 HRZ262152:HSC262152 HID262152:HIG262152 GYH262152:GYK262152 GOL262152:GOO262152 GEP262152:GES262152 FUT262152:FUW262152 FKX262152:FLA262152 FBB262152:FBE262152 ERF262152:ERI262152 EHJ262152:EHM262152 DXN262152:DXQ262152 DNR262152:DNU262152 DDV262152:DDY262152 CTZ262152:CUC262152 CKD262152:CKG262152 CAH262152:CAK262152 BQL262152:BQO262152 BGP262152:BGS262152 AWT262152:AWW262152 AMX262152:ANA262152 ADB262152:ADE262152 TF262152:TI262152 JJ262152:JM262152 N262152:Q262152 WVV196616:WVY196616 WLZ196616:WMC196616 WCD196616:WCG196616 VSH196616:VSK196616 VIL196616:VIO196616 UYP196616:UYS196616 UOT196616:UOW196616 UEX196616:UFA196616 TVB196616:TVE196616 TLF196616:TLI196616 TBJ196616:TBM196616 SRN196616:SRQ196616 SHR196616:SHU196616 RXV196616:RXY196616 RNZ196616:ROC196616 RED196616:REG196616 QUH196616:QUK196616 QKL196616:QKO196616 QAP196616:QAS196616 PQT196616:PQW196616 PGX196616:PHA196616 OXB196616:OXE196616 ONF196616:ONI196616 ODJ196616:ODM196616 NTN196616:NTQ196616 NJR196616:NJU196616 MZV196616:MZY196616 MPZ196616:MQC196616 MGD196616:MGG196616 LWH196616:LWK196616 LML196616:LMO196616 LCP196616:LCS196616 KST196616:KSW196616 KIX196616:KJA196616 JZB196616:JZE196616 JPF196616:JPI196616 JFJ196616:JFM196616 IVN196616:IVQ196616 ILR196616:ILU196616 IBV196616:IBY196616 HRZ196616:HSC196616 HID196616:HIG196616 GYH196616:GYK196616 GOL196616:GOO196616 GEP196616:GES196616 FUT196616:FUW196616 FKX196616:FLA196616 FBB196616:FBE196616 ERF196616:ERI196616 EHJ196616:EHM196616 DXN196616:DXQ196616 DNR196616:DNU196616 DDV196616:DDY196616 CTZ196616:CUC196616 CKD196616:CKG196616 CAH196616:CAK196616 BQL196616:BQO196616 BGP196616:BGS196616 AWT196616:AWW196616 AMX196616:ANA196616 ADB196616:ADE196616 TF196616:TI196616 JJ196616:JM196616 N196616:Q196616 WVV131080:WVY131080 WLZ131080:WMC131080 WCD131080:WCG131080 VSH131080:VSK131080 VIL131080:VIO131080 UYP131080:UYS131080 UOT131080:UOW131080 UEX131080:UFA131080 TVB131080:TVE131080 TLF131080:TLI131080 TBJ131080:TBM131080 SRN131080:SRQ131080 SHR131080:SHU131080 RXV131080:RXY131080 RNZ131080:ROC131080 RED131080:REG131080 QUH131080:QUK131080 QKL131080:QKO131080 QAP131080:QAS131080 PQT131080:PQW131080 PGX131080:PHA131080 OXB131080:OXE131080 ONF131080:ONI131080 ODJ131080:ODM131080 NTN131080:NTQ131080 NJR131080:NJU131080 MZV131080:MZY131080 MPZ131080:MQC131080 MGD131080:MGG131080 LWH131080:LWK131080 LML131080:LMO131080 LCP131080:LCS131080 KST131080:KSW131080 KIX131080:KJA131080 JZB131080:JZE131080 JPF131080:JPI131080 JFJ131080:JFM131080 IVN131080:IVQ131080 ILR131080:ILU131080 IBV131080:IBY131080 HRZ131080:HSC131080 HID131080:HIG131080 GYH131080:GYK131080 GOL131080:GOO131080 GEP131080:GES131080 FUT131080:FUW131080 FKX131080:FLA131080 FBB131080:FBE131080 ERF131080:ERI131080 EHJ131080:EHM131080 DXN131080:DXQ131080 DNR131080:DNU131080 DDV131080:DDY131080 CTZ131080:CUC131080 CKD131080:CKG131080 CAH131080:CAK131080 BQL131080:BQO131080 BGP131080:BGS131080 AWT131080:AWW131080 AMX131080:ANA131080 ADB131080:ADE131080 TF131080:TI131080 JJ131080:JM131080 N131080:Q131080 WVV65544:WVY65544 WLZ65544:WMC65544 WCD65544:WCG65544 VSH65544:VSK65544 VIL65544:VIO65544 UYP65544:UYS65544 UOT65544:UOW65544 UEX65544:UFA65544 TVB65544:TVE65544 TLF65544:TLI65544 TBJ65544:TBM65544 SRN65544:SRQ65544 SHR65544:SHU65544 RXV65544:RXY65544 RNZ65544:ROC65544 RED65544:REG65544 QUH65544:QUK65544 QKL65544:QKO65544 QAP65544:QAS65544 PQT65544:PQW65544 PGX65544:PHA65544 OXB65544:OXE65544 ONF65544:ONI65544 ODJ65544:ODM65544 NTN65544:NTQ65544 NJR65544:NJU65544 MZV65544:MZY65544 MPZ65544:MQC65544 MGD65544:MGG65544 LWH65544:LWK65544 LML65544:LMO65544 LCP65544:LCS65544 KST65544:KSW65544 KIX65544:KJA65544 JZB65544:JZE65544 JPF65544:JPI65544 JFJ65544:JFM65544 IVN65544:IVQ65544 ILR65544:ILU65544 IBV65544:IBY65544 HRZ65544:HSC65544 HID65544:HIG65544 GYH65544:GYK65544 GOL65544:GOO65544 GEP65544:GES65544 FUT65544:FUW65544 FKX65544:FLA65544 FBB65544:FBE65544 ERF65544:ERI65544 EHJ65544:EHM65544 DXN65544:DXQ65544 DNR65544:DNU65544 DDV65544:DDY65544 CTZ65544:CUC65544 CKD65544:CKG65544 CAH65544:CAK65544 BQL65544:BQO65544 BGP65544:BGS65544 AWT65544:AWW65544 AMX65544:ANA65544 ADB65544:ADE65544 TF65544:TI65544 JJ65544:JM65544 N65544:Q65544 WVV8:WVY8 WLZ8:WMC8 WCD8:WCG8 VSH8:VSK8 VIL8:VIO8 UYP8:UYS8 UOT8:UOW8 UEX8:UFA8 TVB8:TVE8 TLF8:TLI8 TBJ8:TBM8 SRN8:SRQ8 SHR8:SHU8 RXV8:RXY8 RNZ8:ROC8 RED8:REG8 QUH8:QUK8 QKL8:QKO8 QAP8:QAS8 PQT8:PQW8 PGX8:PHA8 OXB8:OXE8 ONF8:ONI8 ODJ8:ODM8 NTN8:NTQ8 NJR8:NJU8 MZV8:MZY8 MPZ8:MQC8 MGD8:MGG8 LWH8:LWK8 LML8:LMO8 LCP8:LCS8 KST8:KSW8 KIX8:KJA8 JZB8:JZE8 JPF8:JPI8 JFJ8:JFM8 IVN8:IVQ8 ILR8:ILU8 IBV8:IBY8 HRZ8:HSC8 HID8:HIG8 GYH8:GYK8 GOL8:GOO8 GEP8:GES8 FUT8:FUW8 FKX8:FLA8 FBB8:FBE8 ERF8:ERI8 EHJ8:EHM8 DXN8:DXQ8 DNR8:DNU8 DDV8:DDY8 CTZ8:CUC8 CKD8:CKG8 CAH8:CAK8 BQL8:BQO8 BGP8:BGS8 AWT8:AWW8 AMX8:ANA8 ADB8:ADE8 TF8:TI8 JJ8:JM8" xr:uid="{48A8B4F5-069A-4DC1-B375-B3934702D59C}">
      <formula1>$C$49:$C$54</formula1>
    </dataValidation>
    <dataValidation type="list" allowBlank="1" showErrorMessage="1" errorTitle="The Category is incorrect" error="Please click the arrow and select your category" prompt="Choose your movement category by clicking the arrow and selecting your category" sqref="E8:H8 WVM983048:WVP983048 WLQ983048:WLT983048 WBU983048:WBX983048 VRY983048:VSB983048 VIC983048:VIF983048 UYG983048:UYJ983048 UOK983048:UON983048 UEO983048:UER983048 TUS983048:TUV983048 TKW983048:TKZ983048 TBA983048:TBD983048 SRE983048:SRH983048 SHI983048:SHL983048 RXM983048:RXP983048 RNQ983048:RNT983048 RDU983048:RDX983048 QTY983048:QUB983048 QKC983048:QKF983048 QAG983048:QAJ983048 PQK983048:PQN983048 PGO983048:PGR983048 OWS983048:OWV983048 OMW983048:OMZ983048 ODA983048:ODD983048 NTE983048:NTH983048 NJI983048:NJL983048 MZM983048:MZP983048 MPQ983048:MPT983048 MFU983048:MFX983048 LVY983048:LWB983048 LMC983048:LMF983048 LCG983048:LCJ983048 KSK983048:KSN983048 KIO983048:KIR983048 JYS983048:JYV983048 JOW983048:JOZ983048 JFA983048:JFD983048 IVE983048:IVH983048 ILI983048:ILL983048 IBM983048:IBP983048 HRQ983048:HRT983048 HHU983048:HHX983048 GXY983048:GYB983048 GOC983048:GOF983048 GEG983048:GEJ983048 FUK983048:FUN983048 FKO983048:FKR983048 FAS983048:FAV983048 EQW983048:EQZ983048 EHA983048:EHD983048 DXE983048:DXH983048 DNI983048:DNL983048 DDM983048:DDP983048 CTQ983048:CTT983048 CJU983048:CJX983048 BZY983048:CAB983048 BQC983048:BQF983048 BGG983048:BGJ983048 AWK983048:AWN983048 AMO983048:AMR983048 ACS983048:ACV983048 SW983048:SZ983048 JA983048:JD983048 E983048:H983048 WVM917512:WVP917512 WLQ917512:WLT917512 WBU917512:WBX917512 VRY917512:VSB917512 VIC917512:VIF917512 UYG917512:UYJ917512 UOK917512:UON917512 UEO917512:UER917512 TUS917512:TUV917512 TKW917512:TKZ917512 TBA917512:TBD917512 SRE917512:SRH917512 SHI917512:SHL917512 RXM917512:RXP917512 RNQ917512:RNT917512 RDU917512:RDX917512 QTY917512:QUB917512 QKC917512:QKF917512 QAG917512:QAJ917512 PQK917512:PQN917512 PGO917512:PGR917512 OWS917512:OWV917512 OMW917512:OMZ917512 ODA917512:ODD917512 NTE917512:NTH917512 NJI917512:NJL917512 MZM917512:MZP917512 MPQ917512:MPT917512 MFU917512:MFX917512 LVY917512:LWB917512 LMC917512:LMF917512 LCG917512:LCJ917512 KSK917512:KSN917512 KIO917512:KIR917512 JYS917512:JYV917512 JOW917512:JOZ917512 JFA917512:JFD917512 IVE917512:IVH917512 ILI917512:ILL917512 IBM917512:IBP917512 HRQ917512:HRT917512 HHU917512:HHX917512 GXY917512:GYB917512 GOC917512:GOF917512 GEG917512:GEJ917512 FUK917512:FUN917512 FKO917512:FKR917512 FAS917512:FAV917512 EQW917512:EQZ917512 EHA917512:EHD917512 DXE917512:DXH917512 DNI917512:DNL917512 DDM917512:DDP917512 CTQ917512:CTT917512 CJU917512:CJX917512 BZY917512:CAB917512 BQC917512:BQF917512 BGG917512:BGJ917512 AWK917512:AWN917512 AMO917512:AMR917512 ACS917512:ACV917512 SW917512:SZ917512 JA917512:JD917512 E917512:H917512 WVM851976:WVP851976 WLQ851976:WLT851976 WBU851976:WBX851976 VRY851976:VSB851976 VIC851976:VIF851976 UYG851976:UYJ851976 UOK851976:UON851976 UEO851976:UER851976 TUS851976:TUV851976 TKW851976:TKZ851976 TBA851976:TBD851976 SRE851976:SRH851976 SHI851976:SHL851976 RXM851976:RXP851976 RNQ851976:RNT851976 RDU851976:RDX851976 QTY851976:QUB851976 QKC851976:QKF851976 QAG851976:QAJ851976 PQK851976:PQN851976 PGO851976:PGR851976 OWS851976:OWV851976 OMW851976:OMZ851976 ODA851976:ODD851976 NTE851976:NTH851976 NJI851976:NJL851976 MZM851976:MZP851976 MPQ851976:MPT851976 MFU851976:MFX851976 LVY851976:LWB851976 LMC851976:LMF851976 LCG851976:LCJ851976 KSK851976:KSN851976 KIO851976:KIR851976 JYS851976:JYV851976 JOW851976:JOZ851976 JFA851976:JFD851976 IVE851976:IVH851976 ILI851976:ILL851976 IBM851976:IBP851976 HRQ851976:HRT851976 HHU851976:HHX851976 GXY851976:GYB851976 GOC851976:GOF851976 GEG851976:GEJ851976 FUK851976:FUN851976 FKO851976:FKR851976 FAS851976:FAV851976 EQW851976:EQZ851976 EHA851976:EHD851976 DXE851976:DXH851976 DNI851976:DNL851976 DDM851976:DDP851976 CTQ851976:CTT851976 CJU851976:CJX851976 BZY851976:CAB851976 BQC851976:BQF851976 BGG851976:BGJ851976 AWK851976:AWN851976 AMO851976:AMR851976 ACS851976:ACV851976 SW851976:SZ851976 JA851976:JD851976 E851976:H851976 WVM786440:WVP786440 WLQ786440:WLT786440 WBU786440:WBX786440 VRY786440:VSB786440 VIC786440:VIF786440 UYG786440:UYJ786440 UOK786440:UON786440 UEO786440:UER786440 TUS786440:TUV786440 TKW786440:TKZ786440 TBA786440:TBD786440 SRE786440:SRH786440 SHI786440:SHL786440 RXM786440:RXP786440 RNQ786440:RNT786440 RDU786440:RDX786440 QTY786440:QUB786440 QKC786440:QKF786440 QAG786440:QAJ786440 PQK786440:PQN786440 PGO786440:PGR786440 OWS786440:OWV786440 OMW786440:OMZ786440 ODA786440:ODD786440 NTE786440:NTH786440 NJI786440:NJL786440 MZM786440:MZP786440 MPQ786440:MPT786440 MFU786440:MFX786440 LVY786440:LWB786440 LMC786440:LMF786440 LCG786440:LCJ786440 KSK786440:KSN786440 KIO786440:KIR786440 JYS786440:JYV786440 JOW786440:JOZ786440 JFA786440:JFD786440 IVE786440:IVH786440 ILI786440:ILL786440 IBM786440:IBP786440 HRQ786440:HRT786440 HHU786440:HHX786440 GXY786440:GYB786440 GOC786440:GOF786440 GEG786440:GEJ786440 FUK786440:FUN786440 FKO786440:FKR786440 FAS786440:FAV786440 EQW786440:EQZ786440 EHA786440:EHD786440 DXE786440:DXH786440 DNI786440:DNL786440 DDM786440:DDP786440 CTQ786440:CTT786440 CJU786440:CJX786440 BZY786440:CAB786440 BQC786440:BQF786440 BGG786440:BGJ786440 AWK786440:AWN786440 AMO786440:AMR786440 ACS786440:ACV786440 SW786440:SZ786440 JA786440:JD786440 E786440:H786440 WVM720904:WVP720904 WLQ720904:WLT720904 WBU720904:WBX720904 VRY720904:VSB720904 VIC720904:VIF720904 UYG720904:UYJ720904 UOK720904:UON720904 UEO720904:UER720904 TUS720904:TUV720904 TKW720904:TKZ720904 TBA720904:TBD720904 SRE720904:SRH720904 SHI720904:SHL720904 RXM720904:RXP720904 RNQ720904:RNT720904 RDU720904:RDX720904 QTY720904:QUB720904 QKC720904:QKF720904 QAG720904:QAJ720904 PQK720904:PQN720904 PGO720904:PGR720904 OWS720904:OWV720904 OMW720904:OMZ720904 ODA720904:ODD720904 NTE720904:NTH720904 NJI720904:NJL720904 MZM720904:MZP720904 MPQ720904:MPT720904 MFU720904:MFX720904 LVY720904:LWB720904 LMC720904:LMF720904 LCG720904:LCJ720904 KSK720904:KSN720904 KIO720904:KIR720904 JYS720904:JYV720904 JOW720904:JOZ720904 JFA720904:JFD720904 IVE720904:IVH720904 ILI720904:ILL720904 IBM720904:IBP720904 HRQ720904:HRT720904 HHU720904:HHX720904 GXY720904:GYB720904 GOC720904:GOF720904 GEG720904:GEJ720904 FUK720904:FUN720904 FKO720904:FKR720904 FAS720904:FAV720904 EQW720904:EQZ720904 EHA720904:EHD720904 DXE720904:DXH720904 DNI720904:DNL720904 DDM720904:DDP720904 CTQ720904:CTT720904 CJU720904:CJX720904 BZY720904:CAB720904 BQC720904:BQF720904 BGG720904:BGJ720904 AWK720904:AWN720904 AMO720904:AMR720904 ACS720904:ACV720904 SW720904:SZ720904 JA720904:JD720904 E720904:H720904 WVM655368:WVP655368 WLQ655368:WLT655368 WBU655368:WBX655368 VRY655368:VSB655368 VIC655368:VIF655368 UYG655368:UYJ655368 UOK655368:UON655368 UEO655368:UER655368 TUS655368:TUV655368 TKW655368:TKZ655368 TBA655368:TBD655368 SRE655368:SRH655368 SHI655368:SHL655368 RXM655368:RXP655368 RNQ655368:RNT655368 RDU655368:RDX655368 QTY655368:QUB655368 QKC655368:QKF655368 QAG655368:QAJ655368 PQK655368:PQN655368 PGO655368:PGR655368 OWS655368:OWV655368 OMW655368:OMZ655368 ODA655368:ODD655368 NTE655368:NTH655368 NJI655368:NJL655368 MZM655368:MZP655368 MPQ655368:MPT655368 MFU655368:MFX655368 LVY655368:LWB655368 LMC655368:LMF655368 LCG655368:LCJ655368 KSK655368:KSN655368 KIO655368:KIR655368 JYS655368:JYV655368 JOW655368:JOZ655368 JFA655368:JFD655368 IVE655368:IVH655368 ILI655368:ILL655368 IBM655368:IBP655368 HRQ655368:HRT655368 HHU655368:HHX655368 GXY655368:GYB655368 GOC655368:GOF655368 GEG655368:GEJ655368 FUK655368:FUN655368 FKO655368:FKR655368 FAS655368:FAV655368 EQW655368:EQZ655368 EHA655368:EHD655368 DXE655368:DXH655368 DNI655368:DNL655368 DDM655368:DDP655368 CTQ655368:CTT655368 CJU655368:CJX655368 BZY655368:CAB655368 BQC655368:BQF655368 BGG655368:BGJ655368 AWK655368:AWN655368 AMO655368:AMR655368 ACS655368:ACV655368 SW655368:SZ655368 JA655368:JD655368 E655368:H655368 WVM589832:WVP589832 WLQ589832:WLT589832 WBU589832:WBX589832 VRY589832:VSB589832 VIC589832:VIF589832 UYG589832:UYJ589832 UOK589832:UON589832 UEO589832:UER589832 TUS589832:TUV589832 TKW589832:TKZ589832 TBA589832:TBD589832 SRE589832:SRH589832 SHI589832:SHL589832 RXM589832:RXP589832 RNQ589832:RNT589832 RDU589832:RDX589832 QTY589832:QUB589832 QKC589832:QKF589832 QAG589832:QAJ589832 PQK589832:PQN589832 PGO589832:PGR589832 OWS589832:OWV589832 OMW589832:OMZ589832 ODA589832:ODD589832 NTE589832:NTH589832 NJI589832:NJL589832 MZM589832:MZP589832 MPQ589832:MPT589832 MFU589832:MFX589832 LVY589832:LWB589832 LMC589832:LMF589832 LCG589832:LCJ589832 KSK589832:KSN589832 KIO589832:KIR589832 JYS589832:JYV589832 JOW589832:JOZ589832 JFA589832:JFD589832 IVE589832:IVH589832 ILI589832:ILL589832 IBM589832:IBP589832 HRQ589832:HRT589832 HHU589832:HHX589832 GXY589832:GYB589832 GOC589832:GOF589832 GEG589832:GEJ589832 FUK589832:FUN589832 FKO589832:FKR589832 FAS589832:FAV589832 EQW589832:EQZ589832 EHA589832:EHD589832 DXE589832:DXH589832 DNI589832:DNL589832 DDM589832:DDP589832 CTQ589832:CTT589832 CJU589832:CJX589832 BZY589832:CAB589832 BQC589832:BQF589832 BGG589832:BGJ589832 AWK589832:AWN589832 AMO589832:AMR589832 ACS589832:ACV589832 SW589832:SZ589832 JA589832:JD589832 E589832:H589832 WVM524296:WVP524296 WLQ524296:WLT524296 WBU524296:WBX524296 VRY524296:VSB524296 VIC524296:VIF524296 UYG524296:UYJ524296 UOK524296:UON524296 UEO524296:UER524296 TUS524296:TUV524296 TKW524296:TKZ524296 TBA524296:TBD524296 SRE524296:SRH524296 SHI524296:SHL524296 RXM524296:RXP524296 RNQ524296:RNT524296 RDU524296:RDX524296 QTY524296:QUB524296 QKC524296:QKF524296 QAG524296:QAJ524296 PQK524296:PQN524296 PGO524296:PGR524296 OWS524296:OWV524296 OMW524296:OMZ524296 ODA524296:ODD524296 NTE524296:NTH524296 NJI524296:NJL524296 MZM524296:MZP524296 MPQ524296:MPT524296 MFU524296:MFX524296 LVY524296:LWB524296 LMC524296:LMF524296 LCG524296:LCJ524296 KSK524296:KSN524296 KIO524296:KIR524296 JYS524296:JYV524296 JOW524296:JOZ524296 JFA524296:JFD524296 IVE524296:IVH524296 ILI524296:ILL524296 IBM524296:IBP524296 HRQ524296:HRT524296 HHU524296:HHX524296 GXY524296:GYB524296 GOC524296:GOF524296 GEG524296:GEJ524296 FUK524296:FUN524296 FKO524296:FKR524296 FAS524296:FAV524296 EQW524296:EQZ524296 EHA524296:EHD524296 DXE524296:DXH524296 DNI524296:DNL524296 DDM524296:DDP524296 CTQ524296:CTT524296 CJU524296:CJX524296 BZY524296:CAB524296 BQC524296:BQF524296 BGG524296:BGJ524296 AWK524296:AWN524296 AMO524296:AMR524296 ACS524296:ACV524296 SW524296:SZ524296 JA524296:JD524296 E524296:H524296 WVM458760:WVP458760 WLQ458760:WLT458760 WBU458760:WBX458760 VRY458760:VSB458760 VIC458760:VIF458760 UYG458760:UYJ458760 UOK458760:UON458760 UEO458760:UER458760 TUS458760:TUV458760 TKW458760:TKZ458760 TBA458760:TBD458760 SRE458760:SRH458760 SHI458760:SHL458760 RXM458760:RXP458760 RNQ458760:RNT458760 RDU458760:RDX458760 QTY458760:QUB458760 QKC458760:QKF458760 QAG458760:QAJ458760 PQK458760:PQN458760 PGO458760:PGR458760 OWS458760:OWV458760 OMW458760:OMZ458760 ODA458760:ODD458760 NTE458760:NTH458760 NJI458760:NJL458760 MZM458760:MZP458760 MPQ458760:MPT458760 MFU458760:MFX458760 LVY458760:LWB458760 LMC458760:LMF458760 LCG458760:LCJ458760 KSK458760:KSN458760 KIO458760:KIR458760 JYS458760:JYV458760 JOW458760:JOZ458760 JFA458760:JFD458760 IVE458760:IVH458760 ILI458760:ILL458760 IBM458760:IBP458760 HRQ458760:HRT458760 HHU458760:HHX458760 GXY458760:GYB458760 GOC458760:GOF458760 GEG458760:GEJ458760 FUK458760:FUN458760 FKO458760:FKR458760 FAS458760:FAV458760 EQW458760:EQZ458760 EHA458760:EHD458760 DXE458760:DXH458760 DNI458760:DNL458760 DDM458760:DDP458760 CTQ458760:CTT458760 CJU458760:CJX458760 BZY458760:CAB458760 BQC458760:BQF458760 BGG458760:BGJ458760 AWK458760:AWN458760 AMO458760:AMR458760 ACS458760:ACV458760 SW458760:SZ458760 JA458760:JD458760 E458760:H458760 WVM393224:WVP393224 WLQ393224:WLT393224 WBU393224:WBX393224 VRY393224:VSB393224 VIC393224:VIF393224 UYG393224:UYJ393224 UOK393224:UON393224 UEO393224:UER393224 TUS393224:TUV393224 TKW393224:TKZ393224 TBA393224:TBD393224 SRE393224:SRH393224 SHI393224:SHL393224 RXM393224:RXP393224 RNQ393224:RNT393224 RDU393224:RDX393224 QTY393224:QUB393224 QKC393224:QKF393224 QAG393224:QAJ393224 PQK393224:PQN393224 PGO393224:PGR393224 OWS393224:OWV393224 OMW393224:OMZ393224 ODA393224:ODD393224 NTE393224:NTH393224 NJI393224:NJL393224 MZM393224:MZP393224 MPQ393224:MPT393224 MFU393224:MFX393224 LVY393224:LWB393224 LMC393224:LMF393224 LCG393224:LCJ393224 KSK393224:KSN393224 KIO393224:KIR393224 JYS393224:JYV393224 JOW393224:JOZ393224 JFA393224:JFD393224 IVE393224:IVH393224 ILI393224:ILL393224 IBM393224:IBP393224 HRQ393224:HRT393224 HHU393224:HHX393224 GXY393224:GYB393224 GOC393224:GOF393224 GEG393224:GEJ393224 FUK393224:FUN393224 FKO393224:FKR393224 FAS393224:FAV393224 EQW393224:EQZ393224 EHA393224:EHD393224 DXE393224:DXH393224 DNI393224:DNL393224 DDM393224:DDP393224 CTQ393224:CTT393224 CJU393224:CJX393224 BZY393224:CAB393224 BQC393224:BQF393224 BGG393224:BGJ393224 AWK393224:AWN393224 AMO393224:AMR393224 ACS393224:ACV393224 SW393224:SZ393224 JA393224:JD393224 E393224:H393224 WVM327688:WVP327688 WLQ327688:WLT327688 WBU327688:WBX327688 VRY327688:VSB327688 VIC327688:VIF327688 UYG327688:UYJ327688 UOK327688:UON327688 UEO327688:UER327688 TUS327688:TUV327688 TKW327688:TKZ327688 TBA327688:TBD327688 SRE327688:SRH327688 SHI327688:SHL327688 RXM327688:RXP327688 RNQ327688:RNT327688 RDU327688:RDX327688 QTY327688:QUB327688 QKC327688:QKF327688 QAG327688:QAJ327688 PQK327688:PQN327688 PGO327688:PGR327688 OWS327688:OWV327688 OMW327688:OMZ327688 ODA327688:ODD327688 NTE327688:NTH327688 NJI327688:NJL327688 MZM327688:MZP327688 MPQ327688:MPT327688 MFU327688:MFX327688 LVY327688:LWB327688 LMC327688:LMF327688 LCG327688:LCJ327688 KSK327688:KSN327688 KIO327688:KIR327688 JYS327688:JYV327688 JOW327688:JOZ327688 JFA327688:JFD327688 IVE327688:IVH327688 ILI327688:ILL327688 IBM327688:IBP327688 HRQ327688:HRT327688 HHU327688:HHX327688 GXY327688:GYB327688 GOC327688:GOF327688 GEG327688:GEJ327688 FUK327688:FUN327688 FKO327688:FKR327688 FAS327688:FAV327688 EQW327688:EQZ327688 EHA327688:EHD327688 DXE327688:DXH327688 DNI327688:DNL327688 DDM327688:DDP327688 CTQ327688:CTT327688 CJU327688:CJX327688 BZY327688:CAB327688 BQC327688:BQF327688 BGG327688:BGJ327688 AWK327688:AWN327688 AMO327688:AMR327688 ACS327688:ACV327688 SW327688:SZ327688 JA327688:JD327688 E327688:H327688 WVM262152:WVP262152 WLQ262152:WLT262152 WBU262152:WBX262152 VRY262152:VSB262152 VIC262152:VIF262152 UYG262152:UYJ262152 UOK262152:UON262152 UEO262152:UER262152 TUS262152:TUV262152 TKW262152:TKZ262152 TBA262152:TBD262152 SRE262152:SRH262152 SHI262152:SHL262152 RXM262152:RXP262152 RNQ262152:RNT262152 RDU262152:RDX262152 QTY262152:QUB262152 QKC262152:QKF262152 QAG262152:QAJ262152 PQK262152:PQN262152 PGO262152:PGR262152 OWS262152:OWV262152 OMW262152:OMZ262152 ODA262152:ODD262152 NTE262152:NTH262152 NJI262152:NJL262152 MZM262152:MZP262152 MPQ262152:MPT262152 MFU262152:MFX262152 LVY262152:LWB262152 LMC262152:LMF262152 LCG262152:LCJ262152 KSK262152:KSN262152 KIO262152:KIR262152 JYS262152:JYV262152 JOW262152:JOZ262152 JFA262152:JFD262152 IVE262152:IVH262152 ILI262152:ILL262152 IBM262152:IBP262152 HRQ262152:HRT262152 HHU262152:HHX262152 GXY262152:GYB262152 GOC262152:GOF262152 GEG262152:GEJ262152 FUK262152:FUN262152 FKO262152:FKR262152 FAS262152:FAV262152 EQW262152:EQZ262152 EHA262152:EHD262152 DXE262152:DXH262152 DNI262152:DNL262152 DDM262152:DDP262152 CTQ262152:CTT262152 CJU262152:CJX262152 BZY262152:CAB262152 BQC262152:BQF262152 BGG262152:BGJ262152 AWK262152:AWN262152 AMO262152:AMR262152 ACS262152:ACV262152 SW262152:SZ262152 JA262152:JD262152 E262152:H262152 WVM196616:WVP196616 WLQ196616:WLT196616 WBU196616:WBX196616 VRY196616:VSB196616 VIC196616:VIF196616 UYG196616:UYJ196616 UOK196616:UON196616 UEO196616:UER196616 TUS196616:TUV196616 TKW196616:TKZ196616 TBA196616:TBD196616 SRE196616:SRH196616 SHI196616:SHL196616 RXM196616:RXP196616 RNQ196616:RNT196616 RDU196616:RDX196616 QTY196616:QUB196616 QKC196616:QKF196616 QAG196616:QAJ196616 PQK196616:PQN196616 PGO196616:PGR196616 OWS196616:OWV196616 OMW196616:OMZ196616 ODA196616:ODD196616 NTE196616:NTH196616 NJI196616:NJL196616 MZM196616:MZP196616 MPQ196616:MPT196616 MFU196616:MFX196616 LVY196616:LWB196616 LMC196616:LMF196616 LCG196616:LCJ196616 KSK196616:KSN196616 KIO196616:KIR196616 JYS196616:JYV196616 JOW196616:JOZ196616 JFA196616:JFD196616 IVE196616:IVH196616 ILI196616:ILL196616 IBM196616:IBP196616 HRQ196616:HRT196616 HHU196616:HHX196616 GXY196616:GYB196616 GOC196616:GOF196616 GEG196616:GEJ196616 FUK196616:FUN196616 FKO196616:FKR196616 FAS196616:FAV196616 EQW196616:EQZ196616 EHA196616:EHD196616 DXE196616:DXH196616 DNI196616:DNL196616 DDM196616:DDP196616 CTQ196616:CTT196616 CJU196616:CJX196616 BZY196616:CAB196616 BQC196616:BQF196616 BGG196616:BGJ196616 AWK196616:AWN196616 AMO196616:AMR196616 ACS196616:ACV196616 SW196616:SZ196616 JA196616:JD196616 E196616:H196616 WVM131080:WVP131080 WLQ131080:WLT131080 WBU131080:WBX131080 VRY131080:VSB131080 VIC131080:VIF131080 UYG131080:UYJ131080 UOK131080:UON131080 UEO131080:UER131080 TUS131080:TUV131080 TKW131080:TKZ131080 TBA131080:TBD131080 SRE131080:SRH131080 SHI131080:SHL131080 RXM131080:RXP131080 RNQ131080:RNT131080 RDU131080:RDX131080 QTY131080:QUB131080 QKC131080:QKF131080 QAG131080:QAJ131080 PQK131080:PQN131080 PGO131080:PGR131080 OWS131080:OWV131080 OMW131080:OMZ131080 ODA131080:ODD131080 NTE131080:NTH131080 NJI131080:NJL131080 MZM131080:MZP131080 MPQ131080:MPT131080 MFU131080:MFX131080 LVY131080:LWB131080 LMC131080:LMF131080 LCG131080:LCJ131080 KSK131080:KSN131080 KIO131080:KIR131080 JYS131080:JYV131080 JOW131080:JOZ131080 JFA131080:JFD131080 IVE131080:IVH131080 ILI131080:ILL131080 IBM131080:IBP131080 HRQ131080:HRT131080 HHU131080:HHX131080 GXY131080:GYB131080 GOC131080:GOF131080 GEG131080:GEJ131080 FUK131080:FUN131080 FKO131080:FKR131080 FAS131080:FAV131080 EQW131080:EQZ131080 EHA131080:EHD131080 DXE131080:DXH131080 DNI131080:DNL131080 DDM131080:DDP131080 CTQ131080:CTT131080 CJU131080:CJX131080 BZY131080:CAB131080 BQC131080:BQF131080 BGG131080:BGJ131080 AWK131080:AWN131080 AMO131080:AMR131080 ACS131080:ACV131080 SW131080:SZ131080 JA131080:JD131080 E131080:H131080 WVM65544:WVP65544 WLQ65544:WLT65544 WBU65544:WBX65544 VRY65544:VSB65544 VIC65544:VIF65544 UYG65544:UYJ65544 UOK65544:UON65544 UEO65544:UER65544 TUS65544:TUV65544 TKW65544:TKZ65544 TBA65544:TBD65544 SRE65544:SRH65544 SHI65544:SHL65544 RXM65544:RXP65544 RNQ65544:RNT65544 RDU65544:RDX65544 QTY65544:QUB65544 QKC65544:QKF65544 QAG65544:QAJ65544 PQK65544:PQN65544 PGO65544:PGR65544 OWS65544:OWV65544 OMW65544:OMZ65544 ODA65544:ODD65544 NTE65544:NTH65544 NJI65544:NJL65544 MZM65544:MZP65544 MPQ65544:MPT65544 MFU65544:MFX65544 LVY65544:LWB65544 LMC65544:LMF65544 LCG65544:LCJ65544 KSK65544:KSN65544 KIO65544:KIR65544 JYS65544:JYV65544 JOW65544:JOZ65544 JFA65544:JFD65544 IVE65544:IVH65544 ILI65544:ILL65544 IBM65544:IBP65544 HRQ65544:HRT65544 HHU65544:HHX65544 GXY65544:GYB65544 GOC65544:GOF65544 GEG65544:GEJ65544 FUK65544:FUN65544 FKO65544:FKR65544 FAS65544:FAV65544 EQW65544:EQZ65544 EHA65544:EHD65544 DXE65544:DXH65544 DNI65544:DNL65544 DDM65544:DDP65544 CTQ65544:CTT65544 CJU65544:CJX65544 BZY65544:CAB65544 BQC65544:BQF65544 BGG65544:BGJ65544 AWK65544:AWN65544 AMO65544:AMR65544 ACS65544:ACV65544 SW65544:SZ65544 JA65544:JD65544 E65544:H65544 WVM8:WVP8 WLQ8:WLT8 WBU8:WBX8 VRY8:VSB8 VIC8:VIF8 UYG8:UYJ8 UOK8:UON8 UEO8:UER8 TUS8:TUV8 TKW8:TKZ8 TBA8:TBD8 SRE8:SRH8 SHI8:SHL8 RXM8:RXP8 RNQ8:RNT8 RDU8:RDX8 QTY8:QUB8 QKC8:QKF8 QAG8:QAJ8 PQK8:PQN8 PGO8:PGR8 OWS8:OWV8 OMW8:OMZ8 ODA8:ODD8 NTE8:NTH8 NJI8:NJL8 MZM8:MZP8 MPQ8:MPT8 MFU8:MFX8 LVY8:LWB8 LMC8:LMF8 LCG8:LCJ8 KSK8:KSN8 KIO8:KIR8 JYS8:JYV8 JOW8:JOZ8 JFA8:JFD8 IVE8:IVH8 ILI8:ILL8 IBM8:IBP8 HRQ8:HRT8 HHU8:HHX8 GXY8:GYB8 GOC8:GOF8 GEG8:GEJ8 FUK8:FUN8 FKO8:FKR8 FAS8:FAV8 EQW8:EQZ8 EHA8:EHD8 DXE8:DXH8 DNI8:DNL8 DDM8:DDP8 CTQ8:CTT8 CJU8:CJX8 BZY8:CAB8 BQC8:BQF8 BGG8:BGJ8 AWK8:AWN8 AMO8:AMR8 ACS8:ACV8 SW8:SZ8 JA8:JD8" xr:uid="{7B468077-BFA8-430C-AB53-863C051E22B0}">
      <formula1>$A$50:$A$62</formula1>
    </dataValidation>
  </dataValidations>
  <hyperlinks>
    <hyperlink ref="T32:X32" r:id="rId1" display="Crash Estimation Compendium (Crash Estimation Compendium)" xr:uid="{06E3B91D-BE29-47EC-95AF-A6BEC67D3309}"/>
  </hyperlinks>
  <printOptions horizontalCentered="1"/>
  <pageMargins left="0.74803149606299213" right="0.70866141732283472" top="0.74803149606299213" bottom="0.9055118110236221" header="0.39370078740157483" footer="0.39370078740157483"/>
  <pageSetup paperSize="9" scale="92" orientation="portrait" r:id="rId2"/>
  <headerFooter scaleWithDoc="0" alignWithMargins="0">
    <oddHeader xml:space="preserve">&amp;L&amp;"-,Regular"&amp;8&amp;F&amp;R&amp;"-,Regular"&amp;8&amp;A
__________________________________________________________________________________________________
</oddHeader>
    <oddFooter>&amp;L&amp;"-,Regular"&amp;8__________________________________________________________________________________________________
NZ Transport Agency’s Economic evaluation manual 
Effective from Jul 2013</oddFooter>
  </headerFooter>
  <legacyDrawing r:id="rId3"/>
</worksheet>
</file>

<file path=xl/worksheets/sheet12.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DD648FF5-F9B6-40C8-9D7E-65AEBA601B8A}">
  <sheetPr>
    <pageSetUpPr fitToPage="1"/>
  </sheetPr>
  <dimension ref="A1:O83"/>
  <sheetViews>
    <sheetView zoomScaleNormal="100" workbookViewId="0">
      <selection activeCell="E10" sqref="E10"/>
    </sheetView>
  </sheetViews>
  <sheetFormatPr defaultRowHeight="12.6"/>
  <cols>
    <col min="1" max="9" width="9.3984375" style="66" customWidth="1"/>
    <col min="10" max="256" width="9" style="66"/>
    <col min="257" max="265" width="9.3984375" style="66" customWidth="1"/>
    <col min="266" max="512" width="9" style="66"/>
    <col min="513" max="521" width="9.3984375" style="66" customWidth="1"/>
    <col min="522" max="768" width="9" style="66"/>
    <col min="769" max="777" width="9.3984375" style="66" customWidth="1"/>
    <col min="778" max="1024" width="9" style="66"/>
    <col min="1025" max="1033" width="9.3984375" style="66" customWidth="1"/>
    <col min="1034" max="1280" width="9" style="66"/>
    <col min="1281" max="1289" width="9.3984375" style="66" customWidth="1"/>
    <col min="1290" max="1536" width="9" style="66"/>
    <col min="1537" max="1545" width="9.3984375" style="66" customWidth="1"/>
    <col min="1546" max="1792" width="9" style="66"/>
    <col min="1793" max="1801" width="9.3984375" style="66" customWidth="1"/>
    <col min="1802" max="2048" width="9" style="66"/>
    <col min="2049" max="2057" width="9.3984375" style="66" customWidth="1"/>
    <col min="2058" max="2304" width="9" style="66"/>
    <col min="2305" max="2313" width="9.3984375" style="66" customWidth="1"/>
    <col min="2314" max="2560" width="9" style="66"/>
    <col min="2561" max="2569" width="9.3984375" style="66" customWidth="1"/>
    <col min="2570" max="2816" width="9" style="66"/>
    <col min="2817" max="2825" width="9.3984375" style="66" customWidth="1"/>
    <col min="2826" max="3072" width="9" style="66"/>
    <col min="3073" max="3081" width="9.3984375" style="66" customWidth="1"/>
    <col min="3082" max="3328" width="9" style="66"/>
    <col min="3329" max="3337" width="9.3984375" style="66" customWidth="1"/>
    <col min="3338" max="3584" width="9" style="66"/>
    <col min="3585" max="3593" width="9.3984375" style="66" customWidth="1"/>
    <col min="3594" max="3840" width="9" style="66"/>
    <col min="3841" max="3849" width="9.3984375" style="66" customWidth="1"/>
    <col min="3850" max="4096" width="9" style="66"/>
    <col min="4097" max="4105" width="9.3984375" style="66" customWidth="1"/>
    <col min="4106" max="4352" width="9" style="66"/>
    <col min="4353" max="4361" width="9.3984375" style="66" customWidth="1"/>
    <col min="4362" max="4608" width="9" style="66"/>
    <col min="4609" max="4617" width="9.3984375" style="66" customWidth="1"/>
    <col min="4618" max="4864" width="9" style="66"/>
    <col min="4865" max="4873" width="9.3984375" style="66" customWidth="1"/>
    <col min="4874" max="5120" width="9" style="66"/>
    <col min="5121" max="5129" width="9.3984375" style="66" customWidth="1"/>
    <col min="5130" max="5376" width="9" style="66"/>
    <col min="5377" max="5385" width="9.3984375" style="66" customWidth="1"/>
    <col min="5386" max="5632" width="9" style="66"/>
    <col min="5633" max="5641" width="9.3984375" style="66" customWidth="1"/>
    <col min="5642" max="5888" width="9" style="66"/>
    <col min="5889" max="5897" width="9.3984375" style="66" customWidth="1"/>
    <col min="5898" max="6144" width="9" style="66"/>
    <col min="6145" max="6153" width="9.3984375" style="66" customWidth="1"/>
    <col min="6154" max="6400" width="9" style="66"/>
    <col min="6401" max="6409" width="9.3984375" style="66" customWidth="1"/>
    <col min="6410" max="6656" width="9" style="66"/>
    <col min="6657" max="6665" width="9.3984375" style="66" customWidth="1"/>
    <col min="6666" max="6912" width="9" style="66"/>
    <col min="6913" max="6921" width="9.3984375" style="66" customWidth="1"/>
    <col min="6922" max="7168" width="9" style="66"/>
    <col min="7169" max="7177" width="9.3984375" style="66" customWidth="1"/>
    <col min="7178" max="7424" width="9" style="66"/>
    <col min="7425" max="7433" width="9.3984375" style="66" customWidth="1"/>
    <col min="7434" max="7680" width="9" style="66"/>
    <col min="7681" max="7689" width="9.3984375" style="66" customWidth="1"/>
    <col min="7690" max="7936" width="9" style="66"/>
    <col min="7937" max="7945" width="9.3984375" style="66" customWidth="1"/>
    <col min="7946" max="8192" width="9" style="66"/>
    <col min="8193" max="8201" width="9.3984375" style="66" customWidth="1"/>
    <col min="8202" max="8448" width="9" style="66"/>
    <col min="8449" max="8457" width="9.3984375" style="66" customWidth="1"/>
    <col min="8458" max="8704" width="9" style="66"/>
    <col min="8705" max="8713" width="9.3984375" style="66" customWidth="1"/>
    <col min="8714" max="8960" width="9" style="66"/>
    <col min="8961" max="8969" width="9.3984375" style="66" customWidth="1"/>
    <col min="8970" max="9216" width="9" style="66"/>
    <col min="9217" max="9225" width="9.3984375" style="66" customWidth="1"/>
    <col min="9226" max="9472" width="9" style="66"/>
    <col min="9473" max="9481" width="9.3984375" style="66" customWidth="1"/>
    <col min="9482" max="9728" width="9" style="66"/>
    <col min="9729" max="9737" width="9.3984375" style="66" customWidth="1"/>
    <col min="9738" max="9984" width="9" style="66"/>
    <col min="9985" max="9993" width="9.3984375" style="66" customWidth="1"/>
    <col min="9994" max="10240" width="9" style="66"/>
    <col min="10241" max="10249" width="9.3984375" style="66" customWidth="1"/>
    <col min="10250" max="10496" width="9" style="66"/>
    <col min="10497" max="10505" width="9.3984375" style="66" customWidth="1"/>
    <col min="10506" max="10752" width="9" style="66"/>
    <col min="10753" max="10761" width="9.3984375" style="66" customWidth="1"/>
    <col min="10762" max="11008" width="9" style="66"/>
    <col min="11009" max="11017" width="9.3984375" style="66" customWidth="1"/>
    <col min="11018" max="11264" width="9" style="66"/>
    <col min="11265" max="11273" width="9.3984375" style="66" customWidth="1"/>
    <col min="11274" max="11520" width="9" style="66"/>
    <col min="11521" max="11529" width="9.3984375" style="66" customWidth="1"/>
    <col min="11530" max="11776" width="9" style="66"/>
    <col min="11777" max="11785" width="9.3984375" style="66" customWidth="1"/>
    <col min="11786" max="12032" width="9" style="66"/>
    <col min="12033" max="12041" width="9.3984375" style="66" customWidth="1"/>
    <col min="12042" max="12288" width="9" style="66"/>
    <col min="12289" max="12297" width="9.3984375" style="66" customWidth="1"/>
    <col min="12298" max="12544" width="9" style="66"/>
    <col min="12545" max="12553" width="9.3984375" style="66" customWidth="1"/>
    <col min="12554" max="12800" width="9" style="66"/>
    <col min="12801" max="12809" width="9.3984375" style="66" customWidth="1"/>
    <col min="12810" max="13056" width="9" style="66"/>
    <col min="13057" max="13065" width="9.3984375" style="66" customWidth="1"/>
    <col min="13066" max="13312" width="9" style="66"/>
    <col min="13313" max="13321" width="9.3984375" style="66" customWidth="1"/>
    <col min="13322" max="13568" width="9" style="66"/>
    <col min="13569" max="13577" width="9.3984375" style="66" customWidth="1"/>
    <col min="13578" max="13824" width="9" style="66"/>
    <col min="13825" max="13833" width="9.3984375" style="66" customWidth="1"/>
    <col min="13834" max="14080" width="9" style="66"/>
    <col min="14081" max="14089" width="9.3984375" style="66" customWidth="1"/>
    <col min="14090" max="14336" width="9" style="66"/>
    <col min="14337" max="14345" width="9.3984375" style="66" customWidth="1"/>
    <col min="14346" max="14592" width="9" style="66"/>
    <col min="14593" max="14601" width="9.3984375" style="66" customWidth="1"/>
    <col min="14602" max="14848" width="9" style="66"/>
    <col min="14849" max="14857" width="9.3984375" style="66" customWidth="1"/>
    <col min="14858" max="15104" width="9" style="66"/>
    <col min="15105" max="15113" width="9.3984375" style="66" customWidth="1"/>
    <col min="15114" max="15360" width="9" style="66"/>
    <col min="15361" max="15369" width="9.3984375" style="66" customWidth="1"/>
    <col min="15370" max="15616" width="9" style="66"/>
    <col min="15617" max="15625" width="9.3984375" style="66" customWidth="1"/>
    <col min="15626" max="15872" width="9" style="66"/>
    <col min="15873" max="15881" width="9.3984375" style="66" customWidth="1"/>
    <col min="15882" max="16128" width="9" style="66"/>
    <col min="16129" max="16137" width="9.3984375" style="66" customWidth="1"/>
    <col min="16138" max="16384" width="9" style="66"/>
  </cols>
  <sheetData>
    <row r="1" spans="1:10" s="60" customFormat="1" ht="16.5" customHeight="1">
      <c r="B1" s="174"/>
      <c r="C1" s="174"/>
      <c r="D1" s="174"/>
      <c r="E1" s="174"/>
      <c r="J1" s="59" t="s">
        <v>340</v>
      </c>
    </row>
    <row r="2" spans="1:10" ht="19.5" customHeight="1">
      <c r="A2" s="67" t="s">
        <v>730</v>
      </c>
      <c r="B2" s="65"/>
      <c r="C2" s="65"/>
      <c r="D2" s="65"/>
      <c r="E2" s="65"/>
      <c r="F2" s="59"/>
      <c r="H2" s="171" t="str">
        <f>'SP4-1'!L2</f>
        <v>Spreadsheet May 2025</v>
      </c>
      <c r="I2" s="59"/>
      <c r="J2" s="236" t="s">
        <v>341</v>
      </c>
    </row>
    <row r="3" spans="1:10" s="60" customFormat="1" ht="11.4">
      <c r="A3" s="65" t="s">
        <v>654</v>
      </c>
      <c r="B3" s="65"/>
      <c r="C3" s="65"/>
      <c r="D3" s="59"/>
      <c r="E3" s="59"/>
      <c r="F3" s="59"/>
      <c r="G3" s="59"/>
      <c r="H3" s="59"/>
      <c r="I3" s="59"/>
      <c r="J3" s="59"/>
    </row>
    <row r="4" spans="1:10" s="60" customFormat="1" ht="11.25" customHeight="1" thickBot="1">
      <c r="A4" s="123"/>
      <c r="B4" s="123"/>
      <c r="C4" s="123"/>
      <c r="D4" s="59"/>
      <c r="E4" s="59"/>
      <c r="F4" s="59"/>
      <c r="G4" s="59"/>
      <c r="H4" s="59"/>
      <c r="I4" s="59"/>
      <c r="J4" s="59"/>
    </row>
    <row r="5" spans="1:10" s="60" customFormat="1" ht="19.5" customHeight="1" thickBot="1">
      <c r="A5" s="262" t="s">
        <v>377</v>
      </c>
      <c r="B5" s="262"/>
      <c r="C5" s="263" t="s">
        <v>355</v>
      </c>
      <c r="D5" s="264">
        <f>'SP4-1'!I25</f>
        <v>0</v>
      </c>
      <c r="E5" s="262"/>
      <c r="F5" s="262"/>
      <c r="G5" s="262"/>
      <c r="H5" s="262"/>
      <c r="I5" s="262"/>
      <c r="J5" s="59"/>
    </row>
    <row r="6" spans="1:10" s="60" customFormat="1" ht="19.5" customHeight="1" thickBot="1">
      <c r="A6" s="262" t="s">
        <v>449</v>
      </c>
      <c r="B6" s="262"/>
      <c r="C6" s="265" t="s">
        <v>355</v>
      </c>
      <c r="D6" s="266">
        <f>'SP4-1'!I32</f>
        <v>0</v>
      </c>
      <c r="E6" s="262"/>
      <c r="F6" s="262"/>
      <c r="G6" s="262"/>
      <c r="H6" s="262"/>
      <c r="I6" s="262"/>
      <c r="J6" s="59"/>
    </row>
    <row r="7" spans="1:10" s="60" customFormat="1" ht="19.5" customHeight="1" thickBot="1">
      <c r="A7" s="262"/>
      <c r="B7" s="262"/>
      <c r="C7" s="262"/>
      <c r="D7" s="262"/>
      <c r="E7" s="262"/>
      <c r="F7" s="262"/>
      <c r="G7" s="262"/>
      <c r="H7" s="262"/>
      <c r="I7" s="262"/>
      <c r="J7" s="59"/>
    </row>
    <row r="8" spans="1:10" s="60" customFormat="1" ht="26.25" customHeight="1" thickBot="1">
      <c r="A8" s="656" t="s">
        <v>798</v>
      </c>
      <c r="B8" s="656"/>
      <c r="C8" s="656"/>
      <c r="D8" s="656"/>
      <c r="E8" s="267" t="s">
        <v>395</v>
      </c>
      <c r="F8" s="268" t="s">
        <v>450</v>
      </c>
      <c r="G8" s="268" t="s">
        <v>451</v>
      </c>
      <c r="H8" s="268" t="s">
        <v>452</v>
      </c>
      <c r="I8" s="268" t="s">
        <v>799</v>
      </c>
      <c r="J8" s="59"/>
    </row>
    <row r="9" spans="1:10" s="60" customFormat="1" ht="19.5" customHeight="1" thickBot="1">
      <c r="A9" s="269" t="s">
        <v>453</v>
      </c>
      <c r="B9" s="269"/>
      <c r="C9" s="269"/>
      <c r="D9" s="269"/>
      <c r="E9" s="269"/>
      <c r="F9" s="269"/>
      <c r="G9" s="269"/>
      <c r="H9" s="269"/>
      <c r="I9" s="269"/>
      <c r="J9" s="59"/>
    </row>
    <row r="10" spans="1:10" s="60" customFormat="1" ht="24" customHeight="1" thickBot="1">
      <c r="A10" s="657" t="s">
        <v>719</v>
      </c>
      <c r="B10" s="658"/>
      <c r="C10" s="658"/>
      <c r="D10" s="659"/>
      <c r="E10" s="270"/>
      <c r="F10" s="271"/>
      <c r="G10" s="271"/>
      <c r="H10" s="271"/>
      <c r="I10" s="271"/>
      <c r="J10" s="59"/>
    </row>
    <row r="11" spans="1:10" s="60" customFormat="1" ht="19.5" customHeight="1" thickBot="1">
      <c r="A11" s="272" t="s">
        <v>655</v>
      </c>
      <c r="B11" s="273"/>
      <c r="C11" s="273"/>
      <c r="D11" s="273"/>
      <c r="E11" s="270"/>
      <c r="F11" s="271"/>
      <c r="G11" s="271"/>
      <c r="H11" s="271"/>
      <c r="I11" s="271"/>
      <c r="J11" s="59"/>
    </row>
    <row r="12" spans="1:10" s="60" customFormat="1" ht="19.5" customHeight="1" thickBot="1">
      <c r="A12" s="272" t="s">
        <v>276</v>
      </c>
      <c r="B12" s="274"/>
      <c r="C12" s="274"/>
      <c r="D12" s="274"/>
      <c r="E12" s="270"/>
      <c r="F12" s="271"/>
      <c r="G12" s="271"/>
      <c r="H12" s="271"/>
      <c r="I12" s="271"/>
      <c r="J12" s="59"/>
    </row>
    <row r="13" spans="1:10" s="60" customFormat="1" ht="19.5" customHeight="1" thickBot="1">
      <c r="A13" s="660" t="s">
        <v>800</v>
      </c>
      <c r="B13" s="660"/>
      <c r="C13" s="660"/>
      <c r="D13" s="660"/>
      <c r="E13" s="275">
        <f>SUM(E10:E12)</f>
        <v>0</v>
      </c>
      <c r="F13" s="275">
        <f>SUM(F10:F12)</f>
        <v>0</v>
      </c>
      <c r="G13" s="275">
        <f>SUM(G10:G12)</f>
        <v>0</v>
      </c>
      <c r="H13" s="275">
        <f>SUM(H10:H12)</f>
        <v>0</v>
      </c>
      <c r="I13" s="275">
        <f>SUM(I10:I12)</f>
        <v>0</v>
      </c>
      <c r="J13" s="59"/>
    </row>
    <row r="14" spans="1:10" s="60" customFormat="1" ht="19.5" customHeight="1" thickBot="1">
      <c r="A14" s="269" t="s">
        <v>250</v>
      </c>
      <c r="B14" s="269"/>
      <c r="C14" s="269"/>
      <c r="D14" s="269"/>
      <c r="E14" s="269"/>
      <c r="F14" s="269"/>
      <c r="G14" s="269"/>
      <c r="H14" s="269"/>
      <c r="I14" s="269"/>
      <c r="J14" s="59"/>
    </row>
    <row r="15" spans="1:10" s="60" customFormat="1" ht="19.5" customHeight="1" thickBot="1">
      <c r="A15" s="660" t="s">
        <v>656</v>
      </c>
      <c r="B15" s="660"/>
      <c r="C15" s="660"/>
      <c r="D15" s="660"/>
      <c r="E15" s="270"/>
      <c r="F15" s="271"/>
      <c r="G15" s="271"/>
      <c r="H15" s="271"/>
      <c r="I15" s="271"/>
      <c r="J15" s="59"/>
    </row>
    <row r="16" spans="1:10" s="60" customFormat="1" ht="19.5" customHeight="1" thickBot="1">
      <c r="A16" s="276" t="s">
        <v>657</v>
      </c>
      <c r="B16" s="274"/>
      <c r="C16" s="274"/>
      <c r="D16" s="274"/>
      <c r="E16" s="270"/>
      <c r="F16" s="271"/>
      <c r="G16" s="271"/>
      <c r="H16" s="271"/>
      <c r="I16" s="271"/>
      <c r="J16" s="59"/>
    </row>
    <row r="17" spans="1:15" s="60" customFormat="1" ht="19.5" customHeight="1" thickBot="1">
      <c r="A17" s="276" t="s">
        <v>801</v>
      </c>
      <c r="B17" s="274"/>
      <c r="C17" s="274"/>
      <c r="D17" s="274"/>
      <c r="E17" s="275">
        <f>SUM(E15:E16)</f>
        <v>0</v>
      </c>
      <c r="F17" s="275">
        <f>SUM(F15:F16)</f>
        <v>0</v>
      </c>
      <c r="G17" s="275">
        <f>SUM(G15:G16)</f>
        <v>0</v>
      </c>
      <c r="H17" s="275">
        <f>SUM(H15:H16)</f>
        <v>0</v>
      </c>
      <c r="I17" s="275">
        <f>SUM(I15:I16)</f>
        <v>0</v>
      </c>
      <c r="J17" s="59"/>
    </row>
    <row r="18" spans="1:15" s="60" customFormat="1" ht="19.5" customHeight="1" thickBot="1">
      <c r="A18" s="276"/>
      <c r="B18" s="274"/>
      <c r="C18" s="274"/>
      <c r="D18" s="274"/>
      <c r="E18" s="274"/>
      <c r="F18" s="274"/>
      <c r="G18" s="274"/>
      <c r="H18" s="274"/>
      <c r="I18" s="274"/>
      <c r="J18" s="59"/>
    </row>
    <row r="19" spans="1:15" s="60" customFormat="1" ht="19.5" customHeight="1" thickBot="1">
      <c r="A19" s="277" t="s">
        <v>802</v>
      </c>
      <c r="B19" s="278"/>
      <c r="C19" s="278"/>
      <c r="D19" s="279"/>
      <c r="E19" s="269"/>
      <c r="F19" s="280">
        <f>IF(F17-$E17=0,0,(F13-$E13)/(F17-$E17))</f>
        <v>0</v>
      </c>
      <c r="G19" s="280">
        <f>IF(G17-$E17=0,0,(G13-$E13)/(G17-$E17))</f>
        <v>0</v>
      </c>
      <c r="H19" s="280">
        <f>IF(H17-$E17=0,0,(H13-$E13)/(H17-$E17))</f>
        <v>0</v>
      </c>
      <c r="I19" s="280">
        <f>IF(I17-$E17=0,0,(I13-$E13)/(I17-$E17))</f>
        <v>0</v>
      </c>
      <c r="J19" s="59"/>
    </row>
    <row r="20" spans="1:15" s="60" customFormat="1" ht="19.5" customHeight="1" thickBot="1">
      <c r="A20" s="276" t="s">
        <v>454</v>
      </c>
      <c r="B20" s="281"/>
      <c r="C20" s="276"/>
      <c r="D20" s="276"/>
      <c r="E20" s="282"/>
      <c r="F20" s="269"/>
      <c r="G20" s="269"/>
      <c r="H20" s="269"/>
      <c r="I20" s="269"/>
      <c r="J20" s="59"/>
      <c r="K20" s="661" t="s">
        <v>455</v>
      </c>
      <c r="L20" s="661"/>
      <c r="M20" s="661"/>
      <c r="N20" s="661"/>
      <c r="O20" s="661"/>
    </row>
    <row r="21" spans="1:15" s="60" customFormat="1" ht="19.5" customHeight="1" thickBot="1">
      <c r="A21" s="253"/>
      <c r="B21" s="253"/>
      <c r="C21" s="253"/>
      <c r="D21" s="253"/>
      <c r="E21" s="253"/>
      <c r="F21" s="253"/>
      <c r="G21" s="253"/>
      <c r="H21" s="253"/>
      <c r="I21" s="253"/>
      <c r="J21" s="59"/>
    </row>
    <row r="22" spans="1:15" s="60" customFormat="1" ht="19.5" customHeight="1" thickBot="1">
      <c r="A22" s="276"/>
      <c r="B22" s="276"/>
      <c r="C22" s="276"/>
      <c r="D22" s="276"/>
      <c r="E22" s="272"/>
      <c r="F22" s="272"/>
      <c r="G22" s="272"/>
      <c r="H22" s="272"/>
      <c r="I22" s="272"/>
      <c r="J22" s="59"/>
    </row>
    <row r="23" spans="1:15" s="60" customFormat="1" ht="19.5" customHeight="1" thickBot="1">
      <c r="A23" s="653" t="s">
        <v>456</v>
      </c>
      <c r="B23" s="653"/>
      <c r="C23" s="653"/>
      <c r="D23" s="653" t="s">
        <v>457</v>
      </c>
      <c r="E23" s="653"/>
      <c r="F23" s="653"/>
      <c r="G23" s="653" t="s">
        <v>458</v>
      </c>
      <c r="H23" s="653"/>
      <c r="I23" s="653"/>
      <c r="J23" s="59"/>
      <c r="K23" s="654" t="s">
        <v>459</v>
      </c>
      <c r="L23" s="654"/>
      <c r="M23" s="654"/>
      <c r="N23" s="654"/>
      <c r="O23" s="654"/>
    </row>
    <row r="24" spans="1:15" s="60" customFormat="1" ht="56.25" customHeight="1" thickBot="1">
      <c r="A24" s="283" t="s">
        <v>396</v>
      </c>
      <c r="B24" s="283" t="s">
        <v>460</v>
      </c>
      <c r="C24" s="283" t="s">
        <v>461</v>
      </c>
      <c r="D24" s="283" t="s">
        <v>396</v>
      </c>
      <c r="E24" s="283" t="s">
        <v>462</v>
      </c>
      <c r="F24" s="283" t="s">
        <v>463</v>
      </c>
      <c r="G24" s="283" t="s">
        <v>464</v>
      </c>
      <c r="H24" s="283" t="s">
        <v>465</v>
      </c>
      <c r="I24" s="284" t="s">
        <v>803</v>
      </c>
      <c r="J24" s="59"/>
      <c r="K24" s="655"/>
      <c r="L24" s="655"/>
      <c r="M24" s="655"/>
      <c r="N24" s="655"/>
      <c r="O24" s="655"/>
    </row>
    <row r="25" spans="1:15" s="60" customFormat="1" ht="19.5" customHeight="1" thickBot="1">
      <c r="A25" s="285"/>
      <c r="B25" s="271"/>
      <c r="C25" s="271"/>
      <c r="D25" s="285"/>
      <c r="E25" s="271"/>
      <c r="F25" s="271"/>
      <c r="G25" s="127">
        <f>E25-B25</f>
        <v>0</v>
      </c>
      <c r="H25" s="127">
        <f>F25-C25</f>
        <v>0</v>
      </c>
      <c r="I25" s="126">
        <f>IF(G25=0,0,H25/G25)</f>
        <v>0</v>
      </c>
      <c r="J25" s="59"/>
      <c r="K25" s="655"/>
      <c r="L25" s="655"/>
      <c r="M25" s="655"/>
      <c r="N25" s="655"/>
      <c r="O25" s="655"/>
    </row>
    <row r="26" spans="1:15" s="60" customFormat="1" ht="19.5" customHeight="1" thickBot="1">
      <c r="A26" s="285"/>
      <c r="B26" s="271"/>
      <c r="C26" s="271"/>
      <c r="D26" s="285"/>
      <c r="E26" s="271"/>
      <c r="F26" s="271"/>
      <c r="G26" s="127">
        <f t="shared" ref="G26:H28" si="0">E26-B26</f>
        <v>0</v>
      </c>
      <c r="H26" s="127">
        <f t="shared" si="0"/>
        <v>0</v>
      </c>
      <c r="I26" s="126">
        <f>IF(G26=0,0,H26/G26)</f>
        <v>0</v>
      </c>
      <c r="J26" s="59"/>
      <c r="K26" s="655"/>
      <c r="L26" s="655"/>
      <c r="M26" s="655"/>
      <c r="N26" s="655"/>
      <c r="O26" s="655"/>
    </row>
    <row r="27" spans="1:15" s="60" customFormat="1" ht="19.5" customHeight="1" thickBot="1">
      <c r="A27" s="285"/>
      <c r="B27" s="271"/>
      <c r="C27" s="271"/>
      <c r="D27" s="285"/>
      <c r="E27" s="271"/>
      <c r="F27" s="271"/>
      <c r="G27" s="127">
        <f t="shared" si="0"/>
        <v>0</v>
      </c>
      <c r="H27" s="127">
        <f t="shared" si="0"/>
        <v>0</v>
      </c>
      <c r="I27" s="126">
        <f>IF(G27=0,0,H27/G27)</f>
        <v>0</v>
      </c>
      <c r="J27" s="59"/>
      <c r="K27" s="655"/>
      <c r="L27" s="655"/>
      <c r="M27" s="655"/>
      <c r="N27" s="655"/>
      <c r="O27" s="655"/>
    </row>
    <row r="28" spans="1:15" s="60" customFormat="1" ht="19.5" customHeight="1" thickBot="1">
      <c r="A28" s="285"/>
      <c r="B28" s="271"/>
      <c r="C28" s="271"/>
      <c r="D28" s="285"/>
      <c r="E28" s="271"/>
      <c r="F28" s="271"/>
      <c r="G28" s="127">
        <f t="shared" si="0"/>
        <v>0</v>
      </c>
      <c r="H28" s="127">
        <f t="shared" si="0"/>
        <v>0</v>
      </c>
      <c r="I28" s="126">
        <f>IF(G28=0,0,H28/G28)</f>
        <v>0</v>
      </c>
      <c r="J28" s="59"/>
      <c r="K28" s="655"/>
      <c r="L28" s="655"/>
      <c r="M28" s="655"/>
      <c r="N28" s="655"/>
      <c r="O28" s="655"/>
    </row>
    <row r="29" spans="1:15" ht="19.5" customHeight="1" thickBot="1">
      <c r="A29" s="286"/>
      <c r="B29" s="286"/>
      <c r="C29" s="286"/>
      <c r="D29" s="286"/>
      <c r="E29" s="286"/>
      <c r="F29" s="286"/>
      <c r="G29" s="286"/>
      <c r="H29" s="286"/>
      <c r="I29" s="262"/>
      <c r="J29" s="59"/>
      <c r="K29" s="655"/>
      <c r="L29" s="655"/>
      <c r="M29" s="655"/>
      <c r="N29" s="655"/>
      <c r="O29" s="655"/>
    </row>
    <row r="30" spans="1:15" s="53" customFormat="1" ht="19.5" customHeight="1">
      <c r="A30" s="287"/>
      <c r="B30" s="287"/>
      <c r="C30" s="287"/>
      <c r="D30" s="287"/>
      <c r="E30" s="287"/>
      <c r="F30" s="287"/>
      <c r="G30" s="287"/>
      <c r="H30" s="287"/>
      <c r="I30" s="129"/>
      <c r="J30" s="63"/>
      <c r="K30" s="655"/>
      <c r="L30" s="655"/>
      <c r="M30" s="655"/>
      <c r="N30" s="655"/>
      <c r="O30" s="655"/>
    </row>
    <row r="31" spans="1:15" s="53" customFormat="1" ht="19.5" customHeight="1">
      <c r="A31" s="287"/>
      <c r="B31" s="287"/>
      <c r="C31" s="287"/>
      <c r="D31" s="287"/>
      <c r="E31" s="287"/>
      <c r="F31" s="287"/>
      <c r="G31" s="287"/>
      <c r="H31" s="287"/>
      <c r="I31" s="129"/>
      <c r="J31" s="63"/>
      <c r="K31" s="655"/>
      <c r="L31" s="655"/>
      <c r="M31" s="655"/>
      <c r="N31" s="655"/>
      <c r="O31" s="655"/>
    </row>
    <row r="32" spans="1:15" s="53" customFormat="1" ht="19.5" customHeight="1">
      <c r="A32" s="287"/>
      <c r="B32" s="287"/>
      <c r="C32" s="287"/>
      <c r="D32" s="287"/>
      <c r="E32" s="287"/>
      <c r="F32" s="287"/>
      <c r="G32" s="287"/>
      <c r="H32" s="287"/>
      <c r="I32" s="129"/>
      <c r="J32" s="63"/>
    </row>
    <row r="33" spans="1:10" s="53" customFormat="1" ht="19.5" hidden="1" customHeight="1">
      <c r="A33" s="287"/>
      <c r="B33" s="287"/>
      <c r="C33" s="287"/>
      <c r="D33" s="287"/>
      <c r="E33" s="287"/>
      <c r="F33" s="287"/>
      <c r="G33" s="287"/>
      <c r="H33" s="287"/>
      <c r="I33" s="129"/>
      <c r="J33" s="63"/>
    </row>
    <row r="34" spans="1:10" hidden="1">
      <c r="A34" s="123">
        <v>2009</v>
      </c>
      <c r="B34" s="123"/>
      <c r="C34" s="59"/>
      <c r="D34" s="59"/>
      <c r="E34" s="59"/>
      <c r="F34" s="59"/>
      <c r="G34" s="59"/>
      <c r="H34" s="59"/>
      <c r="I34" s="59"/>
      <c r="J34" s="59"/>
    </row>
    <row r="35" spans="1:10" hidden="1">
      <c r="A35" s="123">
        <v>2010</v>
      </c>
      <c r="B35" s="123"/>
      <c r="C35" s="59"/>
      <c r="D35" s="59"/>
      <c r="E35" s="59"/>
      <c r="F35" s="59"/>
      <c r="G35" s="59"/>
      <c r="H35" s="59"/>
      <c r="I35" s="59"/>
      <c r="J35" s="59"/>
    </row>
    <row r="36" spans="1:10" hidden="1">
      <c r="A36" s="123">
        <v>2011</v>
      </c>
      <c r="B36" s="123"/>
      <c r="C36" s="59"/>
      <c r="D36" s="59"/>
      <c r="E36" s="59"/>
      <c r="F36" s="59"/>
      <c r="G36" s="59"/>
      <c r="H36" s="59"/>
      <c r="I36" s="59"/>
      <c r="J36" s="59"/>
    </row>
    <row r="37" spans="1:10" hidden="1">
      <c r="A37" s="123">
        <v>2012</v>
      </c>
      <c r="B37" s="123"/>
      <c r="C37" s="59"/>
      <c r="D37" s="59"/>
      <c r="E37" s="59"/>
      <c r="F37" s="59"/>
      <c r="G37" s="59"/>
      <c r="H37" s="59"/>
      <c r="I37" s="59"/>
      <c r="J37" s="59"/>
    </row>
    <row r="38" spans="1:10" hidden="1">
      <c r="A38" s="123">
        <v>2013</v>
      </c>
      <c r="B38" s="123"/>
      <c r="C38" s="59"/>
      <c r="D38" s="59"/>
      <c r="E38" s="59"/>
      <c r="F38" s="59"/>
      <c r="G38" s="59"/>
      <c r="H38" s="59"/>
      <c r="I38" s="59"/>
      <c r="J38" s="59"/>
    </row>
    <row r="39" spans="1:10" hidden="1">
      <c r="A39" s="123">
        <v>2014</v>
      </c>
      <c r="B39" s="123"/>
      <c r="C39" s="59"/>
      <c r="D39" s="59"/>
      <c r="E39" s="59"/>
      <c r="F39" s="59"/>
      <c r="G39" s="59"/>
      <c r="H39" s="59"/>
      <c r="I39" s="59"/>
      <c r="J39" s="59"/>
    </row>
    <row r="40" spans="1:10" hidden="1">
      <c r="A40" s="123">
        <v>2015</v>
      </c>
      <c r="B40" s="123"/>
      <c r="C40" s="59"/>
      <c r="D40" s="59"/>
      <c r="E40" s="59"/>
      <c r="F40" s="59"/>
      <c r="G40" s="59"/>
      <c r="H40" s="59"/>
      <c r="I40" s="59"/>
      <c r="J40" s="59"/>
    </row>
    <row r="41" spans="1:10" hidden="1">
      <c r="A41" s="123">
        <v>2016</v>
      </c>
      <c r="B41" s="123"/>
      <c r="C41" s="59"/>
      <c r="D41" s="59"/>
      <c r="E41" s="59"/>
      <c r="F41" s="59"/>
      <c r="G41" s="59"/>
      <c r="H41" s="59"/>
      <c r="I41" s="59"/>
      <c r="J41" s="59"/>
    </row>
    <row r="42" spans="1:10" hidden="1">
      <c r="A42" s="123">
        <v>2017</v>
      </c>
      <c r="B42" s="123"/>
      <c r="C42" s="59"/>
      <c r="D42" s="59"/>
      <c r="E42" s="59"/>
      <c r="F42" s="59"/>
      <c r="G42" s="59"/>
      <c r="H42" s="59"/>
      <c r="I42" s="59"/>
      <c r="J42" s="59"/>
    </row>
    <row r="43" spans="1:10" hidden="1">
      <c r="A43" s="123">
        <v>2018</v>
      </c>
      <c r="B43" s="123"/>
      <c r="C43" s="59"/>
      <c r="D43" s="59"/>
      <c r="E43" s="59"/>
      <c r="F43" s="59"/>
      <c r="G43" s="59"/>
      <c r="H43" s="59"/>
      <c r="I43" s="59"/>
      <c r="J43" s="59"/>
    </row>
    <row r="44" spans="1:10" hidden="1">
      <c r="A44" s="123">
        <v>2019</v>
      </c>
      <c r="B44" s="123"/>
      <c r="C44" s="59"/>
      <c r="D44" s="59"/>
      <c r="E44" s="59"/>
      <c r="F44" s="59"/>
      <c r="G44" s="59"/>
      <c r="H44" s="59"/>
      <c r="I44" s="59"/>
      <c r="J44" s="59"/>
    </row>
    <row r="45" spans="1:10" hidden="1">
      <c r="A45" s="123">
        <v>2020</v>
      </c>
      <c r="B45" s="123"/>
      <c r="C45" s="59"/>
      <c r="D45" s="59"/>
      <c r="E45" s="59"/>
      <c r="F45" s="59"/>
      <c r="G45" s="59"/>
      <c r="H45" s="59"/>
      <c r="I45" s="59"/>
      <c r="J45" s="59"/>
    </row>
    <row r="46" spans="1:10" hidden="1">
      <c r="A46" s="123">
        <v>2021</v>
      </c>
      <c r="B46" s="123"/>
      <c r="C46" s="59"/>
      <c r="D46" s="59"/>
      <c r="E46" s="59"/>
      <c r="F46" s="59"/>
      <c r="G46" s="59"/>
      <c r="H46" s="59"/>
      <c r="I46" s="59"/>
      <c r="J46" s="59"/>
    </row>
    <row r="47" spans="1:10" hidden="1">
      <c r="A47" s="123">
        <v>2022</v>
      </c>
      <c r="B47" s="123"/>
      <c r="C47" s="59"/>
      <c r="D47" s="59"/>
      <c r="E47" s="59"/>
      <c r="F47" s="59"/>
      <c r="G47" s="59"/>
      <c r="H47" s="59"/>
      <c r="I47" s="59"/>
      <c r="J47" s="59"/>
    </row>
    <row r="48" spans="1:10" hidden="1">
      <c r="A48" s="123">
        <v>2023</v>
      </c>
      <c r="B48" s="123"/>
      <c r="C48" s="59"/>
      <c r="D48" s="59"/>
      <c r="E48" s="59"/>
      <c r="F48" s="59"/>
      <c r="G48" s="59"/>
      <c r="H48" s="59"/>
      <c r="I48" s="59"/>
      <c r="J48" s="59"/>
    </row>
    <row r="49" spans="1:10" hidden="1">
      <c r="A49" s="123">
        <v>2024</v>
      </c>
      <c r="B49" s="123"/>
      <c r="C49" s="59"/>
      <c r="D49" s="59"/>
      <c r="E49" s="59"/>
      <c r="F49" s="59"/>
      <c r="G49" s="59"/>
      <c r="H49" s="59"/>
      <c r="I49" s="59"/>
      <c r="J49" s="59"/>
    </row>
    <row r="50" spans="1:10" hidden="1">
      <c r="A50" s="123">
        <v>2025</v>
      </c>
      <c r="B50" s="123"/>
      <c r="C50" s="59"/>
      <c r="D50" s="59"/>
      <c r="E50" s="59"/>
      <c r="F50" s="59"/>
      <c r="G50" s="59"/>
      <c r="H50" s="59"/>
      <c r="I50" s="59"/>
      <c r="J50" s="59"/>
    </row>
    <row r="51" spans="1:10" hidden="1">
      <c r="A51" s="123">
        <v>2026</v>
      </c>
      <c r="B51" s="123"/>
      <c r="C51" s="59"/>
      <c r="D51" s="59"/>
      <c r="E51" s="59"/>
      <c r="F51" s="59"/>
      <c r="G51" s="59"/>
      <c r="H51" s="59"/>
      <c r="I51" s="59"/>
      <c r="J51" s="59"/>
    </row>
    <row r="52" spans="1:10" hidden="1">
      <c r="A52" s="123">
        <v>2027</v>
      </c>
      <c r="B52" s="123"/>
      <c r="C52" s="59"/>
      <c r="D52" s="59"/>
      <c r="E52" s="59"/>
      <c r="F52" s="59"/>
      <c r="G52" s="59"/>
      <c r="H52" s="59"/>
      <c r="I52" s="59"/>
      <c r="J52" s="59"/>
    </row>
    <row r="53" spans="1:10" hidden="1">
      <c r="A53" s="123">
        <v>2028</v>
      </c>
      <c r="B53" s="123"/>
      <c r="C53" s="59"/>
      <c r="D53" s="59"/>
      <c r="E53" s="59"/>
      <c r="F53" s="59"/>
      <c r="G53" s="59"/>
      <c r="H53" s="59"/>
      <c r="I53" s="59"/>
      <c r="J53" s="59"/>
    </row>
    <row r="54" spans="1:10" hidden="1">
      <c r="A54" s="123">
        <v>2029</v>
      </c>
      <c r="B54" s="123"/>
      <c r="C54" s="59"/>
      <c r="D54" s="59"/>
      <c r="E54" s="59"/>
      <c r="F54" s="59"/>
      <c r="G54" s="59"/>
      <c r="H54" s="59"/>
      <c r="I54" s="59"/>
      <c r="J54" s="59"/>
    </row>
    <row r="55" spans="1:10" hidden="1">
      <c r="A55" s="123">
        <v>2030</v>
      </c>
      <c r="B55" s="123"/>
      <c r="C55" s="59"/>
      <c r="D55" s="59"/>
      <c r="E55" s="59"/>
      <c r="F55" s="59"/>
      <c r="G55" s="59"/>
      <c r="H55" s="59"/>
      <c r="I55" s="59"/>
      <c r="J55" s="59"/>
    </row>
    <row r="56" spans="1:10" hidden="1">
      <c r="A56" s="123">
        <v>2031</v>
      </c>
      <c r="B56" s="123"/>
      <c r="C56" s="59"/>
      <c r="D56" s="59"/>
      <c r="E56" s="59"/>
      <c r="F56" s="59"/>
      <c r="G56" s="59"/>
      <c r="H56" s="59"/>
      <c r="I56" s="59"/>
      <c r="J56" s="59"/>
    </row>
    <row r="57" spans="1:10" hidden="1">
      <c r="A57" s="123">
        <v>2032</v>
      </c>
      <c r="B57" s="123"/>
      <c r="C57" s="59"/>
      <c r="D57" s="59"/>
      <c r="E57" s="59"/>
      <c r="F57" s="59"/>
      <c r="G57" s="59"/>
      <c r="H57" s="59"/>
      <c r="I57" s="59"/>
      <c r="J57" s="59"/>
    </row>
    <row r="58" spans="1:10" hidden="1">
      <c r="A58" s="123">
        <v>2033</v>
      </c>
      <c r="B58" s="123"/>
      <c r="C58" s="59"/>
      <c r="D58" s="59"/>
      <c r="E58" s="59"/>
      <c r="F58" s="59"/>
      <c r="G58" s="59"/>
      <c r="H58" s="59"/>
      <c r="I58" s="59"/>
      <c r="J58" s="59"/>
    </row>
    <row r="59" spans="1:10" hidden="1">
      <c r="A59" s="123">
        <v>2034</v>
      </c>
      <c r="B59" s="123"/>
      <c r="C59" s="59"/>
      <c r="D59" s="59"/>
      <c r="E59" s="59"/>
      <c r="F59" s="59"/>
      <c r="G59" s="59"/>
      <c r="H59" s="59"/>
      <c r="I59" s="59"/>
      <c r="J59" s="59"/>
    </row>
    <row r="60" spans="1:10" hidden="1">
      <c r="A60" s="123">
        <v>2035</v>
      </c>
      <c r="B60" s="123"/>
      <c r="C60" s="59"/>
      <c r="D60" s="59"/>
      <c r="E60" s="59"/>
      <c r="F60" s="59"/>
      <c r="G60" s="59"/>
      <c r="H60" s="59"/>
      <c r="I60" s="59"/>
      <c r="J60" s="59"/>
    </row>
    <row r="61" spans="1:10" hidden="1">
      <c r="A61" s="123">
        <v>2036</v>
      </c>
      <c r="B61" s="123"/>
      <c r="C61" s="59"/>
      <c r="D61" s="59"/>
      <c r="E61" s="59"/>
      <c r="F61" s="59"/>
      <c r="G61" s="59"/>
      <c r="H61" s="59"/>
      <c r="I61" s="59"/>
      <c r="J61" s="59"/>
    </row>
    <row r="62" spans="1:10" hidden="1">
      <c r="A62" s="123">
        <v>2037</v>
      </c>
      <c r="B62" s="123"/>
      <c r="C62" s="59"/>
      <c r="D62" s="59"/>
      <c r="E62" s="59"/>
      <c r="F62" s="59"/>
      <c r="G62" s="59"/>
      <c r="H62" s="59"/>
      <c r="I62" s="59"/>
      <c r="J62" s="59"/>
    </row>
    <row r="63" spans="1:10" hidden="1">
      <c r="A63" s="123">
        <v>2038</v>
      </c>
      <c r="B63" s="123"/>
      <c r="C63" s="59"/>
      <c r="D63" s="59"/>
      <c r="E63" s="59"/>
      <c r="F63" s="59"/>
      <c r="G63" s="59"/>
      <c r="H63" s="59"/>
      <c r="I63" s="59"/>
      <c r="J63" s="59"/>
    </row>
    <row r="64" spans="1:10" hidden="1">
      <c r="A64" s="123">
        <v>2039</v>
      </c>
      <c r="B64" s="123"/>
      <c r="C64" s="59"/>
      <c r="D64" s="59"/>
      <c r="E64" s="59"/>
      <c r="F64" s="59"/>
      <c r="G64" s="59"/>
      <c r="H64" s="59"/>
      <c r="I64" s="59"/>
      <c r="J64" s="59"/>
    </row>
    <row r="65" spans="1:10" hidden="1">
      <c r="A65" s="123">
        <v>2040</v>
      </c>
      <c r="B65" s="123"/>
      <c r="C65" s="59"/>
      <c r="D65" s="59"/>
      <c r="E65" s="59"/>
      <c r="F65" s="59"/>
      <c r="G65" s="59"/>
      <c r="H65" s="59"/>
      <c r="I65" s="59"/>
      <c r="J65" s="59"/>
    </row>
    <row r="66" spans="1:10" hidden="1">
      <c r="A66" s="59"/>
      <c r="B66" s="59"/>
      <c r="C66" s="59"/>
      <c r="D66" s="59"/>
      <c r="E66" s="59"/>
      <c r="F66" s="59"/>
      <c r="G66" s="59"/>
      <c r="H66" s="59"/>
      <c r="I66" s="59"/>
      <c r="J66" s="59"/>
    </row>
    <row r="67" spans="1:10">
      <c r="A67" s="59"/>
      <c r="B67" s="59"/>
      <c r="C67" s="59"/>
      <c r="D67" s="59"/>
      <c r="E67" s="59"/>
      <c r="F67" s="59"/>
      <c r="G67" s="59"/>
      <c r="H67" s="59"/>
      <c r="I67" s="59"/>
      <c r="J67" s="59"/>
    </row>
    <row r="68" spans="1:10">
      <c r="A68" s="59"/>
      <c r="B68" s="59"/>
      <c r="C68" s="59"/>
      <c r="D68" s="59"/>
      <c r="E68" s="59"/>
      <c r="F68" s="59"/>
      <c r="G68" s="59"/>
      <c r="H68" s="59"/>
      <c r="I68" s="59"/>
      <c r="J68" s="59"/>
    </row>
    <row r="69" spans="1:10">
      <c r="A69" s="59"/>
      <c r="B69" s="59"/>
      <c r="C69" s="59"/>
      <c r="D69" s="59"/>
      <c r="E69" s="59"/>
      <c r="F69" s="59"/>
      <c r="G69" s="59"/>
      <c r="H69" s="59"/>
      <c r="I69" s="59"/>
      <c r="J69" s="59"/>
    </row>
    <row r="70" spans="1:10">
      <c r="A70" s="59"/>
      <c r="B70" s="59"/>
      <c r="C70" s="59"/>
      <c r="D70" s="59"/>
      <c r="E70" s="59"/>
      <c r="F70" s="59"/>
      <c r="G70" s="59"/>
      <c r="H70" s="59"/>
      <c r="I70" s="59"/>
      <c r="J70" s="59"/>
    </row>
    <row r="71" spans="1:10">
      <c r="A71" s="59"/>
      <c r="B71" s="59"/>
      <c r="C71" s="59"/>
      <c r="D71" s="59"/>
      <c r="E71" s="59"/>
      <c r="F71" s="59"/>
      <c r="G71" s="59"/>
      <c r="H71" s="59"/>
      <c r="I71" s="59"/>
      <c r="J71" s="59"/>
    </row>
    <row r="72" spans="1:10">
      <c r="A72" s="59"/>
      <c r="B72" s="59"/>
      <c r="C72" s="59"/>
      <c r="D72" s="59"/>
      <c r="E72" s="59"/>
      <c r="F72" s="59"/>
      <c r="G72" s="59"/>
      <c r="H72" s="59"/>
      <c r="I72" s="59"/>
      <c r="J72" s="59"/>
    </row>
    <row r="73" spans="1:10">
      <c r="A73" s="59"/>
      <c r="B73" s="59"/>
      <c r="C73" s="59"/>
      <c r="D73" s="59"/>
      <c r="E73" s="59"/>
      <c r="F73" s="59"/>
      <c r="G73" s="59"/>
      <c r="H73" s="59"/>
      <c r="I73" s="59"/>
      <c r="J73" s="59"/>
    </row>
    <row r="74" spans="1:10">
      <c r="A74" s="59"/>
      <c r="B74" s="59"/>
      <c r="C74" s="59"/>
      <c r="D74" s="59"/>
      <c r="E74" s="59"/>
      <c r="F74" s="59"/>
      <c r="G74" s="59"/>
      <c r="H74" s="59"/>
      <c r="I74" s="59"/>
      <c r="J74" s="59"/>
    </row>
    <row r="75" spans="1:10">
      <c r="A75" s="59"/>
      <c r="B75" s="59"/>
      <c r="C75" s="59"/>
      <c r="D75" s="59"/>
      <c r="E75" s="59"/>
      <c r="F75" s="59"/>
      <c r="G75" s="59"/>
      <c r="H75" s="59"/>
      <c r="I75" s="59"/>
      <c r="J75" s="59"/>
    </row>
    <row r="76" spans="1:10">
      <c r="A76" s="59"/>
      <c r="B76" s="59"/>
      <c r="C76" s="59"/>
      <c r="D76" s="59"/>
      <c r="E76" s="59"/>
      <c r="F76" s="59"/>
      <c r="G76" s="59"/>
      <c r="H76" s="59"/>
      <c r="I76" s="59"/>
      <c r="J76" s="59"/>
    </row>
    <row r="77" spans="1:10">
      <c r="A77" s="59"/>
      <c r="B77" s="59"/>
      <c r="C77" s="59"/>
      <c r="D77" s="59"/>
      <c r="E77" s="59"/>
      <c r="F77" s="59"/>
      <c r="G77" s="59"/>
      <c r="H77" s="59"/>
      <c r="I77" s="59"/>
      <c r="J77" s="59"/>
    </row>
    <row r="78" spans="1:10">
      <c r="A78" s="59"/>
      <c r="B78" s="59"/>
      <c r="C78" s="59"/>
      <c r="D78" s="59"/>
      <c r="E78" s="59"/>
      <c r="F78" s="59"/>
      <c r="G78" s="59"/>
      <c r="H78" s="59"/>
      <c r="I78" s="59"/>
      <c r="J78" s="59"/>
    </row>
    <row r="79" spans="1:10">
      <c r="A79" s="59"/>
      <c r="B79" s="59"/>
      <c r="C79" s="59"/>
      <c r="D79" s="59"/>
      <c r="E79" s="59"/>
      <c r="F79" s="59"/>
      <c r="G79" s="59"/>
      <c r="H79" s="59"/>
      <c r="I79" s="59"/>
      <c r="J79" s="59"/>
    </row>
    <row r="80" spans="1:10">
      <c r="A80" s="59"/>
      <c r="B80" s="59"/>
      <c r="C80" s="59"/>
      <c r="D80" s="59"/>
      <c r="E80" s="59"/>
      <c r="F80" s="59"/>
      <c r="G80" s="59"/>
      <c r="H80" s="59"/>
      <c r="I80" s="59"/>
      <c r="J80" s="59"/>
    </row>
    <row r="81" spans="1:10">
      <c r="A81" s="59"/>
      <c r="B81" s="59"/>
      <c r="C81" s="59"/>
      <c r="D81" s="59"/>
      <c r="E81" s="59"/>
      <c r="F81" s="59"/>
      <c r="G81" s="59"/>
      <c r="H81" s="59"/>
      <c r="I81" s="59"/>
      <c r="J81" s="59"/>
    </row>
    <row r="82" spans="1:10">
      <c r="A82" s="59"/>
      <c r="B82" s="59"/>
      <c r="C82" s="59"/>
      <c r="D82" s="59"/>
      <c r="E82" s="59"/>
      <c r="F82" s="59"/>
      <c r="G82" s="59"/>
      <c r="H82" s="59"/>
      <c r="I82" s="59"/>
      <c r="J82" s="59"/>
    </row>
    <row r="83" spans="1:10">
      <c r="A83" s="59"/>
      <c r="B83" s="59"/>
      <c r="C83" s="59"/>
      <c r="D83" s="59"/>
      <c r="E83" s="59"/>
      <c r="F83" s="59"/>
      <c r="G83" s="59"/>
      <c r="H83" s="59"/>
      <c r="I83" s="59"/>
      <c r="J83" s="59"/>
    </row>
  </sheetData>
  <sheetProtection algorithmName="SHA-512" hashValue="5Tinayspq+7ISn2INQCcl0IEI250ijA2v7BRu+6Z/GkpG1iwxHA9Tl9cDJLv0Iz6k/VWCcVej+2yoWPupyElJg==" saltValue="Hwi/qLrgmMHipX6zcZha8A==" spinCount="100000" sheet="1" selectLockedCells="1"/>
  <protectedRanges>
    <protectedRange sqref="D5:D6 E5:I5" name="Range1_1_1"/>
    <protectedRange sqref="C5:C6" name="Range1_1_1_1"/>
    <protectedRange sqref="E25:I28" name="Range5_1_1_1"/>
    <protectedRange sqref="G29:I33" name="Range10_1_1_1"/>
  </protectedRanges>
  <mergeCells count="9">
    <mergeCell ref="A23:C23"/>
    <mergeCell ref="D23:F23"/>
    <mergeCell ref="G23:I23"/>
    <mergeCell ref="K23:O31"/>
    <mergeCell ref="A8:D8"/>
    <mergeCell ref="A10:D10"/>
    <mergeCell ref="A13:D13"/>
    <mergeCell ref="A15:D15"/>
    <mergeCell ref="K20:O20"/>
  </mergeCells>
  <hyperlinks>
    <hyperlink ref="K20" r:id="rId1" display="https://www.nzta.govt.nz/assets/resources/economic-evaluation-manual/economic-evaluation-manual/docs/eem-manual-2016.pdf" xr:uid="{B8E7F458-4E7D-4EB1-B595-845D510C52A4}"/>
    <hyperlink ref="K20:O20" r:id="rId2" display="MBCM Manual - Section A12.4" xr:uid="{47429E63-BE57-48B9-BF6A-D06A3A4A55CA}"/>
  </hyperlinks>
  <printOptions horizontalCentered="1"/>
  <pageMargins left="0.74803149606299213" right="0.70866141732283472" top="0.74803149606299213" bottom="0.9055118110236221" header="0.39370078740157483" footer="0.39370078740157483"/>
  <pageSetup paperSize="9" scale="91" orientation="portrait" r:id="rId3"/>
  <headerFooter scaleWithDoc="0" alignWithMargins="0">
    <oddHeader>&amp;L&amp;"-,Regular"&amp;8&amp;F&amp;R&amp;"-,Regular"&amp;8&amp;A
________________________________________________________________________________________________</oddHeader>
    <oddFooter>&amp;L&amp;"-,Regular"&amp;8___________________________________________________________________________________
NZ Transport Agency’s Economic evaluation manual 
Effective from Jul 2013</oddFooter>
  </headerFooter>
  <legacyDrawing r:id="rId4"/>
</worksheet>
</file>

<file path=xl/worksheets/sheet1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A995275A-D9AB-4484-BF72-8A85BD6C91C5}">
  <dimension ref="A1:AA382"/>
  <sheetViews>
    <sheetView showGridLines="0" topLeftCell="C1" zoomScale="90" zoomScaleNormal="90" workbookViewId="0">
      <selection activeCell="C1" sqref="C1"/>
    </sheetView>
  </sheetViews>
  <sheetFormatPr defaultColWidth="9" defaultRowHeight="13.2"/>
  <cols>
    <col min="1" max="2" width="9" style="24"/>
    <col min="3" max="8" width="12.8984375" style="24" customWidth="1"/>
    <col min="9" max="13" width="9" style="24"/>
    <col min="14" max="14" width="22.19921875" style="24" customWidth="1"/>
    <col min="15" max="16384" width="9" style="24"/>
  </cols>
  <sheetData>
    <row r="1" spans="1:26">
      <c r="A1" s="24" t="s">
        <v>5</v>
      </c>
      <c r="B1" s="24" t="s">
        <v>703</v>
      </c>
      <c r="C1" s="24" t="s">
        <v>704</v>
      </c>
    </row>
    <row r="2" spans="1:26" ht="13.8" thickBot="1"/>
    <row r="3" spans="1:26" ht="22.5" customHeight="1" thickBot="1">
      <c r="A3" s="131" t="s">
        <v>658</v>
      </c>
      <c r="B3" s="679" t="s">
        <v>659</v>
      </c>
      <c r="C3" s="680"/>
      <c r="D3" s="680"/>
      <c r="E3" s="680"/>
      <c r="F3" s="681"/>
      <c r="N3" t="s">
        <v>133</v>
      </c>
      <c r="O3" s="404"/>
      <c r="S3" s="24" t="s">
        <v>865</v>
      </c>
      <c r="V3" s="24" t="s">
        <v>866</v>
      </c>
      <c r="Y3" s="24" t="s">
        <v>867</v>
      </c>
    </row>
    <row r="4" spans="1:26" ht="16.2" thickBot="1">
      <c r="A4" s="132"/>
      <c r="B4" s="133" t="s">
        <v>660</v>
      </c>
      <c r="C4" s="133" t="s">
        <v>661</v>
      </c>
      <c r="D4" s="133" t="s">
        <v>662</v>
      </c>
      <c r="E4" s="133" t="s">
        <v>663</v>
      </c>
      <c r="F4" s="133" t="s">
        <v>664</v>
      </c>
      <c r="N4" t="s">
        <v>870</v>
      </c>
      <c r="O4" s="405">
        <v>1</v>
      </c>
      <c r="S4" s="24" t="s">
        <v>868</v>
      </c>
      <c r="T4" s="24" t="s">
        <v>869</v>
      </c>
      <c r="V4" s="24" t="s">
        <v>868</v>
      </c>
      <c r="W4" s="24" t="s">
        <v>869</v>
      </c>
      <c r="Y4" s="24" t="s">
        <v>868</v>
      </c>
      <c r="Z4" s="24" t="s">
        <v>869</v>
      </c>
    </row>
    <row r="5" spans="1:26" ht="16.2" thickBot="1">
      <c r="A5" s="82">
        <v>0</v>
      </c>
      <c r="B5" s="288">
        <v>35.859272261535118</v>
      </c>
      <c r="C5" s="288">
        <v>29.429200416970112</v>
      </c>
      <c r="D5" s="288">
        <v>28.72589955546993</v>
      </c>
      <c r="E5" s="288">
        <v>29.801656473844652</v>
      </c>
      <c r="F5" s="288">
        <v>32.364306139802359</v>
      </c>
      <c r="I5" s="289"/>
      <c r="J5" s="290"/>
      <c r="K5" s="290"/>
      <c r="L5" s="290"/>
      <c r="M5" s="290"/>
      <c r="N5" t="s">
        <v>871</v>
      </c>
      <c r="O5" s="406">
        <f>'SP4-1'!I34</f>
        <v>0</v>
      </c>
      <c r="S5" s="24">
        <v>0</v>
      </c>
      <c r="T5" s="403">
        <v>1</v>
      </c>
      <c r="V5" s="24">
        <v>0</v>
      </c>
      <c r="W5" s="403">
        <v>0</v>
      </c>
      <c r="Y5" s="24">
        <v>0</v>
      </c>
      <c r="Z5" s="403">
        <v>0</v>
      </c>
    </row>
    <row r="6" spans="1:26" ht="16.2" thickBot="1">
      <c r="A6" s="82" t="s">
        <v>665</v>
      </c>
      <c r="B6" s="288">
        <v>36.414653826526383</v>
      </c>
      <c r="C6" s="288">
        <v>29.944226701920201</v>
      </c>
      <c r="D6" s="288">
        <v>29.227349276225972</v>
      </c>
      <c r="E6" s="288">
        <v>30.295477132651275</v>
      </c>
      <c r="F6" s="288">
        <v>32.852545446986944</v>
      </c>
      <c r="I6" s="289"/>
      <c r="J6" s="121"/>
      <c r="K6" s="121"/>
      <c r="L6" s="121"/>
      <c r="M6" s="121"/>
      <c r="N6" t="s">
        <v>872</v>
      </c>
      <c r="O6">
        <f>'SP4-1'!I27</f>
        <v>40</v>
      </c>
      <c r="S6" s="24">
        <v>1</v>
      </c>
      <c r="T6" s="403">
        <v>0.98039215686274506</v>
      </c>
      <c r="V6" s="24">
        <v>1</v>
      </c>
      <c r="W6" s="403">
        <v>0.99016372140870601</v>
      </c>
      <c r="Y6" s="24">
        <v>1</v>
      </c>
      <c r="Z6" s="403">
        <v>0.49344788445523591</v>
      </c>
    </row>
    <row r="7" spans="1:26" ht="16.2" thickBot="1">
      <c r="A7" s="82" t="s">
        <v>666</v>
      </c>
      <c r="B7" s="288">
        <v>38.200172114154071</v>
      </c>
      <c r="C7" s="288">
        <v>31.910630812502671</v>
      </c>
      <c r="D7" s="288">
        <v>31.288973645045306</v>
      </c>
      <c r="E7" s="288">
        <v>32.428363255565692</v>
      </c>
      <c r="F7" s="288">
        <v>35.055167334434515</v>
      </c>
      <c r="I7" s="121"/>
      <c r="N7" s="407" t="s">
        <v>873</v>
      </c>
      <c r="O7" s="408">
        <f>O12-O11</f>
        <v>26.758906827257633</v>
      </c>
      <c r="S7" s="24">
        <v>2</v>
      </c>
      <c r="T7" s="403">
        <v>0.96116878123798533</v>
      </c>
      <c r="V7" s="24">
        <v>2</v>
      </c>
      <c r="W7" s="403">
        <v>1.9609124678878231</v>
      </c>
      <c r="Y7" s="24">
        <v>2</v>
      </c>
      <c r="Z7" s="403">
        <v>1.9479690666748866</v>
      </c>
    </row>
    <row r="8" spans="1:26" ht="16.2" thickBot="1">
      <c r="A8" s="82" t="s">
        <v>667</v>
      </c>
      <c r="B8" s="288">
        <v>40.852529091078239</v>
      </c>
      <c r="C8" s="288">
        <v>35.05426913911716</v>
      </c>
      <c r="D8" s="288">
        <v>34.676441650004001</v>
      </c>
      <c r="E8" s="288">
        <v>35.993428460787023</v>
      </c>
      <c r="F8" s="288">
        <v>38.790392608145567</v>
      </c>
      <c r="I8" s="121"/>
      <c r="N8" s="407" t="s">
        <v>874</v>
      </c>
      <c r="O8" s="409">
        <f>O12-O11+O5*(O14-O13)</f>
        <v>26.758906827257633</v>
      </c>
      <c r="S8" s="24">
        <v>3</v>
      </c>
      <c r="T8" s="403">
        <v>0.94232233454704462</v>
      </c>
      <c r="V8" s="24">
        <v>3</v>
      </c>
      <c r="W8" s="403">
        <v>2.9126269252202919</v>
      </c>
      <c r="Y8" s="24">
        <v>3</v>
      </c>
      <c r="Z8" s="403">
        <v>4.3256846830458926</v>
      </c>
    </row>
    <row r="9" spans="1:26" ht="16.2" thickBot="1">
      <c r="A9" s="82" t="s">
        <v>668</v>
      </c>
      <c r="B9" s="288">
        <v>43.942443162523134</v>
      </c>
      <c r="C9" s="288">
        <v>38.945860086987892</v>
      </c>
      <c r="D9" s="288">
        <v>38.960471696326302</v>
      </c>
      <c r="E9" s="288">
        <v>40.56139115353951</v>
      </c>
      <c r="F9" s="288">
        <v>43.62893967334437</v>
      </c>
      <c r="I9" s="121"/>
      <c r="N9" s="407" t="s">
        <v>875</v>
      </c>
      <c r="O9" s="408"/>
      <c r="S9" s="24">
        <v>4</v>
      </c>
      <c r="T9" s="403">
        <v>0.92384542602651432</v>
      </c>
      <c r="V9" s="24">
        <v>4</v>
      </c>
      <c r="W9" s="403">
        <v>3.8456803147619372</v>
      </c>
      <c r="Y9" s="24">
        <v>4</v>
      </c>
      <c r="Z9" s="403">
        <v>7.5898318141285017</v>
      </c>
    </row>
    <row r="10" spans="1:26" ht="15.6">
      <c r="I10" s="121"/>
      <c r="N10" s="407" t="s">
        <v>876</v>
      </c>
      <c r="O10" s="408"/>
      <c r="S10" s="24">
        <v>5</v>
      </c>
      <c r="T10" s="403">
        <v>0.90573080982991583</v>
      </c>
      <c r="V10" s="24">
        <v>5</v>
      </c>
      <c r="W10" s="403">
        <v>4.7604385398027578</v>
      </c>
      <c r="Y10" s="24">
        <v>5</v>
      </c>
      <c r="Z10" s="403">
        <v>11.704734285328414</v>
      </c>
    </row>
    <row r="11" spans="1:26">
      <c r="A11" s="24" t="str">
        <f>LOOKUP('SP4-5'!I16,{0,0.01,0.04,0.07,0.1},{"1","2","3","4","5"})</f>
        <v>1</v>
      </c>
      <c r="B11" s="24" t="str">
        <f>LOOKUP('SP4-5'!I15,{0,31,51,71,91},{"1","2","3","4","5"})</f>
        <v>1</v>
      </c>
      <c r="C11" s="106">
        <f ca="1">OFFSET(A4,A11,B11)</f>
        <v>35.859272261535118</v>
      </c>
      <c r="D11" s="24" t="s">
        <v>804</v>
      </c>
      <c r="I11" s="121"/>
      <c r="N11" s="121" t="s">
        <v>134</v>
      </c>
      <c r="O11" s="410">
        <f>W6</f>
        <v>0.99016372140870601</v>
      </c>
      <c r="S11" s="24">
        <v>6</v>
      </c>
      <c r="T11" s="403">
        <v>0.88797138218619198</v>
      </c>
      <c r="V11" s="24">
        <v>6</v>
      </c>
      <c r="W11" s="403">
        <v>5.657260329058472</v>
      </c>
      <c r="Y11" s="24">
        <v>6</v>
      </c>
      <c r="Z11" s="403">
        <v>16.635774183604099</v>
      </c>
    </row>
    <row r="12" spans="1:26">
      <c r="A12" s="24" t="str">
        <f>LOOKUP('SP4-5'!O16,{0,0.01,0.04,0.07,0.1},{"1","2","3","4","5"})</f>
        <v>1</v>
      </c>
      <c r="B12" s="24" t="str">
        <f>LOOKUP('SP4-5'!O15,{0,31,51,71,91},{"1","2","3","4","5"})</f>
        <v>1</v>
      </c>
      <c r="C12" s="106">
        <f ca="1">OFFSET(A4,A12,B12)</f>
        <v>35.859272261535118</v>
      </c>
      <c r="D12" s="24" t="s">
        <v>805</v>
      </c>
      <c r="E12" s="134"/>
      <c r="G12" s="134"/>
      <c r="H12" s="134"/>
      <c r="N12" s="121" t="s">
        <v>135</v>
      </c>
      <c r="O12" s="410">
        <f>LOOKUP(O6,V5:W45)</f>
        <v>27.749070548666339</v>
      </c>
      <c r="S12" s="24">
        <v>7</v>
      </c>
      <c r="T12" s="403">
        <v>0.87056017861391399</v>
      </c>
      <c r="V12" s="24">
        <v>7</v>
      </c>
      <c r="W12" s="403">
        <v>6.5364973773483737</v>
      </c>
      <c r="Y12" s="24">
        <v>7</v>
      </c>
      <c r="Z12" s="403">
        <v>22.349364073339984</v>
      </c>
    </row>
    <row r="13" spans="1:26" ht="13.8" thickBot="1">
      <c r="E13" s="134"/>
      <c r="G13" s="134"/>
      <c r="H13" s="134"/>
      <c r="N13" s="121" t="s">
        <v>137</v>
      </c>
      <c r="O13" s="410">
        <f>Z6</f>
        <v>0.49344788445523591</v>
      </c>
      <c r="S13" s="24">
        <v>8</v>
      </c>
      <c r="T13" s="403">
        <v>0.85349037119011162</v>
      </c>
      <c r="V13" s="24">
        <v>8</v>
      </c>
      <c r="W13" s="403">
        <v>7.3984944835149538</v>
      </c>
      <c r="Y13" s="24">
        <v>8</v>
      </c>
      <c r="Z13" s="403">
        <v>28.812919894934112</v>
      </c>
    </row>
    <row r="14" spans="1:26">
      <c r="A14" s="135" t="s">
        <v>669</v>
      </c>
      <c r="B14" s="136" t="s">
        <v>670</v>
      </c>
      <c r="C14" s="136" t="s">
        <v>671</v>
      </c>
      <c r="D14" s="137" t="s">
        <v>671</v>
      </c>
      <c r="E14" s="138"/>
      <c r="G14" s="134" t="s">
        <v>469</v>
      </c>
      <c r="H14" s="134"/>
      <c r="N14" s="121" t="s">
        <v>877</v>
      </c>
      <c r="O14" s="410">
        <f>LOOKUP(O6,Y5:Z45)</f>
        <v>484.78895313845783</v>
      </c>
      <c r="S14" s="24">
        <v>9</v>
      </c>
      <c r="T14" s="403">
        <v>0.83675526587265847</v>
      </c>
      <c r="V14" s="24">
        <v>9</v>
      </c>
      <c r="W14" s="403">
        <v>8.2435896856390496</v>
      </c>
      <c r="Y14" s="24">
        <v>9</v>
      </c>
      <c r="Z14" s="403">
        <v>35.994834529993568</v>
      </c>
    </row>
    <row r="15" spans="1:26">
      <c r="A15" s="139" t="s">
        <v>672</v>
      </c>
      <c r="B15" s="140" t="s">
        <v>673</v>
      </c>
      <c r="C15" s="140" t="s">
        <v>674</v>
      </c>
      <c r="D15" s="141" t="s">
        <v>675</v>
      </c>
      <c r="E15" s="138"/>
      <c r="G15" s="134" t="s">
        <v>470</v>
      </c>
      <c r="H15" s="134"/>
      <c r="N15" s="121" t="s">
        <v>138</v>
      </c>
      <c r="O15" s="411">
        <f>O5*780+O6-1</f>
        <v>39</v>
      </c>
      <c r="S15" s="24">
        <v>10</v>
      </c>
      <c r="T15" s="403">
        <v>0.82034829987515534</v>
      </c>
      <c r="V15" s="24">
        <v>10</v>
      </c>
      <c r="W15" s="403">
        <v>9.0721143936038526</v>
      </c>
      <c r="Y15" s="24">
        <v>10</v>
      </c>
      <c r="Z15" s="403">
        <v>43.864452017428903</v>
      </c>
    </row>
    <row r="16" spans="1:26" ht="13.8" thickBot="1">
      <c r="A16" s="142"/>
      <c r="B16" s="133" t="s">
        <v>211</v>
      </c>
      <c r="C16" s="143"/>
      <c r="D16" s="144"/>
      <c r="E16" s="138"/>
      <c r="G16" s="138" t="s">
        <v>471</v>
      </c>
      <c r="H16" s="134"/>
      <c r="N16" s="24" t="s">
        <v>553</v>
      </c>
      <c r="O16" s="410">
        <f>T6</f>
        <v>0.98039215686274506</v>
      </c>
      <c r="S16" s="24">
        <v>11</v>
      </c>
      <c r="T16" s="403">
        <v>0.80426303909328967</v>
      </c>
      <c r="V16" s="24">
        <v>11</v>
      </c>
      <c r="W16" s="403">
        <v>9.8843935190595342</v>
      </c>
      <c r="Y16" s="24">
        <v>11</v>
      </c>
      <c r="Z16" s="403">
        <v>52.392042405075244</v>
      </c>
    </row>
    <row r="17" spans="1:26" ht="13.8" thickBot="1">
      <c r="A17" s="82">
        <v>2.5</v>
      </c>
      <c r="B17" s="81">
        <v>66</v>
      </c>
      <c r="C17" s="81">
        <v>0</v>
      </c>
      <c r="D17" s="145">
        <v>0</v>
      </c>
      <c r="E17" s="138"/>
      <c r="G17" s="138" t="s">
        <v>474</v>
      </c>
      <c r="H17" s="134"/>
      <c r="N17" s="412" t="s">
        <v>199</v>
      </c>
      <c r="O17" s="410"/>
      <c r="S17" s="24">
        <v>12</v>
      </c>
      <c r="T17" s="403">
        <v>0.78849317558165644</v>
      </c>
      <c r="V17" s="24">
        <v>12</v>
      </c>
      <c r="W17" s="403">
        <v>10.680745602839623</v>
      </c>
      <c r="Y17" s="24">
        <v>12</v>
      </c>
      <c r="Z17" s="403">
        <v>61.548777221843011</v>
      </c>
    </row>
    <row r="18" spans="1:26" ht="13.8" thickBot="1">
      <c r="A18" s="82">
        <v>3</v>
      </c>
      <c r="B18" s="81">
        <v>79</v>
      </c>
      <c r="C18" s="81">
        <v>0.2</v>
      </c>
      <c r="D18" s="145">
        <v>0.1</v>
      </c>
      <c r="E18" s="138"/>
      <c r="G18" s="134" t="s">
        <v>475</v>
      </c>
      <c r="H18" s="134"/>
      <c r="N18" s="24" t="s">
        <v>878</v>
      </c>
      <c r="O18" s="410"/>
      <c r="S18" s="24">
        <v>13</v>
      </c>
      <c r="T18" s="403">
        <v>0.77303252508005538</v>
      </c>
      <c r="V18" s="24">
        <v>13</v>
      </c>
      <c r="W18" s="403">
        <v>11.461482939878922</v>
      </c>
      <c r="Y18" s="24">
        <v>13</v>
      </c>
      <c r="Z18" s="403">
        <v>71.306705555712369</v>
      </c>
    </row>
    <row r="19" spans="1:26" ht="13.8" thickBot="1">
      <c r="A19" s="82">
        <v>3.5</v>
      </c>
      <c r="B19" s="81">
        <v>92</v>
      </c>
      <c r="C19" s="81">
        <v>0.4</v>
      </c>
      <c r="D19" s="145">
        <v>0.7</v>
      </c>
      <c r="E19" s="138"/>
      <c r="F19" s="134"/>
      <c r="G19" s="134" t="s">
        <v>476</v>
      </c>
      <c r="H19" s="134"/>
      <c r="N19" s="24" t="s">
        <v>879</v>
      </c>
      <c r="O19" s="410"/>
      <c r="S19" s="24">
        <v>14</v>
      </c>
      <c r="T19" s="403">
        <v>0.75787502458828948</v>
      </c>
      <c r="V19" s="24">
        <v>14</v>
      </c>
      <c r="W19" s="403">
        <v>12.226911701682161</v>
      </c>
      <c r="Y19" s="24">
        <v>14</v>
      </c>
      <c r="Z19" s="403">
        <v>81.638730723270783</v>
      </c>
    </row>
    <row r="20" spans="1:26" ht="13.8" thickBot="1">
      <c r="A20" s="82">
        <v>4</v>
      </c>
      <c r="B20" s="81">
        <v>106</v>
      </c>
      <c r="C20" s="81">
        <v>1</v>
      </c>
      <c r="D20" s="145">
        <v>2.2000000000000002</v>
      </c>
      <c r="E20" s="138"/>
      <c r="F20" s="134"/>
      <c r="G20" s="134" t="s">
        <v>676</v>
      </c>
      <c r="H20" s="134"/>
      <c r="N20" s="24" t="s">
        <v>880</v>
      </c>
      <c r="O20" s="410"/>
      <c r="S20" s="24">
        <v>15</v>
      </c>
      <c r="T20" s="403">
        <v>0.74301472998851936</v>
      </c>
      <c r="V20" s="24">
        <v>15</v>
      </c>
      <c r="W20" s="403">
        <v>12.977332056391207</v>
      </c>
      <c r="Y20" s="24">
        <v>15</v>
      </c>
      <c r="Z20" s="403">
        <v>92.518587516761727</v>
      </c>
    </row>
    <row r="21" spans="1:26" ht="13.8" thickBot="1">
      <c r="A21" s="82">
        <v>4.5</v>
      </c>
      <c r="B21" s="81">
        <v>119</v>
      </c>
      <c r="C21" s="81">
        <v>1.8</v>
      </c>
      <c r="D21" s="145">
        <v>4.3</v>
      </c>
      <c r="E21" s="138"/>
      <c r="F21" s="134"/>
      <c r="G21" s="134"/>
      <c r="H21" s="134"/>
      <c r="N21" s="24" t="s">
        <v>881</v>
      </c>
      <c r="O21" s="410"/>
      <c r="S21" s="24">
        <v>16</v>
      </c>
      <c r="T21" s="403">
        <v>0.72844581371423456</v>
      </c>
      <c r="V21" s="24">
        <v>16</v>
      </c>
      <c r="W21" s="403">
        <v>13.713038286498129</v>
      </c>
      <c r="Y21" s="24">
        <v>16</v>
      </c>
      <c r="Z21" s="403">
        <v>103.92082001499784</v>
      </c>
    </row>
    <row r="22" spans="1:26" ht="13.8" thickBot="1">
      <c r="A22" s="82">
        <v>5</v>
      </c>
      <c r="B22" s="81">
        <v>132</v>
      </c>
      <c r="C22" s="81">
        <v>3</v>
      </c>
      <c r="D22" s="145">
        <v>6.7</v>
      </c>
      <c r="E22" s="138"/>
      <c r="F22" s="134"/>
      <c r="G22" s="134"/>
      <c r="H22" s="134"/>
      <c r="O22" s="410"/>
      <c r="S22" s="24">
        <v>17</v>
      </c>
      <c r="T22" s="403">
        <v>0.7141625624649357</v>
      </c>
      <c r="V22" s="24">
        <v>17</v>
      </c>
      <c r="W22" s="403">
        <v>14.434318904250008</v>
      </c>
      <c r="Y22" s="24">
        <v>17</v>
      </c>
      <c r="Z22" s="403">
        <v>115.82075994474576</v>
      </c>
    </row>
    <row r="23" spans="1:26" ht="13.8" thickBot="1">
      <c r="A23" s="82">
        <v>5.5</v>
      </c>
      <c r="B23" s="81">
        <v>145</v>
      </c>
      <c r="C23" s="81">
        <v>4.3</v>
      </c>
      <c r="D23" s="145">
        <v>9.1</v>
      </c>
      <c r="E23" s="138"/>
      <c r="F23" s="134"/>
      <c r="G23" s="134"/>
      <c r="H23" s="134"/>
      <c r="O23" s="411" t="s">
        <v>738</v>
      </c>
      <c r="P23" s="45" t="s">
        <v>882</v>
      </c>
      <c r="Q23" s="45" t="s">
        <v>883</v>
      </c>
      <c r="R23" s="45"/>
      <c r="S23" s="24">
        <v>18</v>
      </c>
      <c r="T23" s="403">
        <v>0.70015937496562342</v>
      </c>
      <c r="V23" s="24">
        <v>18</v>
      </c>
      <c r="W23" s="403">
        <v>15.141456764791062</v>
      </c>
      <c r="Y23" s="24">
        <v>18</v>
      </c>
      <c r="Z23" s="403">
        <v>128.19450557954883</v>
      </c>
    </row>
    <row r="24" spans="1:26" ht="13.8" thickBot="1">
      <c r="A24" s="81">
        <v>6</v>
      </c>
      <c r="B24" s="81">
        <v>158</v>
      </c>
      <c r="C24" s="81">
        <v>5.9</v>
      </c>
      <c r="D24" s="81">
        <v>11.4</v>
      </c>
      <c r="N24" s="24" t="s">
        <v>383</v>
      </c>
      <c r="O24" s="411" t="str">
        <f>IF('SP4-2'!C24="","",LOOKUP('SP4-2'!C24,Tables!$S$5:$T$45))</f>
        <v/>
      </c>
      <c r="P24" s="45" t="str">
        <f>IF('SP4-3 (1)'!B22="","",LOOKUP('SP4-3 (1)'!B22,$S$5:$T$45))</f>
        <v/>
      </c>
      <c r="Q24" s="45" t="str">
        <f>IF('SP4-3 (2)'!B22="","",LOOKUP('SP4-3 (2)'!B22,$S$5:$T$45))</f>
        <v/>
      </c>
      <c r="R24" s="45"/>
      <c r="S24" s="24">
        <v>19</v>
      </c>
      <c r="T24" s="403">
        <v>0.68643075977021895</v>
      </c>
      <c r="V24" s="24">
        <v>19</v>
      </c>
      <c r="W24" s="403">
        <v>15.834729177086214</v>
      </c>
      <c r="Y24" s="24">
        <v>19</v>
      </c>
      <c r="Z24" s="403">
        <v>141.01890116322011</v>
      </c>
    </row>
    <row r="25" spans="1:26" ht="13.8" thickBot="1">
      <c r="A25" s="81">
        <v>6.5</v>
      </c>
      <c r="B25" s="81">
        <v>172</v>
      </c>
      <c r="C25" s="81">
        <v>7.5</v>
      </c>
      <c r="D25" s="81">
        <v>13.8</v>
      </c>
      <c r="O25" s="411" t="str">
        <f>IF('SP4-2'!C25="","",LOOKUP('SP4-2'!C25,Tables!$S$5:$T$45))</f>
        <v/>
      </c>
      <c r="P25" s="45" t="str">
        <f>IF('SP4-3 (1)'!B23="","",LOOKUP('SP4-3 (1)'!B23,$S$5:$T$45))</f>
        <v/>
      </c>
      <c r="Q25" s="45" t="str">
        <f>IF('SP4-3 (2)'!B23="","",LOOKUP('SP4-3 (2)'!B23,$S$5:$T$45))</f>
        <v/>
      </c>
      <c r="R25" s="45"/>
      <c r="S25" s="24">
        <v>20</v>
      </c>
      <c r="T25" s="403">
        <v>0.67297133310805768</v>
      </c>
      <c r="V25" s="24">
        <v>20</v>
      </c>
      <c r="W25" s="403">
        <v>16.514408012669698</v>
      </c>
      <c r="Y25" s="24">
        <v>20</v>
      </c>
      <c r="Z25" s="403">
        <v>154.27151684553974</v>
      </c>
    </row>
    <row r="26" spans="1:26" ht="13.8" thickBot="1">
      <c r="A26" s="81">
        <v>7</v>
      </c>
      <c r="B26" s="81">
        <v>185</v>
      </c>
      <c r="C26" s="81">
        <v>9.1999999999999993</v>
      </c>
      <c r="D26" s="81">
        <v>16.100000000000001</v>
      </c>
      <c r="O26" s="411" t="str">
        <f>IF('SP4-2'!C26="","",LOOKUP('SP4-2'!C26,Tables!$S$5:$T$45))</f>
        <v/>
      </c>
      <c r="P26" s="45" t="str">
        <f>IF('SP4-3 (1)'!B24="","",LOOKUP('SP4-3 (1)'!B24,$S$5:$T$45))</f>
        <v/>
      </c>
      <c r="Q26" s="45" t="str">
        <f>IF('SP4-3 (2)'!B24="","",LOOKUP('SP4-3 (2)'!B24,$S$5:$T$45))</f>
        <v/>
      </c>
      <c r="R26" s="45"/>
      <c r="S26" s="24">
        <v>21</v>
      </c>
      <c r="T26" s="403">
        <v>0.65977581677260566</v>
      </c>
      <c r="V26" s="24">
        <v>21</v>
      </c>
      <c r="W26" s="403">
        <v>17.18075981226135</v>
      </c>
      <c r="Y26" s="24">
        <v>21</v>
      </c>
      <c r="Z26" s="403">
        <v>167.93062911799439</v>
      </c>
    </row>
    <row r="27" spans="1:26" ht="13.8" thickBot="1">
      <c r="A27" s="81">
        <v>7.5</v>
      </c>
      <c r="B27" s="81">
        <v>198</v>
      </c>
      <c r="C27" s="81">
        <v>10.9</v>
      </c>
      <c r="D27" s="81">
        <v>18.5</v>
      </c>
      <c r="O27" s="411" t="str">
        <f>IF('SP4-2'!C27="","",LOOKUP('SP4-2'!C27,Tables!$S$5:$T$45))</f>
        <v/>
      </c>
      <c r="P27" s="45" t="str">
        <f>IF('SP4-3 (1)'!B25="","",LOOKUP('SP4-3 (1)'!B25,$S$5:$T$45))</f>
        <v/>
      </c>
      <c r="Q27" s="45" t="str">
        <f>IF('SP4-3 (2)'!B25="","",LOOKUP('SP4-3 (2)'!B25,$S$5:$T$45))</f>
        <v/>
      </c>
      <c r="R27" s="45"/>
      <c r="S27" s="24">
        <v>22</v>
      </c>
      <c r="T27" s="403">
        <v>0.64683903605157411</v>
      </c>
      <c r="V27" s="24">
        <v>22</v>
      </c>
      <c r="W27" s="403">
        <v>17.834045890292384</v>
      </c>
      <c r="Y27" s="24">
        <v>22</v>
      </c>
      <c r="Z27" s="403">
        <v>181.97520173764747</v>
      </c>
    </row>
    <row r="28" spans="1:26" ht="13.8" thickBot="1">
      <c r="A28" s="81">
        <v>8</v>
      </c>
      <c r="B28" s="81">
        <v>211</v>
      </c>
      <c r="C28" s="81">
        <v>12.6</v>
      </c>
      <c r="D28" s="81">
        <v>19.399999999999999</v>
      </c>
      <c r="O28" s="411" t="str">
        <f>IF('SP4-2'!C28="","",LOOKUP('SP4-2'!C28,Tables!$S$5:$T$45))</f>
        <v/>
      </c>
      <c r="P28" s="45" t="str">
        <f>IF('SP4-3 (1)'!B26="","",LOOKUP('SP4-3 (1)'!B26,$S$5:$T$45))</f>
        <v/>
      </c>
      <c r="Q28" s="45" t="str">
        <f>IF('SP4-3 (2)'!B26="","",LOOKUP('SP4-3 (2)'!B26,$S$5:$T$45))</f>
        <v/>
      </c>
      <c r="R28" s="45"/>
      <c r="S28" s="24">
        <v>23</v>
      </c>
      <c r="T28" s="403">
        <v>0.63415591769762181</v>
      </c>
      <c r="V28" s="24">
        <v>23</v>
      </c>
      <c r="W28" s="403">
        <v>18.474522437381623</v>
      </c>
      <c r="Y28" s="24">
        <v>23</v>
      </c>
      <c r="Z28" s="403">
        <v>196.38486712753343</v>
      </c>
    </row>
    <row r="29" spans="1:26" ht="13.8" thickBot="1">
      <c r="A29" s="81">
        <v>8.5</v>
      </c>
      <c r="B29" s="81">
        <v>224</v>
      </c>
      <c r="C29" s="81">
        <v>14.3</v>
      </c>
      <c r="D29" s="81">
        <v>20</v>
      </c>
      <c r="O29" s="411" t="str">
        <f>IF('SP4-2'!C29="","",LOOKUP('SP4-2'!C29,Tables!$S$5:$T$45))</f>
        <v/>
      </c>
      <c r="P29" s="45" t="str">
        <f>IF('SP4-3 (1)'!B27="","",LOOKUP('SP4-3 (1)'!B27,$S$5:$T$45))</f>
        <v/>
      </c>
      <c r="Q29" s="45" t="str">
        <f>IF('SP4-3 (2)'!B27="","",LOOKUP('SP4-3 (2)'!B27,$S$5:$T$45))</f>
        <v/>
      </c>
      <c r="R29" s="45"/>
      <c r="S29" s="24">
        <v>24</v>
      </c>
      <c r="T29" s="403">
        <v>0.62172148793884496</v>
      </c>
      <c r="V29" s="24">
        <v>24</v>
      </c>
      <c r="W29" s="403">
        <v>19.102440620802454</v>
      </c>
      <c r="Y29" s="24">
        <v>24</v>
      </c>
      <c r="Z29" s="403">
        <v>211.13990824221537</v>
      </c>
    </row>
    <row r="30" spans="1:26" ht="13.8" thickBot="1">
      <c r="A30" s="81">
        <v>9</v>
      </c>
      <c r="B30" s="81">
        <v>238</v>
      </c>
      <c r="C30" s="81">
        <v>15.9</v>
      </c>
      <c r="D30" s="81">
        <v>20.7</v>
      </c>
      <c r="O30" s="411" t="str">
        <f>IF('SP4-2'!C30="","",LOOKUP('SP4-2'!C30,Tables!$S$5:$T$45))</f>
        <v/>
      </c>
      <c r="P30" s="45" t="str">
        <f>IF('SP4-3 (1)'!B28="","",LOOKUP('SP4-3 (1)'!B28,$S$5:$T$45))</f>
        <v/>
      </c>
      <c r="Q30" s="45" t="str">
        <f>IF('SP4-3 (2)'!B28="","",LOOKUP('SP4-3 (2)'!B28,$S$5:$T$45))</f>
        <v/>
      </c>
      <c r="R30" s="45"/>
      <c r="S30" s="24">
        <v>25</v>
      </c>
      <c r="T30" s="403">
        <v>0.60953087052827937</v>
      </c>
      <c r="V30" s="24">
        <v>25</v>
      </c>
      <c r="W30" s="403">
        <v>19.718046682979733</v>
      </c>
      <c r="Y30" s="24">
        <v>25</v>
      </c>
      <c r="Z30" s="403">
        <v>226.22124088741361</v>
      </c>
    </row>
    <row r="31" spans="1:26">
      <c r="O31" s="411" t="str">
        <f>IF('SP4-2'!C31="","",LOOKUP('SP4-2'!C31,Tables!$S$5:$T$45))</f>
        <v/>
      </c>
      <c r="P31" s="45" t="str">
        <f>IF('SP4-3 (1)'!B29="","",LOOKUP('SP4-3 (1)'!B29,$S$5:$T$45))</f>
        <v/>
      </c>
      <c r="Q31" s="45" t="str">
        <f>IF('SP4-3 (2)'!B29="","",LOOKUP('SP4-3 (2)'!B29,$S$5:$T$45))</f>
        <v/>
      </c>
      <c r="R31" s="45"/>
      <c r="S31" s="24">
        <v>26</v>
      </c>
      <c r="T31" s="403">
        <v>0.59757928483164635</v>
      </c>
      <c r="V31" s="24">
        <v>26</v>
      </c>
      <c r="W31" s="403">
        <v>20.321582038055507</v>
      </c>
      <c r="Y31" s="24">
        <v>26</v>
      </c>
      <c r="Z31" s="403">
        <v>241.61039648288079</v>
      </c>
    </row>
    <row r="32" spans="1:26">
      <c r="A32" s="24" t="str">
        <f>LOOKUP('SP4-5'!H34,{0,1,4,7,10},{"1","2","3","4","5"})</f>
        <v>1</v>
      </c>
      <c r="O32" s="411" t="str">
        <f>IF('SP4-2'!C32="","",LOOKUP('SP4-2'!C32,Tables!$S$5:$T$45))</f>
        <v/>
      </c>
      <c r="P32" s="45" t="str">
        <f>IF('SP4-3 (1)'!B30="","",LOOKUP('SP4-3 (1)'!B30,$S$5:$T$45))</f>
        <v/>
      </c>
      <c r="Q32" s="45" t="str">
        <f>IF('SP4-3 (2)'!B30="","",LOOKUP('SP4-3 (2)'!B30,$S$5:$T$45))</f>
        <v/>
      </c>
      <c r="R32" s="45"/>
      <c r="S32" s="24">
        <v>27</v>
      </c>
      <c r="T32" s="403">
        <v>0.58586204395259456</v>
      </c>
      <c r="V32" s="24">
        <v>27</v>
      </c>
      <c r="W32" s="403">
        <v>20.913283366561156</v>
      </c>
      <c r="Y32" s="24">
        <v>27</v>
      </c>
      <c r="Z32" s="403">
        <v>257.28950525792175</v>
      </c>
    </row>
    <row r="33" spans="1:26" ht="13.8" thickBot="1">
      <c r="S33" s="24">
        <v>28</v>
      </c>
      <c r="T33" s="403">
        <v>0.57437455289470041</v>
      </c>
      <c r="V33" s="24">
        <v>28</v>
      </c>
      <c r="W33" s="403">
        <v>21.493382708233373</v>
      </c>
      <c r="Y33" s="24">
        <v>28</v>
      </c>
      <c r="Z33" s="403">
        <v>273.24127986924327</v>
      </c>
    </row>
    <row r="34" spans="1:26" ht="21" thickBot="1">
      <c r="A34" s="146" t="s">
        <v>677</v>
      </c>
      <c r="B34" s="147">
        <v>0</v>
      </c>
      <c r="C34" s="148">
        <v>5.0000000000000001E-3</v>
      </c>
      <c r="D34" s="148">
        <v>0.01</v>
      </c>
      <c r="E34" s="148">
        <v>1.4999999999999999E-2</v>
      </c>
      <c r="F34" s="148">
        <v>0.02</v>
      </c>
      <c r="G34" s="148">
        <v>2.5000000000000001E-2</v>
      </c>
      <c r="H34" s="148">
        <v>0.03</v>
      </c>
      <c r="I34" s="148">
        <v>3.5000000000000003E-2</v>
      </c>
      <c r="J34" s="148">
        <v>0.04</v>
      </c>
      <c r="S34" s="24">
        <v>29</v>
      </c>
      <c r="T34" s="403">
        <v>0.56311230675951029</v>
      </c>
      <c r="V34" s="24">
        <v>29</v>
      </c>
      <c r="W34" s="403">
        <v>22.062107553010044</v>
      </c>
      <c r="Y34" s="24">
        <v>29</v>
      </c>
      <c r="Z34" s="403">
        <v>289.44899943100063</v>
      </c>
    </row>
    <row r="35" spans="1:26" ht="33" thickBot="1">
      <c r="A35" s="149" t="s">
        <v>678</v>
      </c>
      <c r="B35" s="150">
        <v>14.52187909384241</v>
      </c>
      <c r="C35" s="150">
        <v>15.515238003819475</v>
      </c>
      <c r="D35" s="150">
        <v>16.508596913796541</v>
      </c>
      <c r="E35" s="150">
        <v>17.501955823773606</v>
      </c>
      <c r="F35" s="150">
        <v>18.495314733750671</v>
      </c>
      <c r="G35" s="150">
        <v>19.488673643727736</v>
      </c>
      <c r="H35" s="150">
        <v>20.482032553704801</v>
      </c>
      <c r="I35" s="150">
        <v>21.475391463681866</v>
      </c>
      <c r="J35" s="150">
        <v>22.468750373658935</v>
      </c>
      <c r="S35" s="24">
        <v>30</v>
      </c>
      <c r="T35" s="403">
        <v>0.55207088897991208</v>
      </c>
      <c r="V35" s="24">
        <v>30</v>
      </c>
      <c r="W35" s="403">
        <v>22.619680930242087</v>
      </c>
      <c r="Y35" s="24">
        <v>30</v>
      </c>
      <c r="Z35" s="403">
        <v>305.89649394721118</v>
      </c>
    </row>
    <row r="36" spans="1:26">
      <c r="S36" s="24">
        <v>31</v>
      </c>
      <c r="T36" s="403">
        <v>0.54391220589153899</v>
      </c>
      <c r="V36" s="24">
        <v>31</v>
      </c>
      <c r="W36" s="403">
        <v>23.167662355092627</v>
      </c>
      <c r="Y36" s="24">
        <v>31</v>
      </c>
      <c r="Z36" s="403">
        <v>322.60924751740691</v>
      </c>
    </row>
    <row r="37" spans="1:26">
      <c r="A37" s="24" t="str">
        <f>LOOKUP('SP4-5'!O8,{0,0.5,1,1.5,2,2.5,3,3.5,4},{"1","2","3","4","5","6","7","8","9"})</f>
        <v>1</v>
      </c>
      <c r="B37" s="24">
        <f ca="1">OFFSET(A34,1,A37)</f>
        <v>14.52187909384241</v>
      </c>
      <c r="S37" s="24">
        <v>32</v>
      </c>
      <c r="T37" s="403">
        <v>0.53587409447442269</v>
      </c>
      <c r="V37" s="24">
        <v>32</v>
      </c>
      <c r="W37" s="403">
        <v>23.70754553228528</v>
      </c>
      <c r="Y37" s="24">
        <v>32</v>
      </c>
      <c r="Z37" s="403">
        <v>339.61489775883194</v>
      </c>
    </row>
    <row r="38" spans="1:26">
      <c r="S38" s="24">
        <v>33</v>
      </c>
      <c r="T38" s="403">
        <v>0.52795477288120474</v>
      </c>
      <c r="V38" s="24">
        <v>33</v>
      </c>
      <c r="W38" s="403">
        <v>24.239450140356858</v>
      </c>
      <c r="Y38" s="24">
        <v>33</v>
      </c>
      <c r="Z38" s="403">
        <v>356.9011375801303</v>
      </c>
    </row>
    <row r="39" spans="1:26" ht="13.8" thickBot="1">
      <c r="A39" s="24" t="s">
        <v>466</v>
      </c>
      <c r="S39" s="24">
        <v>34</v>
      </c>
      <c r="T39" s="403">
        <v>0.52015248559724614</v>
      </c>
      <c r="V39" s="24">
        <v>34</v>
      </c>
      <c r="W39" s="403">
        <v>24.763494089195852</v>
      </c>
      <c r="Y39" s="24">
        <v>34</v>
      </c>
      <c r="Z39" s="403">
        <v>374.45595967803149</v>
      </c>
    </row>
    <row r="40" spans="1:26" ht="13.95" customHeight="1" thickBot="1">
      <c r="A40" s="90" t="s">
        <v>447</v>
      </c>
      <c r="B40" s="682" t="s">
        <v>448</v>
      </c>
      <c r="C40" s="683"/>
      <c r="D40" s="683"/>
      <c r="E40" s="683"/>
      <c r="F40" s="683"/>
      <c r="G40" s="683"/>
      <c r="H40" s="683"/>
      <c r="I40" s="684"/>
      <c r="S40" s="24">
        <v>35</v>
      </c>
      <c r="T40" s="403">
        <v>0.51246550305147409</v>
      </c>
      <c r="V40" s="24">
        <v>35</v>
      </c>
      <c r="W40" s="403">
        <v>25.279793546180084</v>
      </c>
      <c r="Y40" s="24">
        <v>35</v>
      </c>
      <c r="Z40" s="403">
        <v>392.26765036447568</v>
      </c>
    </row>
    <row r="41" spans="1:26" ht="13.8" thickBot="1">
      <c r="A41" s="89"/>
      <c r="B41" s="111">
        <v>0</v>
      </c>
      <c r="C41" s="110">
        <v>0.01</v>
      </c>
      <c r="D41" s="110">
        <v>0.02</v>
      </c>
      <c r="E41" s="110">
        <v>0.03</v>
      </c>
      <c r="F41" s="110">
        <v>0.04</v>
      </c>
      <c r="G41" s="110">
        <v>0.05</v>
      </c>
      <c r="H41" s="110">
        <v>0.06</v>
      </c>
      <c r="I41" s="110">
        <v>7.0000000000000007E-2</v>
      </c>
      <c r="S41" s="24">
        <v>36</v>
      </c>
      <c r="T41" s="403">
        <v>0.50489212123297955</v>
      </c>
      <c r="V41" s="24">
        <v>36</v>
      </c>
      <c r="W41" s="403">
        <v>25.788462961928094</v>
      </c>
      <c r="Y41" s="24">
        <v>36</v>
      </c>
      <c r="Z41" s="403">
        <v>410.32478351070978</v>
      </c>
    </row>
    <row r="42" spans="1:26" ht="24" thickBot="1">
      <c r="A42" s="89" t="s">
        <v>467</v>
      </c>
      <c r="B42" s="109">
        <v>0.83</v>
      </c>
      <c r="C42" s="87">
        <v>0.86</v>
      </c>
      <c r="D42" s="87">
        <v>0.9</v>
      </c>
      <c r="E42" s="87">
        <v>0.93</v>
      </c>
      <c r="F42" s="87">
        <v>0.96</v>
      </c>
      <c r="G42" s="87">
        <v>0.99</v>
      </c>
      <c r="H42" s="87">
        <v>1.03</v>
      </c>
      <c r="I42" s="87">
        <v>1.06</v>
      </c>
      <c r="S42" s="24">
        <v>37</v>
      </c>
      <c r="T42" s="403">
        <v>0.49743066131328034</v>
      </c>
      <c r="V42" s="24">
        <v>37</v>
      </c>
      <c r="W42" s="403">
        <v>26.289615095669973</v>
      </c>
      <c r="Y42" s="24">
        <v>37</v>
      </c>
      <c r="Z42" s="403">
        <v>428.61621460625872</v>
      </c>
    </row>
    <row r="43" spans="1:26" ht="35.4" thickBot="1">
      <c r="A43" s="89" t="s">
        <v>468</v>
      </c>
      <c r="B43" s="109">
        <v>0.95</v>
      </c>
      <c r="C43" s="87">
        <v>0.98</v>
      </c>
      <c r="D43" s="87">
        <v>1.02</v>
      </c>
      <c r="E43" s="87">
        <v>1.06</v>
      </c>
      <c r="F43" s="87">
        <v>1.1000000000000001</v>
      </c>
      <c r="G43" s="87">
        <v>1.1399999999999999</v>
      </c>
      <c r="H43" s="87">
        <v>1.17</v>
      </c>
      <c r="I43" s="87">
        <v>1.21</v>
      </c>
      <c r="S43" s="24">
        <v>38</v>
      </c>
      <c r="T43" s="403">
        <v>0.4900794692741679</v>
      </c>
      <c r="V43" s="24">
        <v>38</v>
      </c>
      <c r="W43" s="403">
        <v>26.783361040243257</v>
      </c>
      <c r="Y43" s="24">
        <v>38</v>
      </c>
      <c r="Z43" s="403">
        <v>447.13107493068344</v>
      </c>
    </row>
    <row r="44" spans="1:26">
      <c r="S44" s="24">
        <v>39</v>
      </c>
      <c r="T44" s="403">
        <v>0.48283691554105218</v>
      </c>
      <c r="V44" s="24">
        <v>39</v>
      </c>
      <c r="W44" s="403">
        <v>27.269810246719398</v>
      </c>
      <c r="Y44" s="24">
        <v>39</v>
      </c>
      <c r="Z44" s="403">
        <v>465.8587658361003</v>
      </c>
    </row>
    <row r="45" spans="1:26">
      <c r="A45" s="108" t="s">
        <v>472</v>
      </c>
      <c r="B45" s="24" t="s">
        <v>473</v>
      </c>
      <c r="S45" s="24">
        <v>40</v>
      </c>
      <c r="T45" s="403">
        <v>0.47570139462172634</v>
      </c>
      <c r="V45" s="24">
        <v>40</v>
      </c>
      <c r="W45" s="403">
        <v>27.749070548666339</v>
      </c>
      <c r="Y45" s="24">
        <v>40</v>
      </c>
      <c r="Z45" s="403">
        <v>484.78895313845783</v>
      </c>
    </row>
    <row r="46" spans="1:26">
      <c r="A46" s="24" t="str">
        <f>LOOKUP('SP4-6'!E10,{0,70},{"1","2"})</f>
        <v>1</v>
      </c>
      <c r="B46" s="107" t="str">
        <f>LOOKUP('SP4-6'!N10,{0,0.01,0.02,0.03,0.04,0.05,0.06,0.07},{"1","2","3","4","5","6","7","8"})</f>
        <v>1</v>
      </c>
      <c r="C46" s="106">
        <f ca="1">OFFSET(A41,A46,B46)</f>
        <v>0.83</v>
      </c>
      <c r="D46" s="94" t="s">
        <v>679</v>
      </c>
    </row>
    <row r="47" spans="1:26" ht="13.8" thickBot="1"/>
    <row r="48" spans="1:26" ht="31.8" thickBot="1">
      <c r="A48" s="151" t="s">
        <v>448</v>
      </c>
      <c r="B48" s="147">
        <v>0</v>
      </c>
      <c r="C48" s="148">
        <v>5.0000000000000001E-3</v>
      </c>
      <c r="D48" s="148">
        <v>0.01</v>
      </c>
      <c r="E48" s="148">
        <v>1.4999999999999999E-2</v>
      </c>
      <c r="F48" s="148">
        <v>0.02</v>
      </c>
      <c r="G48" s="148">
        <v>2.5000000000000001E-2</v>
      </c>
      <c r="H48" s="148">
        <v>0.03</v>
      </c>
      <c r="I48" s="148">
        <v>3.5000000000000003E-2</v>
      </c>
      <c r="J48" s="148">
        <v>0.04</v>
      </c>
    </row>
    <row r="49" spans="1:10" ht="21.6" thickBot="1">
      <c r="A49" s="132" t="s">
        <v>467</v>
      </c>
      <c r="B49" s="152">
        <v>6.31</v>
      </c>
      <c r="C49" s="152">
        <v>6.69</v>
      </c>
      <c r="D49" s="152">
        <v>7.07</v>
      </c>
      <c r="E49" s="152">
        <v>7.44</v>
      </c>
      <c r="F49" s="152">
        <v>7.82</v>
      </c>
      <c r="G49" s="152">
        <v>8.19</v>
      </c>
      <c r="H49" s="152">
        <v>8.57</v>
      </c>
      <c r="I49" s="152">
        <v>8.9499999999999993</v>
      </c>
      <c r="J49" s="152">
        <v>9.32</v>
      </c>
    </row>
    <row r="50" spans="1:10" ht="13.8" thickBot="1">
      <c r="A50" s="132" t="s">
        <v>680</v>
      </c>
      <c r="B50" s="152">
        <v>7.82</v>
      </c>
      <c r="C50" s="152">
        <v>8.19</v>
      </c>
      <c r="D50" s="152">
        <v>8.57</v>
      </c>
      <c r="E50" s="152">
        <v>8.9499999999999993</v>
      </c>
      <c r="F50" s="152">
        <v>9.32</v>
      </c>
      <c r="G50" s="152">
        <v>9.6999999999999993</v>
      </c>
      <c r="H50" s="152">
        <v>10.07</v>
      </c>
      <c r="I50" s="152">
        <v>10.45</v>
      </c>
      <c r="J50" s="152">
        <v>10.83</v>
      </c>
    </row>
    <row r="52" spans="1:10">
      <c r="A52" s="24" t="str">
        <f>LOOKUP('SP4-6'!E11,{0,70},{"1","2"})</f>
        <v>1</v>
      </c>
      <c r="B52" s="24" t="str">
        <f>LOOKUP('SP4-6'!N11,{0,1,2,3,4,5,6,7},{"1","2","3","4","5","6","7"})</f>
        <v>1</v>
      </c>
      <c r="C52" s="24">
        <f ca="1">OFFSET(A48,A52,B52)</f>
        <v>6.31</v>
      </c>
    </row>
    <row r="55" spans="1:10" ht="19.8">
      <c r="A55" s="92" t="s">
        <v>477</v>
      </c>
      <c r="B55" s="394"/>
    </row>
    <row r="56" spans="1:10">
      <c r="A56" s="91" t="s">
        <v>478</v>
      </c>
      <c r="B56" s="395" t="s">
        <v>838</v>
      </c>
    </row>
    <row r="57" spans="1:10" ht="13.8" thickBot="1">
      <c r="A57" s="91"/>
    </row>
    <row r="58" spans="1:10" ht="12.75" customHeight="1">
      <c r="A58" s="685" t="s">
        <v>409</v>
      </c>
      <c r="B58" s="685" t="s">
        <v>479</v>
      </c>
      <c r="C58" s="388" t="s">
        <v>480</v>
      </c>
      <c r="D58" s="388" t="s">
        <v>481</v>
      </c>
    </row>
    <row r="59" spans="1:10" ht="24" thickBot="1">
      <c r="A59" s="686"/>
      <c r="B59" s="686"/>
      <c r="C59" s="389" t="s">
        <v>482</v>
      </c>
      <c r="D59" s="389" t="s">
        <v>482</v>
      </c>
    </row>
    <row r="60" spans="1:10" ht="13.8" thickBot="1">
      <c r="A60" s="88" t="s">
        <v>531</v>
      </c>
      <c r="B60" s="87" t="s">
        <v>690</v>
      </c>
      <c r="C60" s="109">
        <v>0.08</v>
      </c>
      <c r="D60" s="109">
        <v>0.92</v>
      </c>
    </row>
    <row r="61" spans="1:10" ht="13.8" thickBot="1">
      <c r="A61" s="88" t="s">
        <v>532</v>
      </c>
      <c r="B61" s="87" t="s">
        <v>446</v>
      </c>
      <c r="C61" s="109">
        <v>0.04</v>
      </c>
      <c r="D61" s="109">
        <v>0.96</v>
      </c>
    </row>
    <row r="62" spans="1:10" ht="34.799999999999997" thickBot="1">
      <c r="A62" s="88" t="s">
        <v>410</v>
      </c>
      <c r="B62" s="87" t="s">
        <v>691</v>
      </c>
      <c r="C62" s="109">
        <v>0.1</v>
      </c>
      <c r="D62" s="109">
        <v>0.9</v>
      </c>
    </row>
    <row r="63" spans="1:10" ht="34.799999999999997" thickBot="1">
      <c r="A63" s="88" t="s">
        <v>533</v>
      </c>
      <c r="B63" s="87" t="s">
        <v>489</v>
      </c>
      <c r="C63" s="109">
        <v>0.04</v>
      </c>
      <c r="D63" s="109">
        <v>0.96</v>
      </c>
    </row>
    <row r="64" spans="1:10" ht="23.4" thickBot="1">
      <c r="A64" s="88" t="s">
        <v>534</v>
      </c>
      <c r="B64" s="87" t="s">
        <v>491</v>
      </c>
      <c r="C64" s="109">
        <v>0.15</v>
      </c>
      <c r="D64" s="109">
        <v>0.85</v>
      </c>
    </row>
    <row r="65" spans="1:4" ht="23.4" thickBot="1">
      <c r="A65" s="88" t="s">
        <v>536</v>
      </c>
      <c r="B65" s="87" t="s">
        <v>692</v>
      </c>
      <c r="C65" s="109">
        <v>0.05</v>
      </c>
      <c r="D65" s="109">
        <v>0.95</v>
      </c>
    </row>
    <row r="66" spans="1:4" ht="13.8" thickBot="1">
      <c r="A66" s="88" t="s">
        <v>422</v>
      </c>
      <c r="B66" s="87" t="s">
        <v>693</v>
      </c>
      <c r="C66" s="109">
        <v>0.08</v>
      </c>
      <c r="D66" s="109">
        <v>0.92</v>
      </c>
    </row>
    <row r="67" spans="1:4" ht="23.4" thickBot="1">
      <c r="A67" s="88" t="s">
        <v>537</v>
      </c>
      <c r="B67" s="87" t="s">
        <v>694</v>
      </c>
      <c r="C67" s="109">
        <v>0.04</v>
      </c>
      <c r="D67" s="109">
        <v>0.96</v>
      </c>
    </row>
    <row r="68" spans="1:4" ht="23.4" thickBot="1">
      <c r="A68" s="88" t="s">
        <v>538</v>
      </c>
      <c r="B68" s="87" t="s">
        <v>695</v>
      </c>
      <c r="C68" s="109">
        <v>0.02</v>
      </c>
      <c r="D68" s="109">
        <v>0.98</v>
      </c>
    </row>
    <row r="69" spans="1:4" ht="34.799999999999997" thickBot="1">
      <c r="A69" s="88" t="s">
        <v>539</v>
      </c>
      <c r="B69" s="87" t="s">
        <v>696</v>
      </c>
      <c r="C69" s="109">
        <v>0.05</v>
      </c>
      <c r="D69" s="109">
        <v>0.95</v>
      </c>
    </row>
    <row r="70" spans="1:4" ht="23.4" thickBot="1">
      <c r="A70" s="88" t="s">
        <v>540</v>
      </c>
      <c r="B70" s="87" t="s">
        <v>522</v>
      </c>
      <c r="C70" s="109">
        <v>0.05</v>
      </c>
      <c r="D70" s="109">
        <v>0.95</v>
      </c>
    </row>
    <row r="71" spans="1:4" ht="23.4" thickBot="1">
      <c r="A71" s="88" t="s">
        <v>541</v>
      </c>
      <c r="B71" s="87" t="s">
        <v>697</v>
      </c>
      <c r="C71" s="109">
        <v>0.03</v>
      </c>
      <c r="D71" s="109">
        <v>0.97</v>
      </c>
    </row>
    <row r="72" spans="1:4" ht="34.799999999999997" thickBot="1">
      <c r="A72" s="88" t="s">
        <v>439</v>
      </c>
      <c r="B72" s="93"/>
      <c r="C72" s="109">
        <v>7.0000000000000007E-2</v>
      </c>
      <c r="D72" s="109">
        <v>0.93</v>
      </c>
    </row>
    <row r="73" spans="1:4">
      <c r="A73" s="94"/>
    </row>
    <row r="74" spans="1:4" ht="13.8" thickBot="1">
      <c r="A74" s="91" t="s">
        <v>507</v>
      </c>
      <c r="B74" s="395" t="s">
        <v>839</v>
      </c>
    </row>
    <row r="75" spans="1:4" ht="12.75" customHeight="1">
      <c r="A75" s="685" t="s">
        <v>409</v>
      </c>
      <c r="B75" s="685" t="s">
        <v>479</v>
      </c>
      <c r="C75" s="388" t="s">
        <v>480</v>
      </c>
      <c r="D75" s="388" t="s">
        <v>481</v>
      </c>
    </row>
    <row r="76" spans="1:4" ht="24" thickBot="1">
      <c r="A76" s="686"/>
      <c r="B76" s="686"/>
      <c r="C76" s="389" t="s">
        <v>482</v>
      </c>
      <c r="D76" s="389" t="s">
        <v>482</v>
      </c>
    </row>
    <row r="77" spans="1:4" ht="13.8" thickBot="1">
      <c r="A77" s="88" t="s">
        <v>531</v>
      </c>
      <c r="B77" s="87" t="s">
        <v>690</v>
      </c>
      <c r="C77" s="109">
        <v>0.25</v>
      </c>
      <c r="D77" s="109">
        <v>0.75</v>
      </c>
    </row>
    <row r="78" spans="1:4" ht="13.8" thickBot="1">
      <c r="A78" s="88" t="s">
        <v>532</v>
      </c>
      <c r="B78" s="87" t="s">
        <v>446</v>
      </c>
      <c r="C78" s="109">
        <v>0.06</v>
      </c>
      <c r="D78" s="109">
        <v>0.94</v>
      </c>
    </row>
    <row r="79" spans="1:4" ht="34.799999999999997" thickBot="1">
      <c r="A79" s="88" t="s">
        <v>410</v>
      </c>
      <c r="B79" s="87" t="s">
        <v>691</v>
      </c>
      <c r="C79" s="109">
        <v>0.16</v>
      </c>
      <c r="D79" s="109">
        <v>0.84</v>
      </c>
    </row>
    <row r="80" spans="1:4" ht="34.799999999999997" thickBot="1">
      <c r="A80" s="88" t="s">
        <v>533</v>
      </c>
      <c r="B80" s="87" t="s">
        <v>489</v>
      </c>
      <c r="C80" s="109">
        <v>0.2</v>
      </c>
      <c r="D80" s="109">
        <v>0.8</v>
      </c>
    </row>
    <row r="81" spans="1:4" ht="23.4" thickBot="1">
      <c r="A81" s="88" t="s">
        <v>534</v>
      </c>
      <c r="B81" s="87" t="s">
        <v>491</v>
      </c>
      <c r="C81" s="109">
        <v>0.28999999999999998</v>
      </c>
      <c r="D81" s="109">
        <v>0.71</v>
      </c>
    </row>
    <row r="82" spans="1:4" ht="23.4" thickBot="1">
      <c r="A82" s="88" t="s">
        <v>536</v>
      </c>
      <c r="B82" s="87" t="s">
        <v>692</v>
      </c>
      <c r="C82" s="109">
        <v>0.08</v>
      </c>
      <c r="D82" s="109">
        <v>0.92</v>
      </c>
    </row>
    <row r="83" spans="1:4" ht="13.8" thickBot="1">
      <c r="A83" s="88" t="s">
        <v>422</v>
      </c>
      <c r="B83" s="87" t="s">
        <v>693</v>
      </c>
      <c r="C83" s="109">
        <v>0.11</v>
      </c>
      <c r="D83" s="109">
        <v>0.89</v>
      </c>
    </row>
    <row r="84" spans="1:4" ht="23.4" thickBot="1">
      <c r="A84" s="88" t="s">
        <v>537</v>
      </c>
      <c r="B84" s="87" t="s">
        <v>694</v>
      </c>
      <c r="C84" s="109">
        <v>0.12</v>
      </c>
      <c r="D84" s="109">
        <v>0.88</v>
      </c>
    </row>
    <row r="85" spans="1:4" ht="23.4" thickBot="1">
      <c r="A85" s="88" t="s">
        <v>538</v>
      </c>
      <c r="B85" s="87" t="s">
        <v>695</v>
      </c>
      <c r="C85" s="109">
        <v>0.04</v>
      </c>
      <c r="D85" s="109">
        <v>0.96</v>
      </c>
    </row>
    <row r="86" spans="1:4" ht="34.799999999999997" thickBot="1">
      <c r="A86" s="88" t="s">
        <v>539</v>
      </c>
      <c r="B86" s="87" t="s">
        <v>696</v>
      </c>
      <c r="C86" s="109">
        <v>0.12</v>
      </c>
      <c r="D86" s="109">
        <v>0.88</v>
      </c>
    </row>
    <row r="87" spans="1:4" ht="23.4" thickBot="1">
      <c r="A87" s="88" t="s">
        <v>540</v>
      </c>
      <c r="B87" s="87" t="s">
        <v>522</v>
      </c>
      <c r="C87" s="109">
        <v>0.13</v>
      </c>
      <c r="D87" s="109">
        <v>0.87</v>
      </c>
    </row>
    <row r="88" spans="1:4" ht="23.4" thickBot="1">
      <c r="A88" s="88" t="s">
        <v>541</v>
      </c>
      <c r="B88" s="87" t="s">
        <v>697</v>
      </c>
      <c r="C88" s="109">
        <v>7.0000000000000007E-2</v>
      </c>
      <c r="D88" s="109">
        <v>0.93</v>
      </c>
    </row>
    <row r="89" spans="1:4" ht="34.799999999999997" thickBot="1">
      <c r="A89" s="88" t="s">
        <v>439</v>
      </c>
      <c r="B89" s="93"/>
      <c r="C89" s="109">
        <v>0.14000000000000001</v>
      </c>
      <c r="D89" s="109">
        <v>0.86</v>
      </c>
    </row>
    <row r="90" spans="1:4" ht="19.8">
      <c r="A90" s="92"/>
    </row>
    <row r="91" spans="1:4" ht="19.8">
      <c r="A91" s="92" t="s">
        <v>477</v>
      </c>
      <c r="B91" s="394"/>
    </row>
    <row r="92" spans="1:4" ht="13.8" thickBot="1">
      <c r="A92" s="91" t="s">
        <v>514</v>
      </c>
      <c r="B92" s="395" t="s">
        <v>840</v>
      </c>
    </row>
    <row r="93" spans="1:4" ht="12.75" customHeight="1">
      <c r="A93" s="685" t="s">
        <v>409</v>
      </c>
      <c r="B93" s="685" t="s">
        <v>479</v>
      </c>
      <c r="C93" s="388" t="s">
        <v>515</v>
      </c>
      <c r="D93" s="388" t="s">
        <v>516</v>
      </c>
    </row>
    <row r="94" spans="1:4" ht="24" thickBot="1">
      <c r="A94" s="686"/>
      <c r="B94" s="686"/>
      <c r="C94" s="389" t="s">
        <v>482</v>
      </c>
      <c r="D94" s="389" t="s">
        <v>482</v>
      </c>
    </row>
    <row r="95" spans="1:4" ht="13.8" thickBot="1">
      <c r="A95" s="88" t="s">
        <v>531</v>
      </c>
      <c r="B95" s="87" t="s">
        <v>690</v>
      </c>
      <c r="C95" s="87">
        <v>0.35</v>
      </c>
      <c r="D95" s="87">
        <v>0.65</v>
      </c>
    </row>
    <row r="96" spans="1:4" ht="13.8" thickBot="1">
      <c r="A96" s="88" t="s">
        <v>532</v>
      </c>
      <c r="B96" s="87" t="s">
        <v>446</v>
      </c>
      <c r="C96" s="87">
        <v>0.12</v>
      </c>
      <c r="D96" s="87">
        <v>0.88</v>
      </c>
    </row>
    <row r="97" spans="1:5" ht="34.799999999999997" thickBot="1">
      <c r="A97" s="88" t="s">
        <v>410</v>
      </c>
      <c r="B97" s="87" t="s">
        <v>691</v>
      </c>
      <c r="C97" s="87">
        <v>0.14000000000000001</v>
      </c>
      <c r="D97" s="87">
        <v>0.86</v>
      </c>
    </row>
    <row r="98" spans="1:5" ht="34.799999999999997" thickBot="1">
      <c r="A98" s="88" t="s">
        <v>533</v>
      </c>
      <c r="B98" s="87" t="s">
        <v>489</v>
      </c>
      <c r="C98" s="87">
        <v>0.08</v>
      </c>
      <c r="D98" s="87">
        <v>0.92</v>
      </c>
    </row>
    <row r="99" spans="1:5" ht="23.4" thickBot="1">
      <c r="A99" s="88" t="s">
        <v>534</v>
      </c>
      <c r="B99" s="87" t="s">
        <v>491</v>
      </c>
      <c r="C99" s="87">
        <v>0.22</v>
      </c>
      <c r="D99" s="87">
        <v>0.78</v>
      </c>
    </row>
    <row r="100" spans="1:5" ht="23.4" thickBot="1">
      <c r="A100" s="88" t="s">
        <v>536</v>
      </c>
      <c r="B100" s="87" t="s">
        <v>692</v>
      </c>
      <c r="C100" s="87">
        <v>0.11</v>
      </c>
      <c r="D100" s="87">
        <v>0.89</v>
      </c>
    </row>
    <row r="101" spans="1:5" ht="13.8" thickBot="1">
      <c r="A101" s="88" t="s">
        <v>422</v>
      </c>
      <c r="B101" s="87" t="s">
        <v>693</v>
      </c>
      <c r="C101" s="87">
        <v>0.37</v>
      </c>
      <c r="D101" s="87">
        <v>0.63</v>
      </c>
    </row>
    <row r="102" spans="1:5" ht="23.4" thickBot="1">
      <c r="A102" s="88" t="s">
        <v>537</v>
      </c>
      <c r="B102" s="87" t="s">
        <v>694</v>
      </c>
      <c r="C102" s="87">
        <v>0.12</v>
      </c>
      <c r="D102" s="87">
        <v>0.88</v>
      </c>
    </row>
    <row r="103" spans="1:5" ht="23.4" thickBot="1">
      <c r="A103" s="88" t="s">
        <v>538</v>
      </c>
      <c r="B103" s="87" t="s">
        <v>695</v>
      </c>
      <c r="C103" s="87">
        <v>0.06</v>
      </c>
      <c r="D103" s="87">
        <v>0.94</v>
      </c>
    </row>
    <row r="104" spans="1:5" ht="34.799999999999997" thickBot="1">
      <c r="A104" s="88" t="s">
        <v>539</v>
      </c>
      <c r="B104" s="87" t="s">
        <v>696</v>
      </c>
      <c r="C104" s="87">
        <v>0.14000000000000001</v>
      </c>
      <c r="D104" s="87">
        <v>0.86</v>
      </c>
    </row>
    <row r="105" spans="1:5" ht="23.4" thickBot="1">
      <c r="A105" s="88" t="s">
        <v>540</v>
      </c>
      <c r="B105" s="87" t="s">
        <v>522</v>
      </c>
      <c r="C105" s="87">
        <v>0.19</v>
      </c>
      <c r="D105" s="87">
        <v>0.81</v>
      </c>
    </row>
    <row r="106" spans="1:5" ht="23.4" thickBot="1">
      <c r="A106" s="88" t="s">
        <v>541</v>
      </c>
      <c r="B106" s="87" t="s">
        <v>523</v>
      </c>
      <c r="C106" s="87">
        <v>0.13</v>
      </c>
      <c r="D106" s="87">
        <v>0.87</v>
      </c>
    </row>
    <row r="107" spans="1:5" ht="34.799999999999997" thickBot="1">
      <c r="A107" s="88" t="s">
        <v>439</v>
      </c>
      <c r="B107" s="87"/>
      <c r="C107" s="87">
        <v>0.18</v>
      </c>
      <c r="D107" s="87">
        <v>0.82</v>
      </c>
    </row>
    <row r="108" spans="1:5" ht="13.8" thickBot="1">
      <c r="A108" s="91" t="s">
        <v>524</v>
      </c>
      <c r="B108" s="395" t="s">
        <v>841</v>
      </c>
    </row>
    <row r="109" spans="1:5" ht="13.8" thickBot="1">
      <c r="A109" s="105" t="s">
        <v>435</v>
      </c>
      <c r="B109" s="104" t="s">
        <v>842</v>
      </c>
      <c r="C109" s="103" t="s">
        <v>236</v>
      </c>
      <c r="D109" s="103" t="s">
        <v>237</v>
      </c>
      <c r="E109" s="103" t="s">
        <v>238</v>
      </c>
    </row>
    <row r="110" spans="1:5" ht="43.2" customHeight="1" thickBot="1">
      <c r="A110" s="675" t="s">
        <v>843</v>
      </c>
      <c r="B110" s="102" t="s">
        <v>422</v>
      </c>
      <c r="C110" s="677">
        <v>1</v>
      </c>
      <c r="D110" s="677">
        <v>1.5</v>
      </c>
      <c r="E110" s="396">
        <v>4.5</v>
      </c>
    </row>
    <row r="111" spans="1:5" ht="13.8" thickBot="1">
      <c r="A111" s="676"/>
      <c r="B111" s="102" t="s">
        <v>424</v>
      </c>
      <c r="C111" s="678"/>
      <c r="D111" s="678"/>
      <c r="E111" s="396">
        <v>2.8</v>
      </c>
    </row>
    <row r="112" spans="1:5" ht="88.95" customHeight="1" thickBot="1">
      <c r="A112" s="675" t="s">
        <v>426</v>
      </c>
      <c r="B112" s="102" t="s">
        <v>422</v>
      </c>
      <c r="C112" s="677">
        <v>1</v>
      </c>
      <c r="D112" s="677">
        <v>1.9</v>
      </c>
      <c r="E112" s="396">
        <v>7.5</v>
      </c>
    </row>
    <row r="113" spans="1:26" ht="13.8" thickBot="1">
      <c r="A113" s="676"/>
      <c r="B113" s="102" t="s">
        <v>424</v>
      </c>
      <c r="C113" s="678"/>
      <c r="D113" s="678"/>
      <c r="E113" s="396">
        <v>4.5</v>
      </c>
    </row>
    <row r="114" spans="1:26" ht="54.6" customHeight="1" thickBot="1">
      <c r="A114" s="675" t="s">
        <v>844</v>
      </c>
      <c r="B114" s="102" t="s">
        <v>422</v>
      </c>
      <c r="C114" s="677">
        <v>1</v>
      </c>
      <c r="D114" s="677">
        <v>2.2999999999999998</v>
      </c>
      <c r="E114" s="396">
        <v>13</v>
      </c>
    </row>
    <row r="115" spans="1:26" ht="13.8" thickBot="1">
      <c r="A115" s="676"/>
      <c r="B115" s="102" t="s">
        <v>424</v>
      </c>
      <c r="C115" s="678"/>
      <c r="D115" s="678"/>
      <c r="E115" s="396">
        <v>7.5</v>
      </c>
    </row>
    <row r="116" spans="1:26" ht="13.8" thickBot="1">
      <c r="A116" s="390" t="s">
        <v>324</v>
      </c>
      <c r="B116" s="102" t="s">
        <v>430</v>
      </c>
      <c r="C116" s="396">
        <v>1</v>
      </c>
      <c r="D116" s="396">
        <v>1.9</v>
      </c>
      <c r="E116" s="396">
        <v>1.9</v>
      </c>
    </row>
    <row r="117" spans="1:26" ht="13.8" thickBot="1">
      <c r="A117" s="390" t="s">
        <v>430</v>
      </c>
      <c r="B117" s="102" t="s">
        <v>430</v>
      </c>
      <c r="C117" s="396">
        <v>1</v>
      </c>
      <c r="D117" s="396">
        <v>1.7</v>
      </c>
      <c r="E117" s="396">
        <v>3.6</v>
      </c>
    </row>
    <row r="118" spans="1:26" ht="13.8" thickBot="1">
      <c r="A118" s="91" t="s">
        <v>525</v>
      </c>
      <c r="B118" s="395" t="s">
        <v>845</v>
      </c>
    </row>
    <row r="119" spans="1:26" ht="23.4" thickBot="1">
      <c r="A119" s="101" t="s">
        <v>435</v>
      </c>
      <c r="B119" s="393" t="s">
        <v>436</v>
      </c>
      <c r="C119" s="393" t="s">
        <v>437</v>
      </c>
      <c r="D119" s="393" t="s">
        <v>324</v>
      </c>
    </row>
    <row r="120" spans="1:26" ht="34.799999999999997" thickBot="1">
      <c r="A120" s="88" t="s">
        <v>439</v>
      </c>
      <c r="B120" s="100">
        <v>7</v>
      </c>
      <c r="C120" s="100">
        <v>18.5</v>
      </c>
      <c r="D120" s="100">
        <v>7</v>
      </c>
    </row>
    <row r="121" spans="1:26" ht="19.8">
      <c r="A121" s="92"/>
    </row>
    <row r="122" spans="1:26" ht="21.6" thickBot="1">
      <c r="A122" s="92" t="s">
        <v>477</v>
      </c>
      <c r="B122" s="92"/>
      <c r="S122" s="166" t="s">
        <v>847</v>
      </c>
      <c r="T122" s="166"/>
      <c r="U122" s="166"/>
      <c r="V122" s="166"/>
      <c r="W122" s="166"/>
      <c r="X122" s="166"/>
      <c r="Y122" s="166"/>
      <c r="Z122" s="166"/>
    </row>
    <row r="123" spans="1:26" ht="15" thickTop="1" thickBot="1">
      <c r="A123" s="91" t="s">
        <v>526</v>
      </c>
      <c r="B123" s="395" t="str">
        <f>S124</f>
        <v>Table A28: Cost per crash by movement and vehicle involvement for fatal injury crashes in 30 to 50km/h speed limit areas</v>
      </c>
      <c r="S123" s="155"/>
      <c r="T123" s="155"/>
      <c r="U123" s="155"/>
      <c r="V123" s="155"/>
      <c r="W123" s="155"/>
      <c r="X123" s="155"/>
      <c r="Y123" s="155"/>
      <c r="Z123" s="155"/>
    </row>
    <row r="124" spans="1:26" ht="34.200000000000003" customHeight="1" thickBot="1">
      <c r="A124" s="666" t="str">
        <f>S125</f>
        <v>30 to 50km/h speed limit areas fatal injury crashes</v>
      </c>
      <c r="B124" s="668"/>
      <c r="C124" s="666" t="s">
        <v>846</v>
      </c>
      <c r="D124" s="667"/>
      <c r="E124" s="667"/>
      <c r="F124" s="667"/>
      <c r="G124" s="667"/>
      <c r="H124" s="668"/>
      <c r="S124" s="664" t="s">
        <v>848</v>
      </c>
      <c r="T124" s="664"/>
      <c r="U124" s="664"/>
      <c r="V124" s="664"/>
      <c r="W124" s="664"/>
      <c r="X124" s="664"/>
      <c r="Y124" s="664"/>
      <c r="Z124" s="397"/>
    </row>
    <row r="125" spans="1:26" ht="20.399999999999999" customHeight="1" thickBot="1">
      <c r="A125" s="90" t="str" cm="1">
        <f t="array" ref="A125:H125">S126:Z126</f>
        <v>Movement category</v>
      </c>
      <c r="B125" s="90" t="str">
        <v>CAS movement codes</v>
      </c>
      <c r="C125" s="391" t="str">
        <v>Cycle</v>
      </c>
      <c r="D125" s="391" t="str">
        <v>Motorcycle</v>
      </c>
      <c r="E125" s="391" t="str">
        <v>Bus</v>
      </c>
      <c r="F125" s="391" t="str">
        <v>Truck</v>
      </c>
      <c r="G125" s="99" t="str">
        <v>Car, van and other</v>
      </c>
      <c r="H125" s="391" t="str">
        <v>All vehicles</v>
      </c>
      <c r="S125" s="665" t="s">
        <v>849</v>
      </c>
      <c r="T125" s="665"/>
      <c r="U125" s="665" t="s">
        <v>686</v>
      </c>
      <c r="V125" s="665"/>
      <c r="W125" s="665"/>
      <c r="X125" s="665"/>
      <c r="Y125" s="665"/>
      <c r="Z125" s="665"/>
    </row>
    <row r="126" spans="1:26" ht="40.200000000000003" thickBot="1">
      <c r="A126" s="89"/>
      <c r="B126" s="89"/>
      <c r="C126" s="392"/>
      <c r="D126" s="392"/>
      <c r="E126" s="392"/>
      <c r="F126" s="392"/>
      <c r="G126" s="389"/>
      <c r="H126" s="392"/>
      <c r="S126" s="398" t="s">
        <v>409</v>
      </c>
      <c r="T126" s="398" t="s">
        <v>479</v>
      </c>
      <c r="U126" s="399" t="s">
        <v>687</v>
      </c>
      <c r="V126" s="399" t="s">
        <v>688</v>
      </c>
      <c r="W126" s="399" t="s">
        <v>529</v>
      </c>
      <c r="X126" s="399" t="s">
        <v>530</v>
      </c>
      <c r="Y126" s="399" t="s">
        <v>689</v>
      </c>
      <c r="Z126" s="399" t="s">
        <v>412</v>
      </c>
    </row>
    <row r="127" spans="1:26" ht="13.95" customHeight="1" thickBot="1">
      <c r="A127" s="88" t="str" cm="1">
        <f t="array" ref="A127:A139">S127:S139</f>
        <v>Head on</v>
      </c>
      <c r="B127" s="24">
        <v>1</v>
      </c>
      <c r="C127" s="96">
        <f>U127*1000000</f>
        <v>12600000</v>
      </c>
      <c r="D127" s="96">
        <f t="shared" ref="D127:H139" si="0">V127*1000000</f>
        <v>12600000</v>
      </c>
      <c r="E127" s="96">
        <f t="shared" si="0"/>
        <v>15900000</v>
      </c>
      <c r="F127" s="96">
        <f t="shared" si="0"/>
        <v>15900000</v>
      </c>
      <c r="G127" s="96">
        <f t="shared" si="0"/>
        <v>14100000</v>
      </c>
      <c r="H127" s="96">
        <f t="shared" si="0"/>
        <v>14200000</v>
      </c>
      <c r="I127" s="24">
        <f>IF('SP4-6'!E8="",0,1)</f>
        <v>0</v>
      </c>
      <c r="J127" s="24" t="e">
        <f>VLOOKUP('SP4-6'!E8,K127:L139,2,FALSE)</f>
        <v>#N/A</v>
      </c>
      <c r="K127" s="88" t="s">
        <v>531</v>
      </c>
      <c r="L127" s="24">
        <v>1</v>
      </c>
      <c r="M127" s="24" t="e">
        <f>VLOOKUP('SP4-6'!N8,N127:O139,2,FALSE)</f>
        <v>#N/A</v>
      </c>
      <c r="N127" s="97" t="s">
        <v>527</v>
      </c>
      <c r="O127" s="24">
        <v>1</v>
      </c>
      <c r="S127" s="400" t="s">
        <v>531</v>
      </c>
      <c r="T127" s="400" t="s">
        <v>690</v>
      </c>
      <c r="U127" s="401">
        <v>12.6</v>
      </c>
      <c r="V127" s="401">
        <v>12.6</v>
      </c>
      <c r="W127" s="401">
        <v>15.9</v>
      </c>
      <c r="X127" s="401">
        <v>15.9</v>
      </c>
      <c r="Y127" s="401">
        <v>14.1</v>
      </c>
      <c r="Z127" s="401">
        <v>14.2</v>
      </c>
    </row>
    <row r="128" spans="1:26" ht="13.8" thickBot="1">
      <c r="A128" s="88" t="str">
        <v>Hit object</v>
      </c>
      <c r="B128" s="24">
        <v>2</v>
      </c>
      <c r="C128" s="96">
        <f t="shared" ref="C128:C139" si="1">U128*1000000</f>
        <v>12500000</v>
      </c>
      <c r="D128" s="96">
        <f t="shared" si="0"/>
        <v>12500000</v>
      </c>
      <c r="E128" s="96">
        <f t="shared" si="0"/>
        <v>12900000</v>
      </c>
      <c r="F128" s="96">
        <f t="shared" si="0"/>
        <v>12900000</v>
      </c>
      <c r="G128" s="96">
        <f t="shared" si="0"/>
        <v>13100000</v>
      </c>
      <c r="H128" s="96">
        <f t="shared" si="0"/>
        <v>13000000</v>
      </c>
      <c r="I128" s="24">
        <f>IF('SP4-6'!N8="",0,1)</f>
        <v>0</v>
      </c>
      <c r="J128" s="95">
        <f ca="1">IF(I129=0,0,OFFSET(B126,$J$127,$M$127))</f>
        <v>0</v>
      </c>
      <c r="K128" s="88" t="s">
        <v>532</v>
      </c>
      <c r="L128" s="24">
        <v>2</v>
      </c>
      <c r="N128" s="97" t="s">
        <v>528</v>
      </c>
      <c r="O128" s="24">
        <v>2</v>
      </c>
      <c r="S128" s="400" t="s">
        <v>532</v>
      </c>
      <c r="T128" s="400" t="s">
        <v>446</v>
      </c>
      <c r="U128" s="401">
        <v>12.5</v>
      </c>
      <c r="V128" s="401">
        <v>12.5</v>
      </c>
      <c r="W128" s="401">
        <v>12.9</v>
      </c>
      <c r="X128" s="401">
        <v>12.9</v>
      </c>
      <c r="Y128" s="401">
        <v>13.1</v>
      </c>
      <c r="Z128" s="401">
        <v>13</v>
      </c>
    </row>
    <row r="129" spans="1:27" ht="40.200000000000003" thickBot="1">
      <c r="A129" s="88" t="str">
        <v>Lost control off road</v>
      </c>
      <c r="B129" s="24">
        <v>3</v>
      </c>
      <c r="C129" s="96">
        <f t="shared" si="1"/>
        <v>12500000</v>
      </c>
      <c r="D129" s="96">
        <f t="shared" si="0"/>
        <v>13100000</v>
      </c>
      <c r="E129" s="96">
        <f t="shared" si="0"/>
        <v>13500000</v>
      </c>
      <c r="F129" s="96">
        <f t="shared" si="0"/>
        <v>13500000</v>
      </c>
      <c r="G129" s="96">
        <f t="shared" si="0"/>
        <v>13500000</v>
      </c>
      <c r="H129" s="96">
        <f t="shared" si="0"/>
        <v>13500000</v>
      </c>
      <c r="I129" s="24">
        <f>IF(I127+I128=0,0,1)</f>
        <v>0</v>
      </c>
      <c r="K129" s="88" t="s">
        <v>410</v>
      </c>
      <c r="L129" s="24">
        <v>3</v>
      </c>
      <c r="N129" s="97" t="s">
        <v>529</v>
      </c>
      <c r="O129" s="24">
        <v>3</v>
      </c>
      <c r="S129" s="400" t="s">
        <v>410</v>
      </c>
      <c r="T129" s="400" t="s">
        <v>691</v>
      </c>
      <c r="U129" s="401">
        <v>12.5</v>
      </c>
      <c r="V129" s="401">
        <v>13.1</v>
      </c>
      <c r="W129" s="401">
        <v>13.5</v>
      </c>
      <c r="X129" s="401">
        <v>13.5</v>
      </c>
      <c r="Y129" s="401">
        <v>13.5</v>
      </c>
      <c r="Z129" s="401">
        <v>13.5</v>
      </c>
    </row>
    <row r="130" spans="1:27" ht="40.200000000000003" thickBot="1">
      <c r="A130" s="88" t="str">
        <v>Lost control on road</v>
      </c>
      <c r="B130" s="24">
        <v>4</v>
      </c>
      <c r="C130" s="96">
        <f t="shared" si="1"/>
        <v>12500000</v>
      </c>
      <c r="D130" s="96">
        <f t="shared" si="0"/>
        <v>12500000</v>
      </c>
      <c r="E130" s="96">
        <f t="shared" si="0"/>
        <v>14700000</v>
      </c>
      <c r="F130" s="96">
        <f t="shared" si="0"/>
        <v>14700000</v>
      </c>
      <c r="G130" s="96">
        <f t="shared" si="0"/>
        <v>12500000</v>
      </c>
      <c r="H130" s="96">
        <f t="shared" si="0"/>
        <v>12700000</v>
      </c>
      <c r="K130" s="88" t="s">
        <v>533</v>
      </c>
      <c r="L130" s="24">
        <v>4</v>
      </c>
      <c r="N130" s="97" t="s">
        <v>530</v>
      </c>
      <c r="O130" s="24">
        <v>4</v>
      </c>
      <c r="S130" s="400" t="s">
        <v>533</v>
      </c>
      <c r="T130" s="400" t="s">
        <v>489</v>
      </c>
      <c r="U130" s="401">
        <v>12.5</v>
      </c>
      <c r="V130" s="401">
        <v>12.5</v>
      </c>
      <c r="W130" s="401">
        <v>14.7</v>
      </c>
      <c r="X130" s="401">
        <v>14.7</v>
      </c>
      <c r="Y130" s="401">
        <v>12.5</v>
      </c>
      <c r="Z130" s="401">
        <v>12.7</v>
      </c>
    </row>
    <row r="131" spans="1:27" ht="27" thickBot="1">
      <c r="A131" s="88" t="str">
        <v>Miscellaneous</v>
      </c>
      <c r="B131" s="24">
        <v>5</v>
      </c>
      <c r="C131" s="96">
        <f t="shared" si="1"/>
        <v>12500000</v>
      </c>
      <c r="D131" s="96">
        <f t="shared" si="0"/>
        <v>12600000</v>
      </c>
      <c r="E131" s="96">
        <f t="shared" si="0"/>
        <v>13300000</v>
      </c>
      <c r="F131" s="96">
        <f t="shared" si="0"/>
        <v>13200000</v>
      </c>
      <c r="G131" s="96">
        <f t="shared" si="0"/>
        <v>12900000</v>
      </c>
      <c r="H131" s="96">
        <f t="shared" si="0"/>
        <v>12900000</v>
      </c>
      <c r="K131" s="88" t="s">
        <v>534</v>
      </c>
      <c r="L131" s="24">
        <v>5</v>
      </c>
      <c r="N131" s="98" t="s">
        <v>535</v>
      </c>
      <c r="O131" s="24">
        <v>5</v>
      </c>
      <c r="S131" s="400" t="s">
        <v>534</v>
      </c>
      <c r="T131" s="400" t="s">
        <v>491</v>
      </c>
      <c r="U131" s="401">
        <v>12.5</v>
      </c>
      <c r="V131" s="401">
        <v>12.6</v>
      </c>
      <c r="W131" s="401">
        <v>13.3</v>
      </c>
      <c r="X131" s="401">
        <v>13.2</v>
      </c>
      <c r="Y131" s="401">
        <v>12.9</v>
      </c>
      <c r="Z131" s="401">
        <v>12.9</v>
      </c>
    </row>
    <row r="132" spans="1:27" ht="40.200000000000003" thickBot="1">
      <c r="A132" s="88" t="str">
        <v>Overtaking</v>
      </c>
      <c r="B132" s="24">
        <v>6</v>
      </c>
      <c r="C132" s="96">
        <f t="shared" si="1"/>
        <v>12500000</v>
      </c>
      <c r="D132" s="96">
        <f t="shared" si="0"/>
        <v>12500000</v>
      </c>
      <c r="E132" s="96">
        <f t="shared" si="0"/>
        <v>13300000</v>
      </c>
      <c r="F132" s="96">
        <f t="shared" si="0"/>
        <v>12500000</v>
      </c>
      <c r="G132" s="96">
        <f t="shared" si="0"/>
        <v>12800000</v>
      </c>
      <c r="H132" s="96">
        <f t="shared" si="0"/>
        <v>12800000</v>
      </c>
      <c r="K132" s="88" t="s">
        <v>536</v>
      </c>
      <c r="L132" s="24">
        <v>6</v>
      </c>
      <c r="N132" s="97" t="s">
        <v>412</v>
      </c>
      <c r="O132" s="24">
        <v>6</v>
      </c>
      <c r="S132" s="400" t="s">
        <v>536</v>
      </c>
      <c r="T132" s="400" t="s">
        <v>692</v>
      </c>
      <c r="U132" s="401">
        <v>12.5</v>
      </c>
      <c r="V132" s="401">
        <v>12.5</v>
      </c>
      <c r="W132" s="401">
        <v>13.3</v>
      </c>
      <c r="X132" s="401">
        <v>12.5</v>
      </c>
      <c r="Y132" s="401">
        <v>12.8</v>
      </c>
      <c r="Z132" s="401">
        <v>12.8</v>
      </c>
    </row>
    <row r="133" spans="1:27" ht="13.8" thickBot="1">
      <c r="A133" s="88" t="str">
        <v>Pedestrian</v>
      </c>
      <c r="B133" s="24">
        <v>7</v>
      </c>
      <c r="C133" s="96">
        <f t="shared" si="1"/>
        <v>12600000</v>
      </c>
      <c r="D133" s="96">
        <f t="shared" si="0"/>
        <v>12600000</v>
      </c>
      <c r="E133" s="96">
        <f t="shared" si="0"/>
        <v>14300000</v>
      </c>
      <c r="F133" s="96">
        <f t="shared" si="0"/>
        <v>12500000</v>
      </c>
      <c r="G133" s="96">
        <f t="shared" si="0"/>
        <v>12700000</v>
      </c>
      <c r="H133" s="96">
        <f t="shared" si="0"/>
        <v>12700000</v>
      </c>
      <c r="K133" s="88" t="s">
        <v>422</v>
      </c>
      <c r="L133" s="24">
        <v>7</v>
      </c>
      <c r="S133" s="400" t="s">
        <v>422</v>
      </c>
      <c r="T133" s="400" t="s">
        <v>693</v>
      </c>
      <c r="U133" s="401">
        <v>12.6</v>
      </c>
      <c r="V133" s="401">
        <v>12.6</v>
      </c>
      <c r="W133" s="401">
        <v>14.3</v>
      </c>
      <c r="X133" s="401">
        <v>12.5</v>
      </c>
      <c r="Y133" s="401">
        <v>12.7</v>
      </c>
      <c r="Z133" s="401">
        <v>12.7</v>
      </c>
    </row>
    <row r="134" spans="1:27" ht="27" thickBot="1">
      <c r="A134" s="88" t="str">
        <v>Rear end, crossing</v>
      </c>
      <c r="B134" s="24">
        <v>8</v>
      </c>
      <c r="C134" s="96">
        <f t="shared" si="1"/>
        <v>12500000</v>
      </c>
      <c r="D134" s="96">
        <f t="shared" si="0"/>
        <v>12600000</v>
      </c>
      <c r="E134" s="96">
        <f t="shared" si="0"/>
        <v>12500000</v>
      </c>
      <c r="F134" s="96">
        <f t="shared" si="0"/>
        <v>12500000</v>
      </c>
      <c r="G134" s="96">
        <f t="shared" si="0"/>
        <v>12600000</v>
      </c>
      <c r="H134" s="96">
        <f t="shared" si="0"/>
        <v>12600000</v>
      </c>
      <c r="K134" s="88" t="s">
        <v>537</v>
      </c>
      <c r="L134" s="24">
        <v>8</v>
      </c>
      <c r="S134" s="400" t="s">
        <v>537</v>
      </c>
      <c r="T134" s="400" t="s">
        <v>694</v>
      </c>
      <c r="U134" s="401">
        <v>12.5</v>
      </c>
      <c r="V134" s="401">
        <v>12.6</v>
      </c>
      <c r="W134" s="401">
        <v>12.5</v>
      </c>
      <c r="X134" s="401">
        <v>12.5</v>
      </c>
      <c r="Y134" s="401">
        <v>12.6</v>
      </c>
      <c r="Z134" s="401">
        <v>12.6</v>
      </c>
    </row>
    <row r="135" spans="1:27" ht="27" thickBot="1">
      <c r="A135" s="88" t="str">
        <v>Rear end, queuing</v>
      </c>
      <c r="B135" s="24">
        <v>9</v>
      </c>
      <c r="C135" s="96">
        <f t="shared" si="1"/>
        <v>12500000</v>
      </c>
      <c r="D135" s="96">
        <f t="shared" si="0"/>
        <v>12500000</v>
      </c>
      <c r="E135" s="96">
        <f t="shared" si="0"/>
        <v>12700000</v>
      </c>
      <c r="F135" s="96">
        <f t="shared" si="0"/>
        <v>12600000</v>
      </c>
      <c r="G135" s="96">
        <f t="shared" si="0"/>
        <v>12500000</v>
      </c>
      <c r="H135" s="96">
        <f t="shared" si="0"/>
        <v>12500000</v>
      </c>
      <c r="K135" s="88" t="s">
        <v>538</v>
      </c>
      <c r="L135" s="24">
        <v>9</v>
      </c>
      <c r="S135" s="400" t="s">
        <v>538</v>
      </c>
      <c r="T135" s="400" t="s">
        <v>695</v>
      </c>
      <c r="U135" s="401">
        <v>12.5</v>
      </c>
      <c r="V135" s="401">
        <v>12.5</v>
      </c>
      <c r="W135" s="401">
        <v>12.7</v>
      </c>
      <c r="X135" s="401">
        <v>12.6</v>
      </c>
      <c r="Y135" s="401">
        <v>12.5</v>
      </c>
      <c r="Z135" s="401">
        <v>12.5</v>
      </c>
    </row>
    <row r="136" spans="1:27" ht="40.200000000000003" thickBot="1">
      <c r="A136" s="88" t="str">
        <v>Rear end, slow vehicle</v>
      </c>
      <c r="B136" s="24">
        <v>10</v>
      </c>
      <c r="C136" s="96">
        <f t="shared" si="1"/>
        <v>12500000</v>
      </c>
      <c r="D136" s="96">
        <f t="shared" si="0"/>
        <v>12500000</v>
      </c>
      <c r="E136" s="96">
        <f t="shared" si="0"/>
        <v>12700000</v>
      </c>
      <c r="F136" s="96">
        <f t="shared" si="0"/>
        <v>12500000</v>
      </c>
      <c r="G136" s="96">
        <f t="shared" si="0"/>
        <v>12600000</v>
      </c>
      <c r="H136" s="96">
        <f t="shared" si="0"/>
        <v>12600000</v>
      </c>
      <c r="K136" s="88" t="s">
        <v>539</v>
      </c>
      <c r="L136" s="24">
        <v>10</v>
      </c>
      <c r="S136" s="400" t="s">
        <v>539</v>
      </c>
      <c r="T136" s="400" t="s">
        <v>696</v>
      </c>
      <c r="U136" s="401">
        <v>12.5</v>
      </c>
      <c r="V136" s="401">
        <v>12.5</v>
      </c>
      <c r="W136" s="401">
        <v>12.7</v>
      </c>
      <c r="X136" s="401">
        <v>12.5</v>
      </c>
      <c r="Y136" s="401">
        <v>12.6</v>
      </c>
      <c r="Z136" s="401">
        <v>12.6</v>
      </c>
    </row>
    <row r="137" spans="1:27" ht="23.4" customHeight="1" thickBot="1">
      <c r="A137" s="88" t="str">
        <v>Crossing, direct</v>
      </c>
      <c r="B137" s="24">
        <v>11</v>
      </c>
      <c r="C137" s="96">
        <f t="shared" si="1"/>
        <v>12500000</v>
      </c>
      <c r="D137" s="96">
        <f t="shared" si="0"/>
        <v>12800000</v>
      </c>
      <c r="E137" s="96">
        <f t="shared" si="0"/>
        <v>12900000</v>
      </c>
      <c r="F137" s="96">
        <f t="shared" si="0"/>
        <v>12900000</v>
      </c>
      <c r="G137" s="96">
        <f t="shared" si="0"/>
        <v>13100000</v>
      </c>
      <c r="H137" s="96">
        <f t="shared" si="0"/>
        <v>13100000</v>
      </c>
      <c r="K137" s="88" t="s">
        <v>540</v>
      </c>
      <c r="L137" s="24">
        <v>11</v>
      </c>
      <c r="S137" s="400" t="s">
        <v>540</v>
      </c>
      <c r="T137" s="400" t="s">
        <v>522</v>
      </c>
      <c r="U137" s="401">
        <v>12.5</v>
      </c>
      <c r="V137" s="401">
        <v>12.8</v>
      </c>
      <c r="W137" s="401">
        <v>12.9</v>
      </c>
      <c r="X137" s="401">
        <v>12.9</v>
      </c>
      <c r="Y137" s="401">
        <v>13.1</v>
      </c>
      <c r="Z137" s="401">
        <v>13.1</v>
      </c>
    </row>
    <row r="138" spans="1:27" ht="27" thickBot="1">
      <c r="A138" s="88" t="str">
        <v>Crossing, turning</v>
      </c>
      <c r="B138" s="24">
        <v>12</v>
      </c>
      <c r="C138" s="96">
        <f t="shared" si="1"/>
        <v>12500000</v>
      </c>
      <c r="D138" s="96">
        <f t="shared" si="0"/>
        <v>12500000</v>
      </c>
      <c r="E138" s="96">
        <f t="shared" si="0"/>
        <v>12500000</v>
      </c>
      <c r="F138" s="96">
        <f t="shared" si="0"/>
        <v>12500000</v>
      </c>
      <c r="G138" s="96">
        <f t="shared" si="0"/>
        <v>12500000</v>
      </c>
      <c r="H138" s="96">
        <f t="shared" si="0"/>
        <v>12500000</v>
      </c>
      <c r="K138" s="88" t="s">
        <v>541</v>
      </c>
      <c r="L138" s="24">
        <v>12</v>
      </c>
      <c r="S138" s="400" t="s">
        <v>541</v>
      </c>
      <c r="T138" s="400" t="s">
        <v>697</v>
      </c>
      <c r="U138" s="401">
        <v>12.5</v>
      </c>
      <c r="V138" s="401">
        <v>12.5</v>
      </c>
      <c r="W138" s="401">
        <v>12.5</v>
      </c>
      <c r="X138" s="401">
        <v>12.5</v>
      </c>
      <c r="Y138" s="401">
        <v>12.5</v>
      </c>
      <c r="Z138" s="401">
        <v>12.5</v>
      </c>
    </row>
    <row r="139" spans="1:27" ht="34.799999999999997" thickBot="1">
      <c r="A139" s="88" t="str">
        <v>All movements</v>
      </c>
      <c r="B139" s="24">
        <v>13</v>
      </c>
      <c r="C139" s="96">
        <f t="shared" si="1"/>
        <v>12500000</v>
      </c>
      <c r="D139" s="96">
        <f t="shared" si="0"/>
        <v>12600000</v>
      </c>
      <c r="E139" s="96">
        <f t="shared" si="0"/>
        <v>13300000</v>
      </c>
      <c r="F139" s="96">
        <f t="shared" si="0"/>
        <v>13200000</v>
      </c>
      <c r="G139" s="96">
        <f t="shared" si="0"/>
        <v>12900000</v>
      </c>
      <c r="H139" s="96">
        <f t="shared" si="0"/>
        <v>12900000</v>
      </c>
      <c r="K139" s="88" t="s">
        <v>439</v>
      </c>
      <c r="L139" s="24">
        <v>13</v>
      </c>
      <c r="S139" s="400" t="s">
        <v>439</v>
      </c>
      <c r="T139" s="400"/>
      <c r="U139" s="401">
        <v>12.5</v>
      </c>
      <c r="V139" s="401">
        <v>12.6</v>
      </c>
      <c r="W139" s="401">
        <v>13.3</v>
      </c>
      <c r="X139" s="401">
        <v>13.2</v>
      </c>
      <c r="Y139" s="401">
        <v>12.9</v>
      </c>
      <c r="Z139" s="401">
        <v>12.9</v>
      </c>
    </row>
    <row r="140" spans="1:27" ht="13.8">
      <c r="A140" s="94"/>
      <c r="B140" s="24">
        <v>14</v>
      </c>
      <c r="S140" s="158"/>
      <c r="T140" s="158"/>
      <c r="U140" s="158"/>
      <c r="V140" s="158"/>
      <c r="W140" s="158"/>
      <c r="X140" s="158"/>
      <c r="Y140" s="158"/>
      <c r="Z140" s="158"/>
    </row>
    <row r="141" spans="1:27" ht="13.8" thickBot="1">
      <c r="A141" s="91" t="s">
        <v>542</v>
      </c>
      <c r="B141" s="395" t="str">
        <f>S141</f>
        <v>Table A29: Cost per crash by movement and vehicle involvement for serious injury crashes in 30 to 50km/h speed limit areas</v>
      </c>
      <c r="S141" s="664" t="s">
        <v>850</v>
      </c>
      <c r="T141" s="664"/>
      <c r="U141" s="664"/>
      <c r="V141" s="664"/>
      <c r="W141" s="664"/>
      <c r="X141" s="664"/>
      <c r="Y141" s="664"/>
      <c r="Z141" s="664"/>
      <c r="AA141" s="397"/>
    </row>
    <row r="142" spans="1:27" ht="34.200000000000003" customHeight="1" thickBot="1">
      <c r="A142" s="666" t="str">
        <f>S142</f>
        <v>30 to 50km/h speed limit areas serious injury crashes</v>
      </c>
      <c r="B142" s="668"/>
      <c r="C142" s="666" t="s">
        <v>846</v>
      </c>
      <c r="D142" s="667"/>
      <c r="E142" s="667"/>
      <c r="F142" s="667"/>
      <c r="G142" s="667"/>
      <c r="H142" s="668"/>
      <c r="S142" s="665" t="s">
        <v>851</v>
      </c>
      <c r="T142" s="665"/>
      <c r="U142" s="665" t="s">
        <v>852</v>
      </c>
      <c r="V142" s="665"/>
      <c r="W142" s="665"/>
      <c r="X142" s="665"/>
      <c r="Y142" s="665"/>
      <c r="Z142" s="665"/>
      <c r="AA142" s="665"/>
    </row>
    <row r="143" spans="1:27" ht="40.200000000000003" thickBot="1">
      <c r="A143" s="392" t="str" cm="1">
        <f t="array" ref="A143:I143">S143:AA143</f>
        <v>Movement category</v>
      </c>
      <c r="B143" s="389" t="str">
        <v>CAS movement codes</v>
      </c>
      <c r="C143" s="389" t="str">
        <v>Cycle</v>
      </c>
      <c r="D143" s="389" t="str">
        <v>Motorcycle</v>
      </c>
      <c r="E143" s="389" t="str">
        <v>Bus</v>
      </c>
      <c r="F143" s="389" t="str">
        <v>Truck</v>
      </c>
      <c r="G143" s="389" t="str">
        <v>Car, van and other</v>
      </c>
      <c r="H143" s="389" t="str">
        <v>All vehicles</v>
      </c>
      <c r="I143" s="24">
        <v>0</v>
      </c>
      <c r="S143" s="398" t="s">
        <v>409</v>
      </c>
      <c r="T143" s="398" t="s">
        <v>479</v>
      </c>
      <c r="U143" s="399" t="s">
        <v>687</v>
      </c>
      <c r="V143" s="399" t="s">
        <v>688</v>
      </c>
      <c r="W143" s="399" t="s">
        <v>529</v>
      </c>
      <c r="X143" s="399" t="s">
        <v>530</v>
      </c>
      <c r="Y143" s="399" t="s">
        <v>689</v>
      </c>
      <c r="Z143" s="663" t="s">
        <v>412</v>
      </c>
      <c r="AA143" s="663"/>
    </row>
    <row r="144" spans="1:27" ht="13.8" thickBot="1">
      <c r="A144" s="88" t="str" cm="1">
        <f t="array" ref="A144:A156">S144:S156</f>
        <v>Head on</v>
      </c>
      <c r="B144" s="24">
        <v>1</v>
      </c>
      <c r="C144" s="96">
        <f>U144*1000</f>
        <v>660000</v>
      </c>
      <c r="D144" s="96">
        <f t="shared" ref="D144:H156" si="2">V144*1000</f>
        <v>690000</v>
      </c>
      <c r="E144" s="96">
        <f t="shared" si="2"/>
        <v>880000</v>
      </c>
      <c r="F144" s="96">
        <f t="shared" si="2"/>
        <v>880000</v>
      </c>
      <c r="G144" s="96">
        <f t="shared" si="2"/>
        <v>930000</v>
      </c>
      <c r="H144" s="96">
        <f t="shared" si="2"/>
        <v>910000</v>
      </c>
      <c r="S144" s="400" t="s">
        <v>531</v>
      </c>
      <c r="T144" s="400" t="s">
        <v>690</v>
      </c>
      <c r="U144" s="402">
        <v>660</v>
      </c>
      <c r="V144" s="402">
        <v>690</v>
      </c>
      <c r="W144" s="402">
        <v>880</v>
      </c>
      <c r="X144" s="402">
        <v>880</v>
      </c>
      <c r="Y144" s="402">
        <v>930</v>
      </c>
      <c r="Z144" s="662">
        <v>910</v>
      </c>
      <c r="AA144" s="662"/>
    </row>
    <row r="145" spans="1:27" ht="13.8" thickBot="1">
      <c r="A145" s="88" t="str">
        <v>Hit object</v>
      </c>
      <c r="B145" s="24">
        <v>2</v>
      </c>
      <c r="C145" s="96">
        <f t="shared" ref="C145:C155" si="3">U145*1000</f>
        <v>660000</v>
      </c>
      <c r="D145" s="96">
        <f t="shared" si="2"/>
        <v>710000</v>
      </c>
      <c r="E145" s="96">
        <f t="shared" si="2"/>
        <v>900000</v>
      </c>
      <c r="F145" s="96">
        <f t="shared" si="2"/>
        <v>780000</v>
      </c>
      <c r="G145" s="96">
        <f t="shared" si="2"/>
        <v>710000</v>
      </c>
      <c r="H145" s="96">
        <f t="shared" si="2"/>
        <v>720000</v>
      </c>
      <c r="J145" s="95">
        <f ca="1">IF(I129=0,0,OFFSET(B143,$J$127,$M$127))</f>
        <v>0</v>
      </c>
      <c r="S145" s="400" t="s">
        <v>532</v>
      </c>
      <c r="T145" s="400" t="s">
        <v>446</v>
      </c>
      <c r="U145" s="402">
        <v>660</v>
      </c>
      <c r="V145" s="402">
        <v>710</v>
      </c>
      <c r="W145" s="402">
        <v>900</v>
      </c>
      <c r="X145" s="402">
        <v>780</v>
      </c>
      <c r="Y145" s="402">
        <v>710</v>
      </c>
      <c r="Z145" s="662">
        <v>720</v>
      </c>
      <c r="AA145" s="662"/>
    </row>
    <row r="146" spans="1:27" ht="40.200000000000003" thickBot="1">
      <c r="A146" s="88" t="str">
        <v>Lost control off road</v>
      </c>
      <c r="B146" s="24">
        <v>3</v>
      </c>
      <c r="C146" s="96">
        <f t="shared" si="3"/>
        <v>660000</v>
      </c>
      <c r="D146" s="96">
        <f t="shared" si="2"/>
        <v>680000</v>
      </c>
      <c r="E146" s="96">
        <f t="shared" si="2"/>
        <v>810000</v>
      </c>
      <c r="F146" s="96">
        <f t="shared" si="2"/>
        <v>770000</v>
      </c>
      <c r="G146" s="96">
        <f t="shared" si="2"/>
        <v>770000</v>
      </c>
      <c r="H146" s="96">
        <f t="shared" si="2"/>
        <v>760000</v>
      </c>
      <c r="S146" s="400" t="s">
        <v>410</v>
      </c>
      <c r="T146" s="400" t="s">
        <v>691</v>
      </c>
      <c r="U146" s="402">
        <v>660</v>
      </c>
      <c r="V146" s="402">
        <v>680</v>
      </c>
      <c r="W146" s="402">
        <v>810</v>
      </c>
      <c r="X146" s="402">
        <v>770</v>
      </c>
      <c r="Y146" s="402">
        <v>770</v>
      </c>
      <c r="Z146" s="662">
        <v>760</v>
      </c>
      <c r="AA146" s="662"/>
    </row>
    <row r="147" spans="1:27" ht="40.200000000000003" thickBot="1">
      <c r="A147" s="88" t="str">
        <v>Lost control on road</v>
      </c>
      <c r="B147" s="24">
        <v>4</v>
      </c>
      <c r="C147" s="96">
        <f t="shared" si="3"/>
        <v>660000</v>
      </c>
      <c r="D147" s="96">
        <f t="shared" si="2"/>
        <v>680000</v>
      </c>
      <c r="E147" s="96">
        <f t="shared" si="2"/>
        <v>760000</v>
      </c>
      <c r="F147" s="96">
        <f t="shared" si="2"/>
        <v>760000</v>
      </c>
      <c r="G147" s="96">
        <f t="shared" si="2"/>
        <v>790000</v>
      </c>
      <c r="H147" s="96">
        <f t="shared" si="2"/>
        <v>780000</v>
      </c>
      <c r="S147" s="400" t="s">
        <v>533</v>
      </c>
      <c r="T147" s="400" t="s">
        <v>489</v>
      </c>
      <c r="U147" s="402">
        <v>660</v>
      </c>
      <c r="V147" s="402">
        <v>680</v>
      </c>
      <c r="W147" s="402">
        <v>760</v>
      </c>
      <c r="X147" s="402">
        <v>760</v>
      </c>
      <c r="Y147" s="402">
        <v>790</v>
      </c>
      <c r="Z147" s="662">
        <v>780</v>
      </c>
      <c r="AA147" s="662"/>
    </row>
    <row r="148" spans="1:27" ht="27" thickBot="1">
      <c r="A148" s="88" t="str">
        <v>Miscellaneous</v>
      </c>
      <c r="B148" s="24">
        <v>5</v>
      </c>
      <c r="C148" s="96">
        <f t="shared" si="3"/>
        <v>670000</v>
      </c>
      <c r="D148" s="96">
        <f t="shared" si="2"/>
        <v>690000</v>
      </c>
      <c r="E148" s="96">
        <f t="shared" si="2"/>
        <v>810000</v>
      </c>
      <c r="F148" s="96">
        <f t="shared" si="2"/>
        <v>760000</v>
      </c>
      <c r="G148" s="96">
        <f t="shared" si="2"/>
        <v>780000</v>
      </c>
      <c r="H148" s="96">
        <f t="shared" si="2"/>
        <v>770000</v>
      </c>
      <c r="S148" s="400" t="s">
        <v>534</v>
      </c>
      <c r="T148" s="400" t="s">
        <v>491</v>
      </c>
      <c r="U148" s="402">
        <v>670</v>
      </c>
      <c r="V148" s="402">
        <v>690</v>
      </c>
      <c r="W148" s="402">
        <v>810</v>
      </c>
      <c r="X148" s="402">
        <v>760</v>
      </c>
      <c r="Y148" s="402">
        <v>780</v>
      </c>
      <c r="Z148" s="662">
        <v>770</v>
      </c>
      <c r="AA148" s="662"/>
    </row>
    <row r="149" spans="1:27" ht="40.200000000000003" thickBot="1">
      <c r="A149" s="88" t="str">
        <v>Overtaking</v>
      </c>
      <c r="B149" s="24">
        <v>6</v>
      </c>
      <c r="C149" s="96">
        <f t="shared" si="3"/>
        <v>650000</v>
      </c>
      <c r="D149" s="96">
        <f t="shared" si="2"/>
        <v>650000</v>
      </c>
      <c r="E149" s="96">
        <f t="shared" si="2"/>
        <v>880000</v>
      </c>
      <c r="F149" s="96">
        <f t="shared" si="2"/>
        <v>880000</v>
      </c>
      <c r="G149" s="96">
        <f t="shared" si="2"/>
        <v>810000</v>
      </c>
      <c r="H149" s="96">
        <f t="shared" si="2"/>
        <v>800000</v>
      </c>
      <c r="S149" s="400" t="s">
        <v>536</v>
      </c>
      <c r="T149" s="400" t="s">
        <v>692</v>
      </c>
      <c r="U149" s="402">
        <v>650</v>
      </c>
      <c r="V149" s="402">
        <v>650</v>
      </c>
      <c r="W149" s="402">
        <v>880</v>
      </c>
      <c r="X149" s="402">
        <v>880</v>
      </c>
      <c r="Y149" s="402">
        <v>810</v>
      </c>
      <c r="Z149" s="662">
        <v>800</v>
      </c>
      <c r="AA149" s="662"/>
    </row>
    <row r="150" spans="1:27" ht="13.8" thickBot="1">
      <c r="A150" s="88" t="str">
        <v>Pedestrian</v>
      </c>
      <c r="B150" s="24">
        <v>7</v>
      </c>
      <c r="C150" s="96">
        <f t="shared" si="3"/>
        <v>690000</v>
      </c>
      <c r="D150" s="96">
        <f t="shared" si="2"/>
        <v>780000</v>
      </c>
      <c r="E150" s="96">
        <f t="shared" si="2"/>
        <v>730000</v>
      </c>
      <c r="F150" s="96">
        <f t="shared" si="2"/>
        <v>730000</v>
      </c>
      <c r="G150" s="96">
        <f t="shared" si="2"/>
        <v>700000</v>
      </c>
      <c r="H150" s="96">
        <f t="shared" si="2"/>
        <v>710000</v>
      </c>
      <c r="S150" s="400" t="s">
        <v>422</v>
      </c>
      <c r="T150" s="400" t="s">
        <v>693</v>
      </c>
      <c r="U150" s="402">
        <v>690</v>
      </c>
      <c r="V150" s="402">
        <v>780</v>
      </c>
      <c r="W150" s="402">
        <v>730</v>
      </c>
      <c r="X150" s="402">
        <v>730</v>
      </c>
      <c r="Y150" s="402">
        <v>700</v>
      </c>
      <c r="Z150" s="662">
        <v>710</v>
      </c>
      <c r="AA150" s="662"/>
    </row>
    <row r="151" spans="1:27" ht="27" thickBot="1">
      <c r="A151" s="88" t="str">
        <v>Rear end, crossing</v>
      </c>
      <c r="B151" s="24">
        <v>8</v>
      </c>
      <c r="C151" s="96">
        <f t="shared" si="3"/>
        <v>660000</v>
      </c>
      <c r="D151" s="96">
        <f t="shared" si="2"/>
        <v>670000</v>
      </c>
      <c r="E151" s="96">
        <f t="shared" si="2"/>
        <v>690000</v>
      </c>
      <c r="F151" s="96">
        <f t="shared" si="2"/>
        <v>680000</v>
      </c>
      <c r="G151" s="96">
        <f t="shared" si="2"/>
        <v>830000</v>
      </c>
      <c r="H151" s="96">
        <f t="shared" si="2"/>
        <v>800000</v>
      </c>
      <c r="S151" s="400" t="s">
        <v>537</v>
      </c>
      <c r="T151" s="400" t="s">
        <v>694</v>
      </c>
      <c r="U151" s="402">
        <v>660</v>
      </c>
      <c r="V151" s="402">
        <v>670</v>
      </c>
      <c r="W151" s="402">
        <v>690</v>
      </c>
      <c r="X151" s="402">
        <v>680</v>
      </c>
      <c r="Y151" s="402">
        <v>830</v>
      </c>
      <c r="Z151" s="662">
        <v>800</v>
      </c>
      <c r="AA151" s="662"/>
    </row>
    <row r="152" spans="1:27" ht="27" thickBot="1">
      <c r="A152" s="88" t="str">
        <v>Rear end, queuing</v>
      </c>
      <c r="B152" s="24">
        <v>9</v>
      </c>
      <c r="C152" s="96">
        <f t="shared" si="3"/>
        <v>660000</v>
      </c>
      <c r="D152" s="96">
        <f t="shared" si="2"/>
        <v>670000</v>
      </c>
      <c r="E152" s="96">
        <f t="shared" si="2"/>
        <v>740000</v>
      </c>
      <c r="F152" s="96">
        <f t="shared" si="2"/>
        <v>700000</v>
      </c>
      <c r="G152" s="96">
        <f t="shared" si="2"/>
        <v>730000</v>
      </c>
      <c r="H152" s="96">
        <f t="shared" si="2"/>
        <v>720000</v>
      </c>
      <c r="S152" s="400" t="s">
        <v>538</v>
      </c>
      <c r="T152" s="400" t="s">
        <v>695</v>
      </c>
      <c r="U152" s="402">
        <v>660</v>
      </c>
      <c r="V152" s="402">
        <v>670</v>
      </c>
      <c r="W152" s="402">
        <v>740</v>
      </c>
      <c r="X152" s="402">
        <v>700</v>
      </c>
      <c r="Y152" s="402">
        <v>730</v>
      </c>
      <c r="Z152" s="662">
        <v>720</v>
      </c>
      <c r="AA152" s="662"/>
    </row>
    <row r="153" spans="1:27" ht="40.200000000000003" thickBot="1">
      <c r="A153" s="88" t="str">
        <v>Rear end, slow vehicle</v>
      </c>
      <c r="B153" s="24">
        <v>10</v>
      </c>
      <c r="C153" s="96">
        <f t="shared" si="3"/>
        <v>660000</v>
      </c>
      <c r="D153" s="96">
        <f t="shared" si="2"/>
        <v>690000</v>
      </c>
      <c r="E153" s="96">
        <f t="shared" si="2"/>
        <v>810000</v>
      </c>
      <c r="F153" s="96">
        <f t="shared" si="2"/>
        <v>680000</v>
      </c>
      <c r="G153" s="96">
        <f t="shared" si="2"/>
        <v>770000</v>
      </c>
      <c r="H153" s="96">
        <f t="shared" si="2"/>
        <v>760000</v>
      </c>
      <c r="S153" s="400" t="s">
        <v>539</v>
      </c>
      <c r="T153" s="400" t="s">
        <v>696</v>
      </c>
      <c r="U153" s="402">
        <v>660</v>
      </c>
      <c r="V153" s="402">
        <v>690</v>
      </c>
      <c r="W153" s="402">
        <v>810</v>
      </c>
      <c r="X153" s="402">
        <v>680</v>
      </c>
      <c r="Y153" s="402">
        <v>770</v>
      </c>
      <c r="Z153" s="662">
        <v>760</v>
      </c>
      <c r="AA153" s="662"/>
    </row>
    <row r="154" spans="1:27" ht="27" thickBot="1">
      <c r="A154" s="88" t="str">
        <v>Crossing, direct</v>
      </c>
      <c r="B154" s="24">
        <v>11</v>
      </c>
      <c r="C154" s="96">
        <f t="shared" si="3"/>
        <v>680000</v>
      </c>
      <c r="D154" s="96">
        <f t="shared" si="2"/>
        <v>680000</v>
      </c>
      <c r="E154" s="96">
        <f t="shared" si="2"/>
        <v>990000</v>
      </c>
      <c r="F154" s="96">
        <f t="shared" si="2"/>
        <v>800000</v>
      </c>
      <c r="G154" s="96">
        <f t="shared" si="2"/>
        <v>780000</v>
      </c>
      <c r="H154" s="96">
        <f t="shared" si="2"/>
        <v>780000</v>
      </c>
      <c r="S154" s="400" t="s">
        <v>540</v>
      </c>
      <c r="T154" s="400" t="s">
        <v>522</v>
      </c>
      <c r="U154" s="402">
        <v>680</v>
      </c>
      <c r="V154" s="402">
        <v>680</v>
      </c>
      <c r="W154" s="402">
        <v>990</v>
      </c>
      <c r="X154" s="402">
        <v>800</v>
      </c>
      <c r="Y154" s="402">
        <v>780</v>
      </c>
      <c r="Z154" s="662">
        <v>780</v>
      </c>
      <c r="AA154" s="662"/>
    </row>
    <row r="155" spans="1:27" ht="27" thickBot="1">
      <c r="A155" s="88" t="str">
        <v>Crossing, turning</v>
      </c>
      <c r="B155" s="24">
        <v>12</v>
      </c>
      <c r="C155" s="96">
        <f t="shared" si="3"/>
        <v>670000</v>
      </c>
      <c r="D155" s="96">
        <f t="shared" si="2"/>
        <v>670000</v>
      </c>
      <c r="E155" s="96">
        <f t="shared" si="2"/>
        <v>800000</v>
      </c>
      <c r="F155" s="96">
        <f t="shared" si="2"/>
        <v>680000</v>
      </c>
      <c r="G155" s="96">
        <f t="shared" si="2"/>
        <v>760000</v>
      </c>
      <c r="H155" s="96">
        <f t="shared" si="2"/>
        <v>750000</v>
      </c>
      <c r="S155" s="400" t="s">
        <v>541</v>
      </c>
      <c r="T155" s="400" t="s">
        <v>697</v>
      </c>
      <c r="U155" s="402">
        <v>670</v>
      </c>
      <c r="V155" s="402">
        <v>670</v>
      </c>
      <c r="W155" s="402">
        <v>800</v>
      </c>
      <c r="X155" s="402">
        <v>680</v>
      </c>
      <c r="Y155" s="402">
        <v>760</v>
      </c>
      <c r="Z155" s="662">
        <v>750</v>
      </c>
      <c r="AA155" s="662"/>
    </row>
    <row r="156" spans="1:27" ht="34.799999999999997" thickBot="1">
      <c r="A156" s="88" t="str">
        <v>All movements</v>
      </c>
      <c r="B156" s="24">
        <v>13</v>
      </c>
      <c r="C156" s="96">
        <f>U156*1000</f>
        <v>670000</v>
      </c>
      <c r="D156" s="96">
        <f t="shared" si="2"/>
        <v>690000</v>
      </c>
      <c r="E156" s="96">
        <f t="shared" si="2"/>
        <v>810000</v>
      </c>
      <c r="F156" s="96">
        <f t="shared" si="2"/>
        <v>760000</v>
      </c>
      <c r="G156" s="96">
        <f t="shared" si="2"/>
        <v>780000</v>
      </c>
      <c r="H156" s="96">
        <f>Z156*1000</f>
        <v>770000</v>
      </c>
      <c r="S156" s="400" t="s">
        <v>439</v>
      </c>
      <c r="T156" s="400"/>
      <c r="U156" s="402">
        <v>670</v>
      </c>
      <c r="V156" s="402">
        <v>690</v>
      </c>
      <c r="W156" s="402">
        <v>810</v>
      </c>
      <c r="X156" s="402">
        <v>760</v>
      </c>
      <c r="Y156" s="402">
        <v>780</v>
      </c>
      <c r="Z156" s="662">
        <v>770</v>
      </c>
      <c r="AA156" s="662"/>
    </row>
    <row r="157" spans="1:27" ht="19.8">
      <c r="A157" s="92"/>
      <c r="B157" s="24">
        <v>14</v>
      </c>
      <c r="S157" s="158"/>
      <c r="T157" s="158"/>
      <c r="U157" s="158"/>
      <c r="V157" s="158"/>
      <c r="W157" s="158"/>
      <c r="X157" s="158"/>
      <c r="Y157" s="158"/>
      <c r="Z157" s="158"/>
    </row>
    <row r="158" spans="1:27" ht="20.399999999999999" thickBot="1">
      <c r="A158" s="92" t="s">
        <v>477</v>
      </c>
      <c r="B158" s="92"/>
      <c r="S158" s="118" t="s">
        <v>853</v>
      </c>
      <c r="T158"/>
      <c r="U158"/>
      <c r="V158"/>
      <c r="W158"/>
      <c r="X158"/>
      <c r="Y158"/>
      <c r="Z158"/>
    </row>
    <row r="159" spans="1:27" ht="83.4" thickBot="1">
      <c r="A159" s="91" t="s">
        <v>543</v>
      </c>
      <c r="B159" s="395" t="str">
        <f>S158</f>
        <v>Table A30: Cost per crash by movement and vehicle involvement for minor injury crashes in 30 to 50km/h speed limit areas</v>
      </c>
      <c r="S159" s="163" t="s">
        <v>854</v>
      </c>
      <c r="T159" s="163"/>
      <c r="U159" s="163" t="s">
        <v>698</v>
      </c>
      <c r="V159" s="163"/>
      <c r="W159" s="163"/>
      <c r="X159" s="163"/>
      <c r="Y159" s="163"/>
      <c r="Z159" s="163"/>
    </row>
    <row r="160" spans="1:27" ht="22.95" customHeight="1" thickBot="1">
      <c r="A160" s="669" t="str">
        <f>S159</f>
        <v xml:space="preserve">30 to 50km/h speed limit </v>
      </c>
      <c r="B160" s="670"/>
      <c r="C160" s="669" t="s">
        <v>846</v>
      </c>
      <c r="D160" s="671"/>
      <c r="E160" s="671"/>
      <c r="F160" s="671"/>
      <c r="G160" s="671"/>
      <c r="H160" s="670"/>
      <c r="S160" s="387" t="s">
        <v>699</v>
      </c>
      <c r="T160" s="387"/>
      <c r="U160" s="387"/>
      <c r="V160" s="387"/>
      <c r="W160" s="387"/>
      <c r="X160" s="387"/>
      <c r="Y160" s="387"/>
      <c r="Z160" s="387"/>
    </row>
    <row r="161" spans="1:26" ht="22.95" customHeight="1" thickBot="1">
      <c r="A161" s="672" t="s">
        <v>544</v>
      </c>
      <c r="B161" s="674"/>
      <c r="C161" s="672"/>
      <c r="D161" s="673"/>
      <c r="E161" s="673"/>
      <c r="F161" s="673"/>
      <c r="G161" s="673"/>
      <c r="H161" s="674"/>
      <c r="S161" s="386" t="s">
        <v>409</v>
      </c>
      <c r="T161" s="386" t="s">
        <v>479</v>
      </c>
      <c r="U161" s="386" t="s">
        <v>687</v>
      </c>
      <c r="V161" s="386" t="s">
        <v>688</v>
      </c>
      <c r="W161" s="386" t="s">
        <v>529</v>
      </c>
      <c r="X161" s="386" t="s">
        <v>530</v>
      </c>
      <c r="Y161" s="386" t="s">
        <v>689</v>
      </c>
      <c r="Z161" s="386" t="s">
        <v>412</v>
      </c>
    </row>
    <row r="162" spans="1:26" ht="35.4" thickBot="1">
      <c r="A162" s="392" t="str" cm="1">
        <f t="array" ref="A162:H162">S161:Z161</f>
        <v>Movement category</v>
      </c>
      <c r="B162" s="389" t="str">
        <v>CAS movement codes</v>
      </c>
      <c r="C162" s="389" t="str">
        <v>Cycle</v>
      </c>
      <c r="D162" s="389" t="str">
        <v>Motorcycle</v>
      </c>
      <c r="E162" s="389" t="str">
        <v>Bus</v>
      </c>
      <c r="F162" s="389" t="str">
        <v>Truck</v>
      </c>
      <c r="G162" s="389" t="str">
        <v>Car, van and other</v>
      </c>
      <c r="H162" s="389" t="str">
        <v>All vehicles</v>
      </c>
      <c r="S162" s="119" t="s">
        <v>531</v>
      </c>
      <c r="T162" s="119" t="s">
        <v>690</v>
      </c>
      <c r="U162" s="159">
        <v>68</v>
      </c>
      <c r="V162" s="159">
        <v>72</v>
      </c>
      <c r="W162" s="159">
        <v>82</v>
      </c>
      <c r="X162" s="159">
        <v>82</v>
      </c>
      <c r="Y162" s="159">
        <v>104</v>
      </c>
      <c r="Z162" s="159">
        <v>100</v>
      </c>
    </row>
    <row r="163" spans="1:26" ht="14.4" thickBot="1">
      <c r="A163" s="88" t="str" cm="1">
        <f t="array" ref="A163:A175">S162:S174</f>
        <v>Head on</v>
      </c>
      <c r="B163" s="24">
        <v>1</v>
      </c>
      <c r="C163" s="96">
        <f>U162*1000</f>
        <v>68000</v>
      </c>
      <c r="D163" s="96">
        <f t="shared" ref="D163:H175" si="4">V162*1000</f>
        <v>72000</v>
      </c>
      <c r="E163" s="96">
        <f t="shared" si="4"/>
        <v>82000</v>
      </c>
      <c r="F163" s="96">
        <f t="shared" si="4"/>
        <v>82000</v>
      </c>
      <c r="G163" s="96">
        <f t="shared" si="4"/>
        <v>104000</v>
      </c>
      <c r="H163" s="96">
        <f t="shared" si="4"/>
        <v>100000</v>
      </c>
      <c r="S163" s="119" t="s">
        <v>532</v>
      </c>
      <c r="T163" s="119" t="s">
        <v>446</v>
      </c>
      <c r="U163" s="159">
        <v>68</v>
      </c>
      <c r="V163" s="159">
        <v>68</v>
      </c>
      <c r="W163" s="159">
        <v>84</v>
      </c>
      <c r="X163" s="159">
        <v>79</v>
      </c>
      <c r="Y163" s="159">
        <v>75</v>
      </c>
      <c r="Z163" s="159">
        <v>75</v>
      </c>
    </row>
    <row r="164" spans="1:26" ht="42" thickBot="1">
      <c r="A164" s="88" t="str">
        <v>Hit object</v>
      </c>
      <c r="B164" s="24">
        <v>2</v>
      </c>
      <c r="C164" s="96">
        <f t="shared" ref="C164:C175" si="5">U163*1000</f>
        <v>68000</v>
      </c>
      <c r="D164" s="96">
        <f t="shared" si="4"/>
        <v>68000</v>
      </c>
      <c r="E164" s="96">
        <f t="shared" si="4"/>
        <v>84000</v>
      </c>
      <c r="F164" s="96">
        <f t="shared" si="4"/>
        <v>79000</v>
      </c>
      <c r="G164" s="96">
        <f t="shared" si="4"/>
        <v>75000</v>
      </c>
      <c r="H164" s="96">
        <f t="shared" si="4"/>
        <v>75000</v>
      </c>
      <c r="J164" s="95">
        <f ca="1">IF(I129=0,0,OFFSET(B162,$J$127,$M$127))</f>
        <v>0</v>
      </c>
      <c r="S164" s="119" t="s">
        <v>410</v>
      </c>
      <c r="T164" s="119" t="s">
        <v>691</v>
      </c>
      <c r="U164" s="159">
        <v>69</v>
      </c>
      <c r="V164" s="159">
        <v>69</v>
      </c>
      <c r="W164" s="159">
        <v>87</v>
      </c>
      <c r="X164" s="159">
        <v>75</v>
      </c>
      <c r="Y164" s="159">
        <v>79</v>
      </c>
      <c r="Z164" s="159">
        <v>78</v>
      </c>
    </row>
    <row r="165" spans="1:26" ht="42" thickBot="1">
      <c r="A165" s="88" t="str">
        <v>Lost control off road</v>
      </c>
      <c r="B165" s="24">
        <v>3</v>
      </c>
      <c r="C165" s="96">
        <f t="shared" si="5"/>
        <v>69000</v>
      </c>
      <c r="D165" s="96">
        <f t="shared" si="4"/>
        <v>69000</v>
      </c>
      <c r="E165" s="96">
        <f t="shared" si="4"/>
        <v>87000</v>
      </c>
      <c r="F165" s="96">
        <f t="shared" si="4"/>
        <v>75000</v>
      </c>
      <c r="G165" s="96">
        <f t="shared" si="4"/>
        <v>79000</v>
      </c>
      <c r="H165" s="96">
        <f t="shared" si="4"/>
        <v>78000</v>
      </c>
      <c r="S165" s="119" t="s">
        <v>533</v>
      </c>
      <c r="T165" s="119" t="s">
        <v>489</v>
      </c>
      <c r="U165" s="159">
        <v>68</v>
      </c>
      <c r="V165" s="159">
        <v>69</v>
      </c>
      <c r="W165" s="159">
        <v>78</v>
      </c>
      <c r="X165" s="159">
        <v>78</v>
      </c>
      <c r="Y165" s="159">
        <v>71</v>
      </c>
      <c r="Z165" s="159">
        <v>71</v>
      </c>
    </row>
    <row r="166" spans="1:26" ht="34.799999999999997" thickBot="1">
      <c r="A166" s="88" t="str">
        <v>Lost control on road</v>
      </c>
      <c r="B166" s="24">
        <v>4</v>
      </c>
      <c r="C166" s="96">
        <f t="shared" si="5"/>
        <v>68000</v>
      </c>
      <c r="D166" s="96">
        <f t="shared" si="4"/>
        <v>69000</v>
      </c>
      <c r="E166" s="96">
        <f t="shared" si="4"/>
        <v>78000</v>
      </c>
      <c r="F166" s="96">
        <f t="shared" si="4"/>
        <v>78000</v>
      </c>
      <c r="G166" s="96">
        <f t="shared" si="4"/>
        <v>71000</v>
      </c>
      <c r="H166" s="96">
        <f t="shared" si="4"/>
        <v>71000</v>
      </c>
      <c r="S166" s="119" t="s">
        <v>534</v>
      </c>
      <c r="T166" s="119" t="s">
        <v>491</v>
      </c>
      <c r="U166" s="159">
        <v>71</v>
      </c>
      <c r="V166" s="159">
        <v>73</v>
      </c>
      <c r="W166" s="159">
        <v>86</v>
      </c>
      <c r="X166" s="159">
        <v>79</v>
      </c>
      <c r="Y166" s="159">
        <v>84</v>
      </c>
      <c r="Z166" s="159">
        <v>83</v>
      </c>
    </row>
    <row r="167" spans="1:26" ht="42" thickBot="1">
      <c r="A167" s="88" t="str">
        <v>Miscellaneous</v>
      </c>
      <c r="B167" s="24">
        <v>5</v>
      </c>
      <c r="C167" s="96">
        <f t="shared" si="5"/>
        <v>71000</v>
      </c>
      <c r="D167" s="96">
        <f t="shared" si="4"/>
        <v>73000</v>
      </c>
      <c r="E167" s="96">
        <f t="shared" si="4"/>
        <v>86000</v>
      </c>
      <c r="F167" s="96">
        <f t="shared" si="4"/>
        <v>79000</v>
      </c>
      <c r="G167" s="96">
        <f t="shared" si="4"/>
        <v>84000</v>
      </c>
      <c r="H167" s="96">
        <f t="shared" si="4"/>
        <v>83000</v>
      </c>
      <c r="S167" s="119" t="s">
        <v>536</v>
      </c>
      <c r="T167" s="119" t="s">
        <v>692</v>
      </c>
      <c r="U167" s="159">
        <v>71</v>
      </c>
      <c r="V167" s="159">
        <v>72</v>
      </c>
      <c r="W167" s="159">
        <v>81</v>
      </c>
      <c r="X167" s="159">
        <v>77</v>
      </c>
      <c r="Y167" s="159">
        <v>83</v>
      </c>
      <c r="Z167" s="159">
        <v>82</v>
      </c>
    </row>
    <row r="168" spans="1:26" ht="28.2" thickBot="1">
      <c r="A168" s="88" t="str">
        <v>Overtaking</v>
      </c>
      <c r="B168" s="24">
        <v>6</v>
      </c>
      <c r="C168" s="96">
        <f t="shared" si="5"/>
        <v>71000</v>
      </c>
      <c r="D168" s="96">
        <f t="shared" si="4"/>
        <v>72000</v>
      </c>
      <c r="E168" s="96">
        <f t="shared" si="4"/>
        <v>81000</v>
      </c>
      <c r="F168" s="96">
        <f t="shared" si="4"/>
        <v>77000</v>
      </c>
      <c r="G168" s="96">
        <f t="shared" si="4"/>
        <v>83000</v>
      </c>
      <c r="H168" s="96">
        <f t="shared" si="4"/>
        <v>82000</v>
      </c>
      <c r="S168" s="119" t="s">
        <v>422</v>
      </c>
      <c r="T168" s="119" t="s">
        <v>693</v>
      </c>
      <c r="U168" s="159">
        <v>78</v>
      </c>
      <c r="V168" s="159">
        <v>98</v>
      </c>
      <c r="W168" s="159">
        <v>70</v>
      </c>
      <c r="X168" s="159">
        <v>70</v>
      </c>
      <c r="Y168" s="159">
        <v>72</v>
      </c>
      <c r="Z168" s="159">
        <v>73</v>
      </c>
    </row>
    <row r="169" spans="1:26" ht="28.2" thickBot="1">
      <c r="A169" s="88" t="str">
        <v>Pedestrian</v>
      </c>
      <c r="B169" s="24">
        <v>7</v>
      </c>
      <c r="C169" s="96">
        <f t="shared" si="5"/>
        <v>78000</v>
      </c>
      <c r="D169" s="96">
        <f t="shared" si="4"/>
        <v>98000</v>
      </c>
      <c r="E169" s="96">
        <f t="shared" si="4"/>
        <v>70000</v>
      </c>
      <c r="F169" s="96">
        <f t="shared" si="4"/>
        <v>70000</v>
      </c>
      <c r="G169" s="96">
        <f t="shared" si="4"/>
        <v>72000</v>
      </c>
      <c r="H169" s="96">
        <f t="shared" si="4"/>
        <v>73000</v>
      </c>
      <c r="S169" s="119" t="s">
        <v>537</v>
      </c>
      <c r="T169" s="119" t="s">
        <v>694</v>
      </c>
      <c r="U169" s="159">
        <v>70</v>
      </c>
      <c r="V169" s="159">
        <v>70</v>
      </c>
      <c r="W169" s="159">
        <v>87</v>
      </c>
      <c r="X169" s="159">
        <v>87</v>
      </c>
      <c r="Y169" s="159">
        <v>85</v>
      </c>
      <c r="Z169" s="159">
        <v>84</v>
      </c>
    </row>
    <row r="170" spans="1:26" ht="28.2" thickBot="1">
      <c r="A170" s="88" t="str">
        <v>Rear end, crossing</v>
      </c>
      <c r="B170" s="24">
        <v>8</v>
      </c>
      <c r="C170" s="96">
        <f t="shared" si="5"/>
        <v>70000</v>
      </c>
      <c r="D170" s="96">
        <f t="shared" si="4"/>
        <v>70000</v>
      </c>
      <c r="E170" s="96">
        <f t="shared" si="4"/>
        <v>87000</v>
      </c>
      <c r="F170" s="96">
        <f t="shared" si="4"/>
        <v>87000</v>
      </c>
      <c r="G170" s="96">
        <f t="shared" si="4"/>
        <v>85000</v>
      </c>
      <c r="H170" s="96">
        <f t="shared" si="4"/>
        <v>84000</v>
      </c>
      <c r="S170" s="119" t="s">
        <v>538</v>
      </c>
      <c r="T170" s="119" t="s">
        <v>695</v>
      </c>
      <c r="U170" s="159">
        <v>69</v>
      </c>
      <c r="V170" s="159">
        <v>69</v>
      </c>
      <c r="W170" s="159">
        <v>89</v>
      </c>
      <c r="X170" s="159">
        <v>81</v>
      </c>
      <c r="Y170" s="159">
        <v>86</v>
      </c>
      <c r="Z170" s="159">
        <v>84</v>
      </c>
    </row>
    <row r="171" spans="1:26" ht="42" thickBot="1">
      <c r="A171" s="88" t="str">
        <v>Rear end, queuing</v>
      </c>
      <c r="B171" s="24">
        <v>9</v>
      </c>
      <c r="C171" s="96">
        <f t="shared" si="5"/>
        <v>69000</v>
      </c>
      <c r="D171" s="96">
        <f t="shared" si="4"/>
        <v>69000</v>
      </c>
      <c r="E171" s="96">
        <f t="shared" si="4"/>
        <v>89000</v>
      </c>
      <c r="F171" s="96">
        <f t="shared" si="4"/>
        <v>81000</v>
      </c>
      <c r="G171" s="96">
        <f t="shared" si="4"/>
        <v>86000</v>
      </c>
      <c r="H171" s="96">
        <f t="shared" si="4"/>
        <v>84000</v>
      </c>
      <c r="S171" s="119" t="s">
        <v>539</v>
      </c>
      <c r="T171" s="119" t="s">
        <v>696</v>
      </c>
      <c r="U171" s="159">
        <v>70</v>
      </c>
      <c r="V171" s="159">
        <v>71</v>
      </c>
      <c r="W171" s="159">
        <v>103</v>
      </c>
      <c r="X171" s="159">
        <v>80</v>
      </c>
      <c r="Y171" s="159">
        <v>84</v>
      </c>
      <c r="Z171" s="159">
        <v>83</v>
      </c>
    </row>
    <row r="172" spans="1:26" ht="34.799999999999997" thickBot="1">
      <c r="A172" s="88" t="str">
        <v>Rear end, slow vehicle</v>
      </c>
      <c r="B172" s="24">
        <v>10</v>
      </c>
      <c r="C172" s="96">
        <f t="shared" si="5"/>
        <v>70000</v>
      </c>
      <c r="D172" s="96">
        <f t="shared" si="4"/>
        <v>71000</v>
      </c>
      <c r="E172" s="96">
        <f t="shared" si="4"/>
        <v>103000</v>
      </c>
      <c r="F172" s="96">
        <f t="shared" si="4"/>
        <v>80000</v>
      </c>
      <c r="G172" s="96">
        <f t="shared" si="4"/>
        <v>84000</v>
      </c>
      <c r="H172" s="96">
        <f t="shared" si="4"/>
        <v>83000</v>
      </c>
      <c r="S172" s="119" t="s">
        <v>540</v>
      </c>
      <c r="T172" s="119" t="s">
        <v>522</v>
      </c>
      <c r="U172" s="159">
        <v>70</v>
      </c>
      <c r="V172" s="159">
        <v>74</v>
      </c>
      <c r="W172" s="159">
        <v>102</v>
      </c>
      <c r="X172" s="159">
        <v>88</v>
      </c>
      <c r="Y172" s="159">
        <v>91</v>
      </c>
      <c r="Z172" s="159">
        <v>90</v>
      </c>
    </row>
    <row r="173" spans="1:26" ht="28.2" thickBot="1">
      <c r="A173" s="88" t="str">
        <v>Crossing, direct</v>
      </c>
      <c r="B173" s="24">
        <v>11</v>
      </c>
      <c r="C173" s="96">
        <f t="shared" si="5"/>
        <v>70000</v>
      </c>
      <c r="D173" s="96">
        <f t="shared" si="4"/>
        <v>74000</v>
      </c>
      <c r="E173" s="96">
        <f t="shared" si="4"/>
        <v>102000</v>
      </c>
      <c r="F173" s="96">
        <f t="shared" si="4"/>
        <v>88000</v>
      </c>
      <c r="G173" s="96">
        <f t="shared" si="4"/>
        <v>91000</v>
      </c>
      <c r="H173" s="96">
        <f t="shared" si="4"/>
        <v>90000</v>
      </c>
      <c r="S173" s="119" t="s">
        <v>541</v>
      </c>
      <c r="T173" s="119" t="s">
        <v>697</v>
      </c>
      <c r="U173" s="159">
        <v>70</v>
      </c>
      <c r="V173" s="159">
        <v>71</v>
      </c>
      <c r="W173" s="159">
        <v>87</v>
      </c>
      <c r="X173" s="159">
        <v>76</v>
      </c>
      <c r="Y173" s="159">
        <v>88</v>
      </c>
      <c r="Z173" s="159">
        <v>86</v>
      </c>
    </row>
    <row r="174" spans="1:26" ht="42" thickBot="1">
      <c r="A174" s="88" t="str">
        <v>Crossing, turning</v>
      </c>
      <c r="B174" s="24">
        <v>12</v>
      </c>
      <c r="C174" s="96">
        <f t="shared" si="5"/>
        <v>70000</v>
      </c>
      <c r="D174" s="96">
        <f t="shared" si="4"/>
        <v>71000</v>
      </c>
      <c r="E174" s="96">
        <f t="shared" si="4"/>
        <v>87000</v>
      </c>
      <c r="F174" s="96">
        <f t="shared" si="4"/>
        <v>76000</v>
      </c>
      <c r="G174" s="96">
        <f t="shared" si="4"/>
        <v>88000</v>
      </c>
      <c r="H174" s="96">
        <f t="shared" si="4"/>
        <v>86000</v>
      </c>
      <c r="S174" s="119" t="s">
        <v>439</v>
      </c>
      <c r="T174" s="119"/>
      <c r="U174" s="159">
        <v>71</v>
      </c>
      <c r="V174" s="159">
        <v>73</v>
      </c>
      <c r="W174" s="159">
        <v>86</v>
      </c>
      <c r="X174" s="159">
        <v>79</v>
      </c>
      <c r="Y174" s="159">
        <v>84</v>
      </c>
      <c r="Z174" s="159">
        <v>83</v>
      </c>
    </row>
    <row r="175" spans="1:26" ht="34.799999999999997" thickBot="1">
      <c r="A175" s="88" t="str">
        <v>All movements</v>
      </c>
      <c r="B175" s="24">
        <v>13</v>
      </c>
      <c r="C175" s="96">
        <f t="shared" si="5"/>
        <v>71000</v>
      </c>
      <c r="D175" s="96">
        <f t="shared" si="4"/>
        <v>73000</v>
      </c>
      <c r="E175" s="96">
        <f t="shared" si="4"/>
        <v>86000</v>
      </c>
      <c r="F175" s="96">
        <f t="shared" si="4"/>
        <v>79000</v>
      </c>
      <c r="G175" s="96">
        <f t="shared" si="4"/>
        <v>84000</v>
      </c>
      <c r="H175" s="96">
        <f t="shared" si="4"/>
        <v>83000</v>
      </c>
      <c r="S175" s="155"/>
      <c r="T175" s="155"/>
      <c r="U175" s="155"/>
      <c r="V175" s="155"/>
      <c r="W175" s="155"/>
      <c r="X175" s="155"/>
      <c r="Y175" s="155"/>
      <c r="Z175" s="155"/>
    </row>
    <row r="176" spans="1:26" ht="16.2" thickBot="1">
      <c r="A176" s="94"/>
      <c r="B176" s="24">
        <v>14</v>
      </c>
      <c r="S176" s="118" t="s">
        <v>855</v>
      </c>
      <c r="T176"/>
      <c r="U176"/>
      <c r="V176"/>
      <c r="W176"/>
      <c r="X176"/>
      <c r="Y176"/>
      <c r="Z176"/>
    </row>
    <row r="177" spans="1:26" ht="83.4" thickBot="1">
      <c r="A177" s="91" t="s">
        <v>545</v>
      </c>
      <c r="B177" s="395" t="str">
        <f>S176</f>
        <v xml:space="preserve">Table A31: Cost per crash by movement and vehicle involvement for non-injury crashes in 30 to 50km/h speed limit areas </v>
      </c>
      <c r="S177" s="160" t="s">
        <v>856</v>
      </c>
      <c r="T177" s="160"/>
      <c r="U177" s="160" t="s">
        <v>698</v>
      </c>
      <c r="V177" s="160"/>
      <c r="W177" s="160"/>
      <c r="X177" s="160"/>
      <c r="Y177" s="160"/>
      <c r="Z177" s="160"/>
    </row>
    <row r="178" spans="1:26" ht="34.200000000000003" customHeight="1" thickBot="1">
      <c r="A178" s="666" t="str">
        <f>S177</f>
        <v>30 to 50km/h speed limit areas non-injury crashes</v>
      </c>
      <c r="B178" s="668"/>
      <c r="C178" s="666" t="s">
        <v>846</v>
      </c>
      <c r="D178" s="667"/>
      <c r="E178" s="667"/>
      <c r="F178" s="667"/>
      <c r="G178" s="667"/>
      <c r="H178" s="668"/>
      <c r="S178" s="156" t="s">
        <v>409</v>
      </c>
      <c r="T178" s="156" t="s">
        <v>479</v>
      </c>
      <c r="U178" s="156" t="s">
        <v>687</v>
      </c>
      <c r="V178" s="156" t="s">
        <v>688</v>
      </c>
      <c r="W178" s="156" t="s">
        <v>529</v>
      </c>
      <c r="X178" s="156" t="s">
        <v>530</v>
      </c>
      <c r="Y178" s="156" t="s">
        <v>689</v>
      </c>
      <c r="Z178" s="156" t="s">
        <v>412</v>
      </c>
    </row>
    <row r="179" spans="1:26" ht="35.4" thickBot="1">
      <c r="A179" s="392" t="str" cm="1">
        <f t="array" ref="A179:H179">S178:Z178</f>
        <v>Movement category</v>
      </c>
      <c r="B179" s="389" t="str">
        <v>CAS movement codes</v>
      </c>
      <c r="C179" s="389" t="str">
        <v>Cycle</v>
      </c>
      <c r="D179" s="389" t="str">
        <v>Motorcycle</v>
      </c>
      <c r="E179" s="389" t="str">
        <v>Bus</v>
      </c>
      <c r="F179" s="389" t="str">
        <v>Truck</v>
      </c>
      <c r="G179" s="389" t="str">
        <v>Car, van and other</v>
      </c>
      <c r="H179" s="389" t="str">
        <v>All vehicles</v>
      </c>
      <c r="S179" s="119" t="s">
        <v>531</v>
      </c>
      <c r="T179" s="119" t="s">
        <v>690</v>
      </c>
      <c r="U179" s="161">
        <v>1</v>
      </c>
      <c r="V179" s="161">
        <v>2</v>
      </c>
      <c r="W179" s="161">
        <v>9</v>
      </c>
      <c r="X179" s="161">
        <v>9</v>
      </c>
      <c r="Y179" s="161">
        <v>3</v>
      </c>
      <c r="Z179" s="161">
        <v>4</v>
      </c>
    </row>
    <row r="180" spans="1:26" ht="14.4" thickBot="1">
      <c r="A180" s="88" t="str" cm="1">
        <f t="array" ref="A180:A192">S179:S191</f>
        <v>Head on</v>
      </c>
      <c r="B180" s="24">
        <v>1</v>
      </c>
      <c r="C180" s="96">
        <f>U179*1000</f>
        <v>1000</v>
      </c>
      <c r="D180" s="96">
        <f t="shared" ref="D180:H192" si="6">V179*1000</f>
        <v>2000</v>
      </c>
      <c r="E180" s="96">
        <f t="shared" si="6"/>
        <v>9000</v>
      </c>
      <c r="F180" s="96">
        <f t="shared" si="6"/>
        <v>9000</v>
      </c>
      <c r="G180" s="96">
        <f t="shared" si="6"/>
        <v>3000</v>
      </c>
      <c r="H180" s="96">
        <f t="shared" si="6"/>
        <v>4000</v>
      </c>
      <c r="S180" s="119" t="s">
        <v>532</v>
      </c>
      <c r="T180" s="119" t="s">
        <v>446</v>
      </c>
      <c r="U180" s="161">
        <v>1</v>
      </c>
      <c r="V180" s="161">
        <v>2</v>
      </c>
      <c r="W180" s="161">
        <v>9</v>
      </c>
      <c r="X180" s="161">
        <v>9</v>
      </c>
      <c r="Y180" s="161">
        <v>3</v>
      </c>
      <c r="Z180" s="161">
        <v>4</v>
      </c>
    </row>
    <row r="181" spans="1:26" ht="42" thickBot="1">
      <c r="A181" s="88" t="str">
        <v>Hit object</v>
      </c>
      <c r="B181" s="24">
        <v>2</v>
      </c>
      <c r="C181" s="96">
        <f t="shared" ref="C181:C192" si="7">U180*1000</f>
        <v>1000</v>
      </c>
      <c r="D181" s="96">
        <f t="shared" si="6"/>
        <v>2000</v>
      </c>
      <c r="E181" s="96">
        <f t="shared" si="6"/>
        <v>9000</v>
      </c>
      <c r="F181" s="96">
        <f t="shared" si="6"/>
        <v>9000</v>
      </c>
      <c r="G181" s="96">
        <f t="shared" si="6"/>
        <v>3000</v>
      </c>
      <c r="H181" s="96">
        <f t="shared" si="6"/>
        <v>4000</v>
      </c>
      <c r="J181" s="95">
        <f ca="1">IF(I129=0,0,OFFSET(B179,$J$127,$M$127))</f>
        <v>0</v>
      </c>
      <c r="S181" s="119" t="s">
        <v>410</v>
      </c>
      <c r="T181" s="119" t="s">
        <v>691</v>
      </c>
      <c r="U181" s="161">
        <v>1</v>
      </c>
      <c r="V181" s="161">
        <v>2</v>
      </c>
      <c r="W181" s="161">
        <v>8</v>
      </c>
      <c r="X181" s="161">
        <v>8</v>
      </c>
      <c r="Y181" s="161">
        <v>2</v>
      </c>
      <c r="Z181" s="161">
        <v>2</v>
      </c>
    </row>
    <row r="182" spans="1:26" ht="42" thickBot="1">
      <c r="A182" s="88" t="str">
        <v>Lost control off road</v>
      </c>
      <c r="B182" s="24">
        <v>3</v>
      </c>
      <c r="C182" s="96">
        <f t="shared" si="7"/>
        <v>1000</v>
      </c>
      <c r="D182" s="96">
        <f t="shared" si="6"/>
        <v>2000</v>
      </c>
      <c r="E182" s="96">
        <f t="shared" si="6"/>
        <v>8000</v>
      </c>
      <c r="F182" s="96">
        <f t="shared" si="6"/>
        <v>8000</v>
      </c>
      <c r="G182" s="96">
        <f t="shared" si="6"/>
        <v>2000</v>
      </c>
      <c r="H182" s="96">
        <f t="shared" si="6"/>
        <v>2000</v>
      </c>
      <c r="S182" s="119" t="s">
        <v>533</v>
      </c>
      <c r="T182" s="119" t="s">
        <v>489</v>
      </c>
      <c r="U182" s="161">
        <v>1</v>
      </c>
      <c r="V182" s="161">
        <v>2</v>
      </c>
      <c r="W182" s="161">
        <v>8</v>
      </c>
      <c r="X182" s="161">
        <v>8</v>
      </c>
      <c r="Y182" s="161">
        <v>2</v>
      </c>
      <c r="Z182" s="161">
        <v>2</v>
      </c>
    </row>
    <row r="183" spans="1:26" ht="34.799999999999997" thickBot="1">
      <c r="A183" s="88" t="str">
        <v>Lost control on road</v>
      </c>
      <c r="B183" s="24">
        <v>4</v>
      </c>
      <c r="C183" s="96">
        <f t="shared" si="7"/>
        <v>1000</v>
      </c>
      <c r="D183" s="96">
        <f t="shared" si="6"/>
        <v>2000</v>
      </c>
      <c r="E183" s="96">
        <f t="shared" si="6"/>
        <v>8000</v>
      </c>
      <c r="F183" s="96">
        <f t="shared" si="6"/>
        <v>8000</v>
      </c>
      <c r="G183" s="96">
        <f t="shared" si="6"/>
        <v>2000</v>
      </c>
      <c r="H183" s="96">
        <f t="shared" si="6"/>
        <v>2000</v>
      </c>
      <c r="S183" s="119" t="s">
        <v>534</v>
      </c>
      <c r="T183" s="119" t="s">
        <v>491</v>
      </c>
      <c r="U183" s="161">
        <v>1</v>
      </c>
      <c r="V183" s="161">
        <v>2</v>
      </c>
      <c r="W183" s="161">
        <v>8</v>
      </c>
      <c r="X183" s="161">
        <v>8</v>
      </c>
      <c r="Y183" s="161">
        <v>2</v>
      </c>
      <c r="Z183" s="161">
        <v>4</v>
      </c>
    </row>
    <row r="184" spans="1:26" ht="42" thickBot="1">
      <c r="A184" s="88" t="str">
        <v>Miscellaneous</v>
      </c>
      <c r="B184" s="24">
        <v>5</v>
      </c>
      <c r="C184" s="96">
        <f t="shared" si="7"/>
        <v>1000</v>
      </c>
      <c r="D184" s="96">
        <f t="shared" si="6"/>
        <v>2000</v>
      </c>
      <c r="E184" s="96">
        <f t="shared" si="6"/>
        <v>8000</v>
      </c>
      <c r="F184" s="96">
        <f t="shared" si="6"/>
        <v>8000</v>
      </c>
      <c r="G184" s="96">
        <f t="shared" si="6"/>
        <v>2000</v>
      </c>
      <c r="H184" s="96">
        <f t="shared" si="6"/>
        <v>4000</v>
      </c>
      <c r="S184" s="119" t="s">
        <v>536</v>
      </c>
      <c r="T184" s="119" t="s">
        <v>692</v>
      </c>
      <c r="U184" s="161">
        <v>2</v>
      </c>
      <c r="V184" s="161">
        <v>2</v>
      </c>
      <c r="W184" s="161">
        <v>9</v>
      </c>
      <c r="X184" s="161">
        <v>9</v>
      </c>
      <c r="Y184" s="161">
        <v>3</v>
      </c>
      <c r="Z184" s="161">
        <v>4</v>
      </c>
    </row>
    <row r="185" spans="1:26" ht="28.2" thickBot="1">
      <c r="A185" s="88" t="str">
        <v>Overtaking</v>
      </c>
      <c r="B185" s="24">
        <v>6</v>
      </c>
      <c r="C185" s="96">
        <f t="shared" si="7"/>
        <v>2000</v>
      </c>
      <c r="D185" s="96">
        <f t="shared" si="6"/>
        <v>2000</v>
      </c>
      <c r="E185" s="96">
        <f t="shared" si="6"/>
        <v>9000</v>
      </c>
      <c r="F185" s="96">
        <f t="shared" si="6"/>
        <v>9000</v>
      </c>
      <c r="G185" s="96">
        <f t="shared" si="6"/>
        <v>3000</v>
      </c>
      <c r="H185" s="96">
        <f t="shared" si="6"/>
        <v>4000</v>
      </c>
      <c r="S185" s="119" t="s">
        <v>422</v>
      </c>
      <c r="T185" s="119" t="s">
        <v>693</v>
      </c>
      <c r="U185" s="161">
        <v>1</v>
      </c>
      <c r="V185" s="161">
        <v>2</v>
      </c>
      <c r="W185" s="161">
        <v>7</v>
      </c>
      <c r="X185" s="161">
        <v>7</v>
      </c>
      <c r="Y185" s="161">
        <v>2</v>
      </c>
      <c r="Z185" s="161">
        <v>2</v>
      </c>
    </row>
    <row r="186" spans="1:26" ht="28.2" thickBot="1">
      <c r="A186" s="88" t="str">
        <v>Pedestrian</v>
      </c>
      <c r="B186" s="24">
        <v>7</v>
      </c>
      <c r="C186" s="96">
        <f t="shared" si="7"/>
        <v>1000</v>
      </c>
      <c r="D186" s="96">
        <f t="shared" si="6"/>
        <v>2000</v>
      </c>
      <c r="E186" s="96">
        <f t="shared" si="6"/>
        <v>7000</v>
      </c>
      <c r="F186" s="96">
        <f t="shared" si="6"/>
        <v>7000</v>
      </c>
      <c r="G186" s="96">
        <f t="shared" si="6"/>
        <v>2000</v>
      </c>
      <c r="H186" s="96">
        <f t="shared" si="6"/>
        <v>2000</v>
      </c>
      <c r="S186" s="119" t="s">
        <v>537</v>
      </c>
      <c r="T186" s="119" t="s">
        <v>694</v>
      </c>
      <c r="U186" s="161">
        <v>2</v>
      </c>
      <c r="V186" s="161">
        <v>2</v>
      </c>
      <c r="W186" s="161">
        <v>9</v>
      </c>
      <c r="X186" s="161">
        <v>9</v>
      </c>
      <c r="Y186" s="161">
        <v>3</v>
      </c>
      <c r="Z186" s="161">
        <v>3</v>
      </c>
    </row>
    <row r="187" spans="1:26" ht="28.2" thickBot="1">
      <c r="A187" s="88" t="str">
        <v>Rear end, crossing</v>
      </c>
      <c r="B187" s="24">
        <v>8</v>
      </c>
      <c r="C187" s="96">
        <f t="shared" si="7"/>
        <v>2000</v>
      </c>
      <c r="D187" s="96">
        <f t="shared" si="6"/>
        <v>2000</v>
      </c>
      <c r="E187" s="96">
        <f t="shared" si="6"/>
        <v>9000</v>
      </c>
      <c r="F187" s="96">
        <f t="shared" si="6"/>
        <v>9000</v>
      </c>
      <c r="G187" s="96">
        <f t="shared" si="6"/>
        <v>3000</v>
      </c>
      <c r="H187" s="96">
        <f t="shared" si="6"/>
        <v>3000</v>
      </c>
      <c r="S187" s="119" t="s">
        <v>538</v>
      </c>
      <c r="T187" s="119" t="s">
        <v>695</v>
      </c>
      <c r="U187" s="161">
        <v>2</v>
      </c>
      <c r="V187" s="161">
        <v>2</v>
      </c>
      <c r="W187" s="161">
        <v>9</v>
      </c>
      <c r="X187" s="161">
        <v>9</v>
      </c>
      <c r="Y187" s="161">
        <v>3</v>
      </c>
      <c r="Z187" s="161">
        <v>3</v>
      </c>
    </row>
    <row r="188" spans="1:26" ht="42" thickBot="1">
      <c r="A188" s="88" t="str">
        <v>Rear end, queuing</v>
      </c>
      <c r="B188" s="24">
        <v>9</v>
      </c>
      <c r="C188" s="96">
        <f t="shared" si="7"/>
        <v>2000</v>
      </c>
      <c r="D188" s="96">
        <f t="shared" si="6"/>
        <v>2000</v>
      </c>
      <c r="E188" s="96">
        <f t="shared" si="6"/>
        <v>9000</v>
      </c>
      <c r="F188" s="96">
        <f t="shared" si="6"/>
        <v>9000</v>
      </c>
      <c r="G188" s="96">
        <f t="shared" si="6"/>
        <v>3000</v>
      </c>
      <c r="H188" s="96">
        <f t="shared" si="6"/>
        <v>3000</v>
      </c>
      <c r="S188" s="119" t="s">
        <v>539</v>
      </c>
      <c r="T188" s="119" t="s">
        <v>696</v>
      </c>
      <c r="U188" s="161">
        <v>2</v>
      </c>
      <c r="V188" s="161">
        <v>2</v>
      </c>
      <c r="W188" s="161">
        <v>9</v>
      </c>
      <c r="X188" s="161">
        <v>9</v>
      </c>
      <c r="Y188" s="161">
        <v>3</v>
      </c>
      <c r="Z188" s="161">
        <v>4</v>
      </c>
    </row>
    <row r="189" spans="1:26" ht="34.799999999999997" thickBot="1">
      <c r="A189" s="88" t="str">
        <v>Rear end, slow vehicle</v>
      </c>
      <c r="B189" s="24">
        <v>10</v>
      </c>
      <c r="C189" s="96">
        <f t="shared" si="7"/>
        <v>2000</v>
      </c>
      <c r="D189" s="96">
        <f t="shared" si="6"/>
        <v>2000</v>
      </c>
      <c r="E189" s="96">
        <f t="shared" si="6"/>
        <v>9000</v>
      </c>
      <c r="F189" s="96">
        <f t="shared" si="6"/>
        <v>9000</v>
      </c>
      <c r="G189" s="96">
        <f t="shared" si="6"/>
        <v>3000</v>
      </c>
      <c r="H189" s="96">
        <f t="shared" si="6"/>
        <v>4000</v>
      </c>
      <c r="S189" s="119" t="s">
        <v>540</v>
      </c>
      <c r="T189" s="119" t="s">
        <v>522</v>
      </c>
      <c r="U189" s="161">
        <v>1</v>
      </c>
      <c r="V189" s="161">
        <v>2</v>
      </c>
      <c r="W189" s="161">
        <v>9</v>
      </c>
      <c r="X189" s="161">
        <v>9</v>
      </c>
      <c r="Y189" s="161">
        <v>3</v>
      </c>
      <c r="Z189" s="161">
        <v>3</v>
      </c>
    </row>
    <row r="190" spans="1:26" ht="28.2" thickBot="1">
      <c r="A190" s="88" t="str">
        <v>Crossing, direct</v>
      </c>
      <c r="B190" s="24">
        <v>11</v>
      </c>
      <c r="C190" s="96">
        <f t="shared" si="7"/>
        <v>1000</v>
      </c>
      <c r="D190" s="96">
        <f t="shared" si="6"/>
        <v>2000</v>
      </c>
      <c r="E190" s="96">
        <f t="shared" si="6"/>
        <v>9000</v>
      </c>
      <c r="F190" s="96">
        <f t="shared" si="6"/>
        <v>9000</v>
      </c>
      <c r="G190" s="96">
        <f t="shared" si="6"/>
        <v>3000</v>
      </c>
      <c r="H190" s="96">
        <f t="shared" si="6"/>
        <v>3000</v>
      </c>
      <c r="S190" s="119" t="s">
        <v>541</v>
      </c>
      <c r="T190" s="119" t="s">
        <v>697</v>
      </c>
      <c r="U190" s="161">
        <v>1</v>
      </c>
      <c r="V190" s="161">
        <v>2</v>
      </c>
      <c r="W190" s="161">
        <v>9</v>
      </c>
      <c r="X190" s="161">
        <v>9</v>
      </c>
      <c r="Y190" s="161">
        <v>3</v>
      </c>
      <c r="Z190" s="161">
        <v>3</v>
      </c>
    </row>
    <row r="191" spans="1:26" ht="42" thickBot="1">
      <c r="A191" s="88" t="str">
        <v>Crossing, turning</v>
      </c>
      <c r="B191" s="24">
        <v>12</v>
      </c>
      <c r="C191" s="96">
        <f t="shared" si="7"/>
        <v>1000</v>
      </c>
      <c r="D191" s="96">
        <f t="shared" si="6"/>
        <v>2000</v>
      </c>
      <c r="E191" s="96">
        <f t="shared" si="6"/>
        <v>9000</v>
      </c>
      <c r="F191" s="96">
        <f t="shared" si="6"/>
        <v>9000</v>
      </c>
      <c r="G191" s="96">
        <f t="shared" si="6"/>
        <v>3000</v>
      </c>
      <c r="H191" s="96">
        <f t="shared" si="6"/>
        <v>3000</v>
      </c>
      <c r="S191" s="119" t="s">
        <v>439</v>
      </c>
      <c r="T191" s="119"/>
      <c r="U191" s="161">
        <v>2</v>
      </c>
      <c r="V191" s="161">
        <v>2</v>
      </c>
      <c r="W191" s="161">
        <v>9</v>
      </c>
      <c r="X191" s="161">
        <v>9</v>
      </c>
      <c r="Y191" s="161">
        <v>3</v>
      </c>
      <c r="Z191" s="161">
        <v>3</v>
      </c>
    </row>
    <row r="192" spans="1:26" ht="34.799999999999997" thickBot="1">
      <c r="A192" s="88" t="str">
        <v>All movements</v>
      </c>
      <c r="B192" s="24">
        <v>13</v>
      </c>
      <c r="C192" s="96">
        <f t="shared" si="7"/>
        <v>2000</v>
      </c>
      <c r="D192" s="96">
        <f t="shared" si="6"/>
        <v>2000</v>
      </c>
      <c r="E192" s="96">
        <f t="shared" si="6"/>
        <v>9000</v>
      </c>
      <c r="F192" s="96">
        <f t="shared" si="6"/>
        <v>9000</v>
      </c>
      <c r="G192" s="96">
        <f t="shared" si="6"/>
        <v>3000</v>
      </c>
      <c r="H192" s="96">
        <f t="shared" si="6"/>
        <v>3000</v>
      </c>
      <c r="S192" s="155"/>
      <c r="T192" s="155"/>
      <c r="U192" s="155"/>
      <c r="V192" s="155"/>
      <c r="W192" s="155"/>
      <c r="X192" s="155"/>
      <c r="Y192" s="155"/>
      <c r="Z192" s="155"/>
    </row>
    <row r="193" spans="1:26" ht="20.399999999999999" thickBot="1">
      <c r="A193" s="92"/>
      <c r="B193" s="24">
        <v>14</v>
      </c>
      <c r="S193" s="118" t="s">
        <v>857</v>
      </c>
      <c r="T193"/>
      <c r="U193"/>
      <c r="V193"/>
      <c r="W193"/>
      <c r="X193"/>
      <c r="Y193"/>
      <c r="Z193"/>
    </row>
    <row r="194" spans="1:26" ht="97.2" thickBot="1">
      <c r="A194" s="92" t="s">
        <v>477</v>
      </c>
      <c r="B194" s="92"/>
      <c r="S194" s="160" t="s">
        <v>858</v>
      </c>
      <c r="T194" s="160"/>
      <c r="U194" s="160" t="s">
        <v>686</v>
      </c>
      <c r="V194" s="160"/>
      <c r="W194" s="160"/>
      <c r="X194" s="160"/>
      <c r="Y194" s="160"/>
      <c r="Z194" s="160"/>
    </row>
    <row r="195" spans="1:26" ht="42" thickBot="1">
      <c r="A195" s="91" t="s">
        <v>546</v>
      </c>
      <c r="B195" s="395" t="str">
        <f>S193</f>
        <v>Table A32: Cost per crash by movement and vehicle involvement for fatal injury crashes in 80 to 110km/h speed limit areas</v>
      </c>
      <c r="C195" s="134"/>
      <c r="S195" s="156" t="s">
        <v>409</v>
      </c>
      <c r="T195" s="156" t="s">
        <v>479</v>
      </c>
      <c r="U195" s="156" t="s">
        <v>687</v>
      </c>
      <c r="V195" s="156" t="s">
        <v>688</v>
      </c>
      <c r="W195" s="156" t="s">
        <v>529</v>
      </c>
      <c r="X195" s="156" t="s">
        <v>530</v>
      </c>
      <c r="Y195" s="156" t="s">
        <v>689</v>
      </c>
      <c r="Z195" s="156" t="s">
        <v>412</v>
      </c>
    </row>
    <row r="196" spans="1:26" ht="34.200000000000003" customHeight="1" thickBot="1">
      <c r="A196" s="666" t="str">
        <f>S194</f>
        <v>80 to 110km/h speed limit areas fatal injury crashes</v>
      </c>
      <c r="B196" s="668"/>
      <c r="C196" s="666" t="s">
        <v>846</v>
      </c>
      <c r="D196" s="667"/>
      <c r="E196" s="667"/>
      <c r="F196" s="667"/>
      <c r="G196" s="667"/>
      <c r="H196" s="668"/>
      <c r="S196" s="119" t="s">
        <v>531</v>
      </c>
      <c r="T196" s="119" t="s">
        <v>690</v>
      </c>
      <c r="U196" s="157">
        <v>13.2</v>
      </c>
      <c r="V196" s="157">
        <v>13.2</v>
      </c>
      <c r="W196" s="157">
        <v>15.9</v>
      </c>
      <c r="X196" s="157">
        <v>15.9</v>
      </c>
      <c r="Y196" s="157">
        <v>17.5</v>
      </c>
      <c r="Z196" s="157">
        <v>17</v>
      </c>
    </row>
    <row r="197" spans="1:26" ht="35.4" thickBot="1">
      <c r="A197" s="392" t="str" cm="1">
        <f t="array" ref="A197:H197">S195:Z195</f>
        <v>Movement category</v>
      </c>
      <c r="B197" s="389" t="str">
        <v>CAS movement codes</v>
      </c>
      <c r="C197" s="389" t="str">
        <v>Cycle</v>
      </c>
      <c r="D197" s="389" t="str">
        <v>Motorcycle</v>
      </c>
      <c r="E197" s="389" t="str">
        <v>Bus</v>
      </c>
      <c r="F197" s="389" t="str">
        <v>Truck</v>
      </c>
      <c r="G197" s="389" t="str">
        <v>Car, van and other</v>
      </c>
      <c r="H197" s="389" t="str">
        <v>All vehicles</v>
      </c>
      <c r="S197" s="119" t="s">
        <v>532</v>
      </c>
      <c r="T197" s="119" t="s">
        <v>446</v>
      </c>
      <c r="U197" s="157">
        <v>12.5</v>
      </c>
      <c r="V197" s="157">
        <v>12.5</v>
      </c>
      <c r="W197" s="157">
        <v>12.8</v>
      </c>
      <c r="X197" s="157">
        <v>12.8</v>
      </c>
      <c r="Y197" s="157">
        <v>19</v>
      </c>
      <c r="Z197" s="157">
        <v>18</v>
      </c>
    </row>
    <row r="198" spans="1:26" ht="42" thickBot="1">
      <c r="A198" s="88" t="str" cm="1">
        <f t="array" ref="A198:A210">S196:S208</f>
        <v>Head on</v>
      </c>
      <c r="B198" s="24">
        <v>1</v>
      </c>
      <c r="C198" s="96">
        <f>U196*1000000</f>
        <v>13200000</v>
      </c>
      <c r="D198" s="96">
        <f t="shared" ref="D198:H210" si="8">V196*1000000</f>
        <v>13200000</v>
      </c>
      <c r="E198" s="96">
        <f t="shared" si="8"/>
        <v>15900000</v>
      </c>
      <c r="F198" s="96">
        <f t="shared" si="8"/>
        <v>15900000</v>
      </c>
      <c r="G198" s="96">
        <f t="shared" si="8"/>
        <v>17500000</v>
      </c>
      <c r="H198" s="96">
        <f t="shared" si="8"/>
        <v>17000000</v>
      </c>
      <c r="S198" s="119" t="s">
        <v>410</v>
      </c>
      <c r="T198" s="119" t="s">
        <v>691</v>
      </c>
      <c r="U198" s="157">
        <v>12.5</v>
      </c>
      <c r="V198" s="157">
        <v>12.5</v>
      </c>
      <c r="W198" s="157">
        <v>23.9</v>
      </c>
      <c r="X198" s="157">
        <v>12.6</v>
      </c>
      <c r="Y198" s="157">
        <v>13.8</v>
      </c>
      <c r="Z198" s="157">
        <v>13.8</v>
      </c>
    </row>
    <row r="199" spans="1:26" ht="42" thickBot="1">
      <c r="A199" s="88" t="str">
        <v>Hit object</v>
      </c>
      <c r="B199" s="24">
        <v>2</v>
      </c>
      <c r="C199" s="96">
        <f t="shared" ref="C199:C210" si="9">U197*1000000</f>
        <v>12500000</v>
      </c>
      <c r="D199" s="96">
        <f t="shared" si="8"/>
        <v>12500000</v>
      </c>
      <c r="E199" s="96">
        <f t="shared" si="8"/>
        <v>12800000</v>
      </c>
      <c r="F199" s="96">
        <f t="shared" si="8"/>
        <v>12800000</v>
      </c>
      <c r="G199" s="96">
        <f t="shared" si="8"/>
        <v>19000000</v>
      </c>
      <c r="H199" s="96">
        <f t="shared" si="8"/>
        <v>18000000</v>
      </c>
      <c r="J199" s="95">
        <f ca="1">IF(I129=0,0,OFFSET(B197,$J$127,$M$127))</f>
        <v>0</v>
      </c>
      <c r="S199" s="119" t="s">
        <v>533</v>
      </c>
      <c r="T199" s="119" t="s">
        <v>489</v>
      </c>
      <c r="U199" s="157">
        <v>12.5</v>
      </c>
      <c r="V199" s="157">
        <v>12.5</v>
      </c>
      <c r="W199" s="157">
        <v>14.8</v>
      </c>
      <c r="X199" s="157">
        <v>14.5</v>
      </c>
      <c r="Y199" s="157">
        <v>14.5</v>
      </c>
      <c r="Z199" s="157">
        <v>14.4</v>
      </c>
    </row>
    <row r="200" spans="1:26" ht="34.799999999999997" thickBot="1">
      <c r="A200" s="88" t="str">
        <v>Lost control off road</v>
      </c>
      <c r="B200" s="24">
        <v>3</v>
      </c>
      <c r="C200" s="96">
        <f t="shared" si="9"/>
        <v>12500000</v>
      </c>
      <c r="D200" s="96">
        <f t="shared" si="8"/>
        <v>12500000</v>
      </c>
      <c r="E200" s="96">
        <f t="shared" si="8"/>
        <v>23900000</v>
      </c>
      <c r="F200" s="96">
        <f t="shared" si="8"/>
        <v>12600000</v>
      </c>
      <c r="G200" s="96">
        <f t="shared" si="8"/>
        <v>13800000</v>
      </c>
      <c r="H200" s="96">
        <f t="shared" si="8"/>
        <v>13800000</v>
      </c>
      <c r="S200" s="119" t="s">
        <v>534</v>
      </c>
      <c r="T200" s="119" t="s">
        <v>491</v>
      </c>
      <c r="U200" s="157">
        <v>12.8</v>
      </c>
      <c r="V200" s="157">
        <v>13</v>
      </c>
      <c r="W200" s="157">
        <v>15.6</v>
      </c>
      <c r="X200" s="157">
        <v>15.6</v>
      </c>
      <c r="Y200" s="157">
        <v>14.5</v>
      </c>
      <c r="Z200" s="157">
        <v>14.5</v>
      </c>
    </row>
    <row r="201" spans="1:26" ht="42" thickBot="1">
      <c r="A201" s="88" t="str">
        <v>Lost control on road</v>
      </c>
      <c r="B201" s="24">
        <v>4</v>
      </c>
      <c r="C201" s="96">
        <f t="shared" si="9"/>
        <v>12500000</v>
      </c>
      <c r="D201" s="96">
        <f t="shared" si="8"/>
        <v>12500000</v>
      </c>
      <c r="E201" s="96">
        <f t="shared" si="8"/>
        <v>14800000</v>
      </c>
      <c r="F201" s="96">
        <f t="shared" si="8"/>
        <v>14500000</v>
      </c>
      <c r="G201" s="96">
        <f t="shared" si="8"/>
        <v>14500000</v>
      </c>
      <c r="H201" s="96">
        <f t="shared" si="8"/>
        <v>14400000</v>
      </c>
      <c r="S201" s="119" t="s">
        <v>536</v>
      </c>
      <c r="T201" s="119" t="s">
        <v>692</v>
      </c>
      <c r="U201" s="157">
        <v>12.5</v>
      </c>
      <c r="V201" s="157">
        <v>14.1</v>
      </c>
      <c r="W201" s="157">
        <v>16.100000000000001</v>
      </c>
      <c r="X201" s="157">
        <v>13.2</v>
      </c>
      <c r="Y201" s="157">
        <v>13</v>
      </c>
      <c r="Z201" s="157">
        <v>13.1</v>
      </c>
    </row>
    <row r="202" spans="1:26" ht="28.2" thickBot="1">
      <c r="A202" s="88" t="str">
        <v>Miscellaneous</v>
      </c>
      <c r="B202" s="24">
        <v>5</v>
      </c>
      <c r="C202" s="96">
        <f t="shared" si="9"/>
        <v>12800000</v>
      </c>
      <c r="D202" s="96">
        <f t="shared" si="8"/>
        <v>13000000</v>
      </c>
      <c r="E202" s="96">
        <f t="shared" si="8"/>
        <v>15600000</v>
      </c>
      <c r="F202" s="96">
        <f t="shared" si="8"/>
        <v>15600000</v>
      </c>
      <c r="G202" s="96">
        <f t="shared" si="8"/>
        <v>14500000</v>
      </c>
      <c r="H202" s="96">
        <f t="shared" si="8"/>
        <v>14500000</v>
      </c>
      <c r="S202" s="119" t="s">
        <v>422</v>
      </c>
      <c r="T202" s="119" t="s">
        <v>693</v>
      </c>
      <c r="U202" s="157">
        <v>12.6</v>
      </c>
      <c r="V202" s="157">
        <v>14.5</v>
      </c>
      <c r="W202" s="157">
        <v>12.5</v>
      </c>
      <c r="X202" s="157">
        <v>12.5</v>
      </c>
      <c r="Y202" s="157">
        <v>12.9</v>
      </c>
      <c r="Z202" s="157">
        <v>12.9</v>
      </c>
    </row>
    <row r="203" spans="1:26" ht="28.2" thickBot="1">
      <c r="A203" s="88" t="str">
        <v>Overtaking</v>
      </c>
      <c r="B203" s="24">
        <v>6</v>
      </c>
      <c r="C203" s="96">
        <f t="shared" si="9"/>
        <v>12500000</v>
      </c>
      <c r="D203" s="96">
        <f t="shared" si="8"/>
        <v>14100000</v>
      </c>
      <c r="E203" s="96">
        <f t="shared" si="8"/>
        <v>16100000.000000002</v>
      </c>
      <c r="F203" s="96">
        <f t="shared" si="8"/>
        <v>13200000</v>
      </c>
      <c r="G203" s="96">
        <f t="shared" si="8"/>
        <v>13000000</v>
      </c>
      <c r="H203" s="96">
        <f t="shared" si="8"/>
        <v>13100000</v>
      </c>
      <c r="S203" s="119" t="s">
        <v>537</v>
      </c>
      <c r="T203" s="119" t="s">
        <v>694</v>
      </c>
      <c r="U203" s="157">
        <v>12.5</v>
      </c>
      <c r="V203" s="157">
        <v>12.5</v>
      </c>
      <c r="W203" s="157">
        <v>15</v>
      </c>
      <c r="X203" s="157">
        <v>12.9</v>
      </c>
      <c r="Y203" s="157">
        <v>12.8</v>
      </c>
      <c r="Z203" s="157">
        <v>12.8</v>
      </c>
    </row>
    <row r="204" spans="1:26" ht="28.2" thickBot="1">
      <c r="A204" s="88" t="str">
        <v>Pedestrian</v>
      </c>
      <c r="B204" s="24">
        <v>7</v>
      </c>
      <c r="C204" s="96">
        <f t="shared" si="9"/>
        <v>12600000</v>
      </c>
      <c r="D204" s="96">
        <f t="shared" si="8"/>
        <v>14500000</v>
      </c>
      <c r="E204" s="96">
        <f t="shared" si="8"/>
        <v>12500000</v>
      </c>
      <c r="F204" s="96">
        <f t="shared" si="8"/>
        <v>12500000</v>
      </c>
      <c r="G204" s="96">
        <f t="shared" si="8"/>
        <v>12900000</v>
      </c>
      <c r="H204" s="96">
        <f t="shared" si="8"/>
        <v>12900000</v>
      </c>
      <c r="S204" s="119" t="s">
        <v>538</v>
      </c>
      <c r="T204" s="119" t="s">
        <v>695</v>
      </c>
      <c r="U204" s="157">
        <v>12.5</v>
      </c>
      <c r="V204" s="157">
        <v>12.6</v>
      </c>
      <c r="W204" s="157">
        <v>25.7</v>
      </c>
      <c r="X204" s="157">
        <v>25.7</v>
      </c>
      <c r="Y204" s="157">
        <v>13.3</v>
      </c>
      <c r="Z204" s="157">
        <v>14.4</v>
      </c>
    </row>
    <row r="205" spans="1:26" ht="42" thickBot="1">
      <c r="A205" s="88" t="str">
        <v>Rear end, crossing</v>
      </c>
      <c r="B205" s="24">
        <v>8</v>
      </c>
      <c r="C205" s="96">
        <f t="shared" si="9"/>
        <v>12500000</v>
      </c>
      <c r="D205" s="96">
        <f t="shared" si="8"/>
        <v>12500000</v>
      </c>
      <c r="E205" s="96">
        <f t="shared" si="8"/>
        <v>15000000</v>
      </c>
      <c r="F205" s="96">
        <f t="shared" si="8"/>
        <v>12900000</v>
      </c>
      <c r="G205" s="96">
        <f t="shared" si="8"/>
        <v>12800000</v>
      </c>
      <c r="H205" s="96">
        <f t="shared" si="8"/>
        <v>12800000</v>
      </c>
      <c r="S205" s="119" t="s">
        <v>539</v>
      </c>
      <c r="T205" s="119" t="s">
        <v>696</v>
      </c>
      <c r="U205" s="157">
        <v>12.5</v>
      </c>
      <c r="V205" s="157">
        <v>12.5</v>
      </c>
      <c r="W205" s="157">
        <v>13.6</v>
      </c>
      <c r="X205" s="157">
        <v>12.9</v>
      </c>
      <c r="Y205" s="157">
        <v>12.9</v>
      </c>
      <c r="Z205" s="157">
        <v>12.9</v>
      </c>
    </row>
    <row r="206" spans="1:26" ht="28.2" thickBot="1">
      <c r="A206" s="88" t="str">
        <v>Rear end, queuing</v>
      </c>
      <c r="B206" s="24">
        <v>9</v>
      </c>
      <c r="C206" s="96">
        <f t="shared" si="9"/>
        <v>12500000</v>
      </c>
      <c r="D206" s="96">
        <f t="shared" si="8"/>
        <v>12600000</v>
      </c>
      <c r="E206" s="96">
        <f t="shared" si="8"/>
        <v>25700000</v>
      </c>
      <c r="F206" s="96">
        <f t="shared" si="8"/>
        <v>25700000</v>
      </c>
      <c r="G206" s="96">
        <f t="shared" si="8"/>
        <v>13300000</v>
      </c>
      <c r="H206" s="96">
        <f t="shared" si="8"/>
        <v>14400000</v>
      </c>
      <c r="S206" s="119" t="s">
        <v>540</v>
      </c>
      <c r="T206" s="119" t="s">
        <v>522</v>
      </c>
      <c r="U206" s="157">
        <v>12.5</v>
      </c>
      <c r="V206" s="157">
        <v>12.7</v>
      </c>
      <c r="W206" s="157">
        <v>23.9</v>
      </c>
      <c r="X206" s="157">
        <v>23.9</v>
      </c>
      <c r="Y206" s="157">
        <v>15.3</v>
      </c>
      <c r="Z206" s="157">
        <v>15.9</v>
      </c>
    </row>
    <row r="207" spans="1:26" ht="34.799999999999997" thickBot="1">
      <c r="A207" s="88" t="str">
        <v>Rear end, slow vehicle</v>
      </c>
      <c r="B207" s="24">
        <v>10</v>
      </c>
      <c r="C207" s="96">
        <f t="shared" si="9"/>
        <v>12500000</v>
      </c>
      <c r="D207" s="96">
        <f t="shared" si="8"/>
        <v>12500000</v>
      </c>
      <c r="E207" s="96">
        <f t="shared" si="8"/>
        <v>13600000</v>
      </c>
      <c r="F207" s="96">
        <f t="shared" si="8"/>
        <v>12900000</v>
      </c>
      <c r="G207" s="96">
        <f t="shared" si="8"/>
        <v>12900000</v>
      </c>
      <c r="H207" s="96">
        <f t="shared" si="8"/>
        <v>12900000</v>
      </c>
      <c r="S207" s="119" t="s">
        <v>541</v>
      </c>
      <c r="T207" s="119" t="s">
        <v>697</v>
      </c>
      <c r="U207" s="157">
        <v>12.5</v>
      </c>
      <c r="V207" s="157">
        <v>13.2</v>
      </c>
      <c r="W207" s="157">
        <v>14.3</v>
      </c>
      <c r="X207" s="157">
        <v>14.3</v>
      </c>
      <c r="Y207" s="157">
        <v>14.8</v>
      </c>
      <c r="Z207" s="157">
        <v>14.6</v>
      </c>
    </row>
    <row r="208" spans="1:26" ht="42" thickBot="1">
      <c r="A208" s="88" t="str">
        <v>Crossing, direct</v>
      </c>
      <c r="B208" s="24">
        <v>11</v>
      </c>
      <c r="C208" s="96">
        <f t="shared" si="9"/>
        <v>12500000</v>
      </c>
      <c r="D208" s="96">
        <f t="shared" si="8"/>
        <v>12700000</v>
      </c>
      <c r="E208" s="96">
        <f t="shared" si="8"/>
        <v>23900000</v>
      </c>
      <c r="F208" s="96">
        <f t="shared" si="8"/>
        <v>23900000</v>
      </c>
      <c r="G208" s="96">
        <f t="shared" si="8"/>
        <v>15300000</v>
      </c>
      <c r="H208" s="96">
        <f t="shared" si="8"/>
        <v>15900000</v>
      </c>
      <c r="S208" s="119" t="s">
        <v>439</v>
      </c>
      <c r="T208" s="119"/>
      <c r="U208" s="157">
        <v>12.8</v>
      </c>
      <c r="V208" s="157">
        <v>13</v>
      </c>
      <c r="W208" s="157">
        <v>15.6</v>
      </c>
      <c r="X208" s="157">
        <v>15.6</v>
      </c>
      <c r="Y208" s="157">
        <v>14.5</v>
      </c>
      <c r="Z208" s="157">
        <v>14.5</v>
      </c>
    </row>
    <row r="209" spans="1:26" ht="23.4" thickBot="1">
      <c r="A209" s="88" t="str">
        <v>Crossing, turning</v>
      </c>
      <c r="B209" s="24">
        <v>12</v>
      </c>
      <c r="C209" s="96">
        <f t="shared" si="9"/>
        <v>12500000</v>
      </c>
      <c r="D209" s="96">
        <f t="shared" si="8"/>
        <v>13200000</v>
      </c>
      <c r="E209" s="96">
        <f t="shared" si="8"/>
        <v>14300000</v>
      </c>
      <c r="F209" s="96">
        <f t="shared" si="8"/>
        <v>14300000</v>
      </c>
      <c r="G209" s="96">
        <f t="shared" si="8"/>
        <v>14800000</v>
      </c>
      <c r="H209" s="96">
        <f t="shared" si="8"/>
        <v>14600000</v>
      </c>
      <c r="S209" s="155"/>
      <c r="T209" s="155"/>
      <c r="U209" s="155"/>
      <c r="V209" s="155"/>
      <c r="W209" s="155"/>
      <c r="X209" s="155"/>
      <c r="Y209" s="155"/>
      <c r="Z209" s="155"/>
    </row>
    <row r="210" spans="1:26" ht="34.799999999999997" thickBot="1">
      <c r="A210" s="88" t="str">
        <v>All movements</v>
      </c>
      <c r="B210" s="24">
        <v>13</v>
      </c>
      <c r="C210" s="96">
        <f t="shared" si="9"/>
        <v>12800000</v>
      </c>
      <c r="D210" s="96">
        <f t="shared" si="8"/>
        <v>13000000</v>
      </c>
      <c r="E210" s="96">
        <f t="shared" si="8"/>
        <v>15600000</v>
      </c>
      <c r="F210" s="96">
        <f t="shared" si="8"/>
        <v>15600000</v>
      </c>
      <c r="G210" s="96">
        <f t="shared" si="8"/>
        <v>14500000</v>
      </c>
      <c r="H210" s="96">
        <f t="shared" si="8"/>
        <v>14500000</v>
      </c>
      <c r="S210" s="118" t="s">
        <v>859</v>
      </c>
      <c r="T210"/>
      <c r="U210"/>
      <c r="V210"/>
      <c r="W210"/>
      <c r="X210"/>
      <c r="Y210"/>
      <c r="Z210"/>
    </row>
    <row r="211" spans="1:26" ht="82.8">
      <c r="A211" s="94"/>
      <c r="B211" s="24">
        <v>14</v>
      </c>
      <c r="S211" s="163" t="s">
        <v>860</v>
      </c>
      <c r="T211" s="163"/>
      <c r="U211" s="163" t="s">
        <v>698</v>
      </c>
      <c r="V211" s="163"/>
      <c r="W211" s="163"/>
      <c r="X211" s="163"/>
      <c r="Y211" s="163"/>
      <c r="Z211" s="163"/>
    </row>
    <row r="212" spans="1:26" ht="42" thickBot="1">
      <c r="A212" s="91" t="s">
        <v>547</v>
      </c>
      <c r="B212" s="395" t="str">
        <f>S210</f>
        <v>Table A33: Cost per crash by movement and vehicle involvement for serious injury crashes in 80 to 110km/h speed limit areas</v>
      </c>
      <c r="S212" s="387" t="s">
        <v>700</v>
      </c>
      <c r="T212" s="387"/>
      <c r="U212" s="387"/>
      <c r="V212" s="387"/>
      <c r="W212" s="387"/>
      <c r="X212" s="387"/>
      <c r="Y212" s="387"/>
      <c r="Z212" s="387"/>
    </row>
    <row r="213" spans="1:26" ht="34.200000000000003" customHeight="1" thickBot="1">
      <c r="A213" s="666" t="str">
        <f>S211&amp;S212</f>
        <v>80 to 110km/h speed limit serious injury crashes</v>
      </c>
      <c r="B213" s="668"/>
      <c r="C213" s="666" t="s">
        <v>846</v>
      </c>
      <c r="D213" s="667"/>
      <c r="E213" s="667"/>
      <c r="F213" s="667"/>
      <c r="G213" s="667"/>
      <c r="H213" s="668"/>
      <c r="S213" s="156" t="s">
        <v>409</v>
      </c>
      <c r="T213" s="156" t="s">
        <v>479</v>
      </c>
      <c r="U213" s="156" t="s">
        <v>687</v>
      </c>
      <c r="V213" s="156" t="s">
        <v>688</v>
      </c>
      <c r="W213" s="156" t="s">
        <v>529</v>
      </c>
      <c r="X213" s="156" t="s">
        <v>530</v>
      </c>
      <c r="Y213" s="156" t="s">
        <v>689</v>
      </c>
      <c r="Z213" s="156" t="s">
        <v>412</v>
      </c>
    </row>
    <row r="214" spans="1:26" ht="35.4" thickBot="1">
      <c r="A214" s="89" t="str" cm="1">
        <f t="array" ref="A214:H214">S213:Z213</f>
        <v>Movement category</v>
      </c>
      <c r="B214" s="389" t="str">
        <v>CAS movement codes</v>
      </c>
      <c r="C214" s="389" t="str">
        <v>Cycle</v>
      </c>
      <c r="D214" s="389" t="str">
        <v>Motorcycle</v>
      </c>
      <c r="E214" s="389" t="str">
        <v>Bus</v>
      </c>
      <c r="F214" s="389" t="str">
        <v>Truck</v>
      </c>
      <c r="G214" s="389" t="str">
        <v>Car, van and other</v>
      </c>
      <c r="H214" s="389" t="str">
        <v>All vehicles</v>
      </c>
      <c r="S214" s="119" t="s">
        <v>531</v>
      </c>
      <c r="T214" s="119" t="s">
        <v>690</v>
      </c>
      <c r="U214" s="159">
        <v>720</v>
      </c>
      <c r="V214" s="159">
        <v>720</v>
      </c>
      <c r="W214" s="159">
        <v>1170</v>
      </c>
      <c r="X214" s="159">
        <v>810</v>
      </c>
      <c r="Y214" s="159">
        <v>1120</v>
      </c>
      <c r="Z214" s="159">
        <v>1070</v>
      </c>
    </row>
    <row r="215" spans="1:26" ht="14.4" thickBot="1">
      <c r="A215" s="88" t="str" cm="1">
        <f t="array" ref="A215:A227">S214:S226</f>
        <v>Head on</v>
      </c>
      <c r="B215" s="24">
        <v>1</v>
      </c>
      <c r="C215" s="96">
        <f>U214*1000</f>
        <v>720000</v>
      </c>
      <c r="D215" s="96">
        <f t="shared" ref="D215:H227" si="10">V214*1000</f>
        <v>720000</v>
      </c>
      <c r="E215" s="96">
        <f t="shared" si="10"/>
        <v>1170000</v>
      </c>
      <c r="F215" s="96">
        <f t="shared" si="10"/>
        <v>810000</v>
      </c>
      <c r="G215" s="96">
        <f t="shared" si="10"/>
        <v>1120000</v>
      </c>
      <c r="H215" s="96">
        <f t="shared" si="10"/>
        <v>1070000</v>
      </c>
      <c r="S215" s="119" t="s">
        <v>532</v>
      </c>
      <c r="T215" s="119" t="s">
        <v>446</v>
      </c>
      <c r="U215" s="159">
        <v>660</v>
      </c>
      <c r="V215" s="159">
        <v>660</v>
      </c>
      <c r="W215" s="159">
        <v>690</v>
      </c>
      <c r="X215" s="159">
        <v>690</v>
      </c>
      <c r="Y215" s="159">
        <v>740</v>
      </c>
      <c r="Z215" s="159">
        <v>730</v>
      </c>
    </row>
    <row r="216" spans="1:26" ht="42" thickBot="1">
      <c r="A216" s="88" t="str">
        <v>Hit object</v>
      </c>
      <c r="B216" s="24">
        <v>2</v>
      </c>
      <c r="C216" s="96">
        <f t="shared" ref="C216:C227" si="11">U215*1000</f>
        <v>660000</v>
      </c>
      <c r="D216" s="96">
        <f t="shared" si="10"/>
        <v>660000</v>
      </c>
      <c r="E216" s="96">
        <f t="shared" si="10"/>
        <v>690000</v>
      </c>
      <c r="F216" s="96">
        <f t="shared" si="10"/>
        <v>690000</v>
      </c>
      <c r="G216" s="96">
        <f t="shared" si="10"/>
        <v>740000</v>
      </c>
      <c r="H216" s="96">
        <f t="shared" si="10"/>
        <v>730000</v>
      </c>
      <c r="J216" s="95">
        <f ca="1">IF(I129=0,0,OFFSET(B214,$J$127,$M$127))</f>
        <v>0</v>
      </c>
      <c r="S216" s="119" t="s">
        <v>410</v>
      </c>
      <c r="T216" s="119" t="s">
        <v>691</v>
      </c>
      <c r="U216" s="159">
        <v>660</v>
      </c>
      <c r="V216" s="159">
        <v>680</v>
      </c>
      <c r="W216" s="159">
        <v>1370</v>
      </c>
      <c r="X216" s="159">
        <v>680</v>
      </c>
      <c r="Y216" s="159">
        <v>780</v>
      </c>
      <c r="Z216" s="159">
        <v>780</v>
      </c>
    </row>
    <row r="217" spans="1:26" ht="42" thickBot="1">
      <c r="A217" s="88" t="str">
        <v>Lost control off road</v>
      </c>
      <c r="B217" s="24">
        <v>3</v>
      </c>
      <c r="C217" s="96">
        <f t="shared" si="11"/>
        <v>660000</v>
      </c>
      <c r="D217" s="96">
        <f t="shared" si="10"/>
        <v>680000</v>
      </c>
      <c r="E217" s="96">
        <f t="shared" si="10"/>
        <v>1370000</v>
      </c>
      <c r="F217" s="96">
        <f t="shared" si="10"/>
        <v>680000</v>
      </c>
      <c r="G217" s="96">
        <f t="shared" si="10"/>
        <v>780000</v>
      </c>
      <c r="H217" s="96">
        <f t="shared" si="10"/>
        <v>780000</v>
      </c>
      <c r="S217" s="119" t="s">
        <v>533</v>
      </c>
      <c r="T217" s="119" t="s">
        <v>489</v>
      </c>
      <c r="U217" s="159">
        <v>720</v>
      </c>
      <c r="V217" s="159">
        <v>720</v>
      </c>
      <c r="W217" s="159">
        <v>830</v>
      </c>
      <c r="X217" s="159">
        <v>830</v>
      </c>
      <c r="Y217" s="159">
        <v>810</v>
      </c>
      <c r="Z217" s="159">
        <v>800</v>
      </c>
    </row>
    <row r="218" spans="1:26" ht="34.799999999999997" thickBot="1">
      <c r="A218" s="88" t="str">
        <v>Lost control on road</v>
      </c>
      <c r="B218" s="24">
        <v>4</v>
      </c>
      <c r="C218" s="96">
        <f t="shared" si="11"/>
        <v>720000</v>
      </c>
      <c r="D218" s="96">
        <f t="shared" si="10"/>
        <v>720000</v>
      </c>
      <c r="E218" s="96">
        <f t="shared" si="10"/>
        <v>830000</v>
      </c>
      <c r="F218" s="96">
        <f t="shared" si="10"/>
        <v>830000</v>
      </c>
      <c r="G218" s="96">
        <f t="shared" si="10"/>
        <v>810000</v>
      </c>
      <c r="H218" s="96">
        <f t="shared" si="10"/>
        <v>800000</v>
      </c>
      <c r="S218" s="119" t="s">
        <v>534</v>
      </c>
      <c r="T218" s="119" t="s">
        <v>491</v>
      </c>
      <c r="U218" s="159">
        <v>720</v>
      </c>
      <c r="V218" s="159">
        <v>720</v>
      </c>
      <c r="W218" s="159">
        <v>950</v>
      </c>
      <c r="X218" s="159">
        <v>820</v>
      </c>
      <c r="Y218" s="159">
        <v>840</v>
      </c>
      <c r="Z218" s="159">
        <v>830</v>
      </c>
    </row>
    <row r="219" spans="1:26" ht="42" thickBot="1">
      <c r="A219" s="88" t="str">
        <v>Miscellaneous</v>
      </c>
      <c r="B219" s="24">
        <v>5</v>
      </c>
      <c r="C219" s="96">
        <f t="shared" si="11"/>
        <v>720000</v>
      </c>
      <c r="D219" s="96">
        <f t="shared" si="10"/>
        <v>720000</v>
      </c>
      <c r="E219" s="96">
        <f t="shared" si="10"/>
        <v>950000</v>
      </c>
      <c r="F219" s="96">
        <f t="shared" si="10"/>
        <v>820000</v>
      </c>
      <c r="G219" s="96">
        <f t="shared" si="10"/>
        <v>840000</v>
      </c>
      <c r="H219" s="96">
        <f t="shared" si="10"/>
        <v>830000</v>
      </c>
      <c r="S219" s="119" t="s">
        <v>536</v>
      </c>
      <c r="T219" s="119" t="s">
        <v>692</v>
      </c>
      <c r="U219" s="159">
        <v>690</v>
      </c>
      <c r="V219" s="159">
        <v>690</v>
      </c>
      <c r="W219" s="159">
        <v>860</v>
      </c>
      <c r="X219" s="159">
        <v>860</v>
      </c>
      <c r="Y219" s="159">
        <v>860</v>
      </c>
      <c r="Z219" s="159">
        <v>840</v>
      </c>
    </row>
    <row r="220" spans="1:26" ht="28.2" thickBot="1">
      <c r="A220" s="88" t="str">
        <v>Overtaking</v>
      </c>
      <c r="B220" s="24">
        <v>6</v>
      </c>
      <c r="C220" s="96">
        <f t="shared" si="11"/>
        <v>690000</v>
      </c>
      <c r="D220" s="96">
        <f t="shared" si="10"/>
        <v>690000</v>
      </c>
      <c r="E220" s="96">
        <f t="shared" si="10"/>
        <v>860000</v>
      </c>
      <c r="F220" s="96">
        <f t="shared" si="10"/>
        <v>860000</v>
      </c>
      <c r="G220" s="96">
        <f t="shared" si="10"/>
        <v>860000</v>
      </c>
      <c r="H220" s="96">
        <f t="shared" si="10"/>
        <v>840000</v>
      </c>
      <c r="S220" s="119" t="s">
        <v>422</v>
      </c>
      <c r="T220" s="119" t="s">
        <v>693</v>
      </c>
      <c r="U220" s="159">
        <v>690</v>
      </c>
      <c r="V220" s="159">
        <v>820</v>
      </c>
      <c r="W220" s="159">
        <v>830</v>
      </c>
      <c r="X220" s="159">
        <v>750</v>
      </c>
      <c r="Y220" s="159">
        <v>710</v>
      </c>
      <c r="Z220" s="159">
        <v>720</v>
      </c>
    </row>
    <row r="221" spans="1:26" ht="28.2" thickBot="1">
      <c r="A221" s="88" t="str">
        <v>Pedestrian</v>
      </c>
      <c r="B221" s="24">
        <v>7</v>
      </c>
      <c r="C221" s="96">
        <f t="shared" si="11"/>
        <v>690000</v>
      </c>
      <c r="D221" s="96">
        <f t="shared" si="10"/>
        <v>820000</v>
      </c>
      <c r="E221" s="96">
        <f t="shared" si="10"/>
        <v>830000</v>
      </c>
      <c r="F221" s="96">
        <f t="shared" si="10"/>
        <v>750000</v>
      </c>
      <c r="G221" s="96">
        <f t="shared" si="10"/>
        <v>710000</v>
      </c>
      <c r="H221" s="96">
        <f t="shared" si="10"/>
        <v>720000</v>
      </c>
      <c r="S221" s="119" t="s">
        <v>537</v>
      </c>
      <c r="T221" s="119" t="s">
        <v>694</v>
      </c>
      <c r="U221" s="159">
        <v>680</v>
      </c>
      <c r="V221" s="159">
        <v>730</v>
      </c>
      <c r="W221" s="159">
        <v>920</v>
      </c>
      <c r="X221" s="159">
        <v>920</v>
      </c>
      <c r="Y221" s="159">
        <v>840</v>
      </c>
      <c r="Z221" s="159">
        <v>830</v>
      </c>
    </row>
    <row r="222" spans="1:26" ht="28.2" thickBot="1">
      <c r="A222" s="88" t="str">
        <v>Rear end, crossing</v>
      </c>
      <c r="B222" s="24">
        <v>8</v>
      </c>
      <c r="C222" s="96">
        <f t="shared" si="11"/>
        <v>680000</v>
      </c>
      <c r="D222" s="96">
        <f t="shared" si="10"/>
        <v>730000</v>
      </c>
      <c r="E222" s="96">
        <f t="shared" si="10"/>
        <v>920000</v>
      </c>
      <c r="F222" s="96">
        <f t="shared" si="10"/>
        <v>920000</v>
      </c>
      <c r="G222" s="96">
        <f t="shared" si="10"/>
        <v>840000</v>
      </c>
      <c r="H222" s="96">
        <f t="shared" si="10"/>
        <v>830000</v>
      </c>
      <c r="S222" s="119" t="s">
        <v>538</v>
      </c>
      <c r="T222" s="119" t="s">
        <v>695</v>
      </c>
      <c r="U222" s="159">
        <v>680</v>
      </c>
      <c r="V222" s="159">
        <v>680</v>
      </c>
      <c r="W222" s="159">
        <v>880</v>
      </c>
      <c r="X222" s="159">
        <v>740</v>
      </c>
      <c r="Y222" s="159">
        <v>840</v>
      </c>
      <c r="Z222" s="159">
        <v>820</v>
      </c>
    </row>
    <row r="223" spans="1:26" ht="42" thickBot="1">
      <c r="A223" s="88" t="str">
        <v>Rear end, queuing</v>
      </c>
      <c r="B223" s="24">
        <v>9</v>
      </c>
      <c r="C223" s="96">
        <f t="shared" si="11"/>
        <v>680000</v>
      </c>
      <c r="D223" s="96">
        <f t="shared" si="10"/>
        <v>680000</v>
      </c>
      <c r="E223" s="96">
        <f t="shared" si="10"/>
        <v>880000</v>
      </c>
      <c r="F223" s="96">
        <f t="shared" si="10"/>
        <v>740000</v>
      </c>
      <c r="G223" s="96">
        <f t="shared" si="10"/>
        <v>840000</v>
      </c>
      <c r="H223" s="96">
        <f t="shared" si="10"/>
        <v>820000</v>
      </c>
      <c r="S223" s="119" t="s">
        <v>539</v>
      </c>
      <c r="T223" s="119" t="s">
        <v>696</v>
      </c>
      <c r="U223" s="159">
        <v>670</v>
      </c>
      <c r="V223" s="159">
        <v>810</v>
      </c>
      <c r="W223" s="159">
        <v>1300</v>
      </c>
      <c r="X223" s="159">
        <v>690</v>
      </c>
      <c r="Y223" s="159">
        <v>810</v>
      </c>
      <c r="Z223" s="159">
        <v>800</v>
      </c>
    </row>
    <row r="224" spans="1:26" ht="34.799999999999997" thickBot="1">
      <c r="A224" s="88" t="str">
        <v>Rear end, slow vehicle</v>
      </c>
      <c r="B224" s="24">
        <v>10</v>
      </c>
      <c r="C224" s="96">
        <f t="shared" si="11"/>
        <v>670000</v>
      </c>
      <c r="D224" s="96">
        <f t="shared" si="10"/>
        <v>810000</v>
      </c>
      <c r="E224" s="96">
        <f t="shared" si="10"/>
        <v>1300000</v>
      </c>
      <c r="F224" s="96">
        <f t="shared" si="10"/>
        <v>690000</v>
      </c>
      <c r="G224" s="96">
        <f t="shared" si="10"/>
        <v>810000</v>
      </c>
      <c r="H224" s="96">
        <f t="shared" si="10"/>
        <v>800000</v>
      </c>
      <c r="S224" s="119" t="s">
        <v>540</v>
      </c>
      <c r="T224" s="119" t="s">
        <v>522</v>
      </c>
      <c r="U224" s="159">
        <v>670</v>
      </c>
      <c r="V224" s="159">
        <v>670</v>
      </c>
      <c r="W224" s="159">
        <v>1220</v>
      </c>
      <c r="X224" s="159">
        <v>1220</v>
      </c>
      <c r="Y224" s="159">
        <v>880</v>
      </c>
      <c r="Z224" s="159">
        <v>890</v>
      </c>
    </row>
    <row r="225" spans="1:26" ht="28.2" thickBot="1">
      <c r="A225" s="88" t="str">
        <v>Crossing, direct</v>
      </c>
      <c r="B225" s="24">
        <v>11</v>
      </c>
      <c r="C225" s="96">
        <f t="shared" si="11"/>
        <v>670000</v>
      </c>
      <c r="D225" s="96">
        <f t="shared" si="10"/>
        <v>670000</v>
      </c>
      <c r="E225" s="96">
        <f t="shared" si="10"/>
        <v>1220000</v>
      </c>
      <c r="F225" s="96">
        <f t="shared" si="10"/>
        <v>1220000</v>
      </c>
      <c r="G225" s="96">
        <f t="shared" si="10"/>
        <v>880000</v>
      </c>
      <c r="H225" s="96">
        <f t="shared" si="10"/>
        <v>890000</v>
      </c>
      <c r="S225" s="119" t="s">
        <v>541</v>
      </c>
      <c r="T225" s="119" t="s">
        <v>697</v>
      </c>
      <c r="U225" s="159">
        <v>700</v>
      </c>
      <c r="V225" s="159">
        <v>700</v>
      </c>
      <c r="W225" s="159">
        <v>930</v>
      </c>
      <c r="X225" s="159">
        <v>830</v>
      </c>
      <c r="Y225" s="159">
        <v>910</v>
      </c>
      <c r="Z225" s="159">
        <v>890</v>
      </c>
    </row>
    <row r="226" spans="1:26" ht="42" thickBot="1">
      <c r="A226" s="88" t="str">
        <v>Crossing, turning</v>
      </c>
      <c r="B226" s="24">
        <v>12</v>
      </c>
      <c r="C226" s="96">
        <f t="shared" si="11"/>
        <v>700000</v>
      </c>
      <c r="D226" s="96">
        <f t="shared" si="10"/>
        <v>700000</v>
      </c>
      <c r="E226" s="96">
        <f t="shared" si="10"/>
        <v>930000</v>
      </c>
      <c r="F226" s="96">
        <f t="shared" si="10"/>
        <v>830000</v>
      </c>
      <c r="G226" s="96">
        <f t="shared" si="10"/>
        <v>910000</v>
      </c>
      <c r="H226" s="96">
        <f t="shared" si="10"/>
        <v>890000</v>
      </c>
      <c r="S226" s="119" t="s">
        <v>439</v>
      </c>
      <c r="T226" s="119"/>
      <c r="U226" s="159">
        <v>720</v>
      </c>
      <c r="V226" s="159">
        <v>720</v>
      </c>
      <c r="W226" s="159">
        <v>950</v>
      </c>
      <c r="X226" s="159">
        <v>820</v>
      </c>
      <c r="Y226" s="159">
        <v>840</v>
      </c>
      <c r="Z226" s="159">
        <v>830</v>
      </c>
    </row>
    <row r="227" spans="1:26" ht="34.799999999999997" thickBot="1">
      <c r="A227" s="88" t="str">
        <v>All movements</v>
      </c>
      <c r="B227" s="24">
        <v>13</v>
      </c>
      <c r="C227" s="96">
        <f t="shared" si="11"/>
        <v>720000</v>
      </c>
      <c r="D227" s="96">
        <f t="shared" si="10"/>
        <v>720000</v>
      </c>
      <c r="E227" s="96">
        <f t="shared" si="10"/>
        <v>950000</v>
      </c>
      <c r="F227" s="96">
        <f t="shared" si="10"/>
        <v>820000</v>
      </c>
      <c r="G227" s="96">
        <f t="shared" si="10"/>
        <v>840000</v>
      </c>
      <c r="H227" s="96">
        <f t="shared" si="10"/>
        <v>830000</v>
      </c>
      <c r="S227" s="155"/>
      <c r="T227" s="155"/>
      <c r="U227" s="155"/>
      <c r="V227" s="155"/>
      <c r="W227" s="155"/>
      <c r="X227" s="155"/>
      <c r="Y227" s="155"/>
      <c r="Z227" s="155"/>
    </row>
    <row r="228" spans="1:26" ht="19.8">
      <c r="A228" s="92"/>
      <c r="B228" s="24">
        <v>14</v>
      </c>
      <c r="S228" s="118" t="s">
        <v>861</v>
      </c>
      <c r="T228"/>
      <c r="U228"/>
      <c r="V228"/>
      <c r="W228"/>
      <c r="X228"/>
      <c r="Y228"/>
      <c r="Z228"/>
    </row>
    <row r="229" spans="1:26" ht="82.8">
      <c r="A229" s="92" t="s">
        <v>477</v>
      </c>
      <c r="B229" s="92"/>
      <c r="S229" s="386" t="s">
        <v>860</v>
      </c>
      <c r="T229" s="386"/>
      <c r="U229" s="386" t="s">
        <v>698</v>
      </c>
      <c r="V229" s="386"/>
      <c r="W229" s="386"/>
      <c r="X229" s="386"/>
      <c r="Y229" s="386"/>
      <c r="Z229" s="386"/>
    </row>
    <row r="230" spans="1:26" ht="42" thickBot="1">
      <c r="A230" s="91" t="s">
        <v>548</v>
      </c>
      <c r="B230" s="395" t="str">
        <f>S228</f>
        <v>Table A34: Cost per crash by movement and vehicle involvement for minor injury crashes in 80 to 110km/h speed limit areas</v>
      </c>
      <c r="S230" s="387" t="s">
        <v>699</v>
      </c>
      <c r="T230" s="387"/>
      <c r="U230" s="387"/>
      <c r="V230" s="387"/>
      <c r="W230" s="387"/>
      <c r="X230" s="387"/>
      <c r="Y230" s="387"/>
      <c r="Z230" s="387"/>
    </row>
    <row r="231" spans="1:26" ht="34.200000000000003" customHeight="1" thickBot="1">
      <c r="A231" s="666" t="str">
        <f>S229&amp;S230</f>
        <v>80 to 110km/h speed limit minor injury crashes</v>
      </c>
      <c r="B231" s="668"/>
      <c r="C231" s="666" t="s">
        <v>846</v>
      </c>
      <c r="D231" s="667"/>
      <c r="E231" s="667"/>
      <c r="F231" s="667"/>
      <c r="G231" s="667"/>
      <c r="H231" s="668"/>
      <c r="S231" s="156" t="s">
        <v>409</v>
      </c>
      <c r="T231" s="156" t="s">
        <v>479</v>
      </c>
      <c r="U231" s="156" t="s">
        <v>687</v>
      </c>
      <c r="V231" s="156" t="s">
        <v>688</v>
      </c>
      <c r="W231" s="156" t="s">
        <v>529</v>
      </c>
      <c r="X231" s="156" t="s">
        <v>530</v>
      </c>
      <c r="Y231" s="156" t="s">
        <v>689</v>
      </c>
      <c r="Z231" s="156" t="s">
        <v>412</v>
      </c>
    </row>
    <row r="232" spans="1:26" ht="35.4" thickBot="1">
      <c r="A232" s="392" t="str" cm="1">
        <f t="array" ref="A232:H232">S231:Z231</f>
        <v>Movement category</v>
      </c>
      <c r="B232" s="389" t="str">
        <v>CAS movement codes</v>
      </c>
      <c r="C232" s="389" t="str">
        <v>Cycle</v>
      </c>
      <c r="D232" s="389" t="str">
        <v>Motorcycle</v>
      </c>
      <c r="E232" s="389" t="str">
        <v>Bus</v>
      </c>
      <c r="F232" s="389" t="str">
        <v>Truck</v>
      </c>
      <c r="G232" s="389" t="str">
        <v>Car, van and other</v>
      </c>
      <c r="H232" s="389" t="str">
        <v>All vehicles</v>
      </c>
      <c r="S232" s="119" t="s">
        <v>531</v>
      </c>
      <c r="T232" s="119" t="s">
        <v>690</v>
      </c>
      <c r="U232" s="159">
        <v>72</v>
      </c>
      <c r="V232" s="159">
        <v>77</v>
      </c>
      <c r="W232" s="159">
        <v>118</v>
      </c>
      <c r="X232" s="159">
        <v>92</v>
      </c>
      <c r="Y232" s="159">
        <v>112</v>
      </c>
      <c r="Z232" s="159">
        <v>108</v>
      </c>
    </row>
    <row r="233" spans="1:26" ht="14.4" thickBot="1">
      <c r="A233" s="88" t="str" cm="1">
        <f t="array" ref="A233:A245">S232:S244</f>
        <v>Head on</v>
      </c>
      <c r="B233" s="24">
        <v>1</v>
      </c>
      <c r="C233" s="96">
        <f>U232*1000</f>
        <v>72000</v>
      </c>
      <c r="D233" s="96">
        <f t="shared" ref="D233:H245" si="12">V232*1000</f>
        <v>77000</v>
      </c>
      <c r="E233" s="96">
        <f t="shared" si="12"/>
        <v>118000</v>
      </c>
      <c r="F233" s="96">
        <f t="shared" si="12"/>
        <v>92000</v>
      </c>
      <c r="G233" s="96">
        <f t="shared" si="12"/>
        <v>112000</v>
      </c>
      <c r="H233" s="96">
        <f t="shared" si="12"/>
        <v>108000</v>
      </c>
      <c r="S233" s="119" t="s">
        <v>532</v>
      </c>
      <c r="T233" s="119" t="s">
        <v>446</v>
      </c>
      <c r="U233" s="159">
        <v>76</v>
      </c>
      <c r="V233" s="159">
        <v>76</v>
      </c>
      <c r="W233" s="159">
        <v>99</v>
      </c>
      <c r="X233" s="159">
        <v>78</v>
      </c>
      <c r="Y233" s="159">
        <v>81</v>
      </c>
      <c r="Z233" s="159">
        <v>81</v>
      </c>
    </row>
    <row r="234" spans="1:26" ht="42" thickBot="1">
      <c r="A234" s="88" t="str">
        <v>Hit object</v>
      </c>
      <c r="B234" s="24">
        <v>2</v>
      </c>
      <c r="C234" s="96">
        <f t="shared" ref="C234:C245" si="13">U233*1000</f>
        <v>76000</v>
      </c>
      <c r="D234" s="96">
        <f t="shared" si="12"/>
        <v>76000</v>
      </c>
      <c r="E234" s="96">
        <f t="shared" si="12"/>
        <v>99000</v>
      </c>
      <c r="F234" s="96">
        <f t="shared" si="12"/>
        <v>78000</v>
      </c>
      <c r="G234" s="96">
        <f t="shared" si="12"/>
        <v>81000</v>
      </c>
      <c r="H234" s="96">
        <f t="shared" si="12"/>
        <v>81000</v>
      </c>
      <c r="J234" s="95">
        <f ca="1">IF(I129=0,0,OFFSET(B232,$J$127,$M$127))</f>
        <v>0</v>
      </c>
      <c r="S234" s="119" t="s">
        <v>410</v>
      </c>
      <c r="T234" s="119" t="s">
        <v>691</v>
      </c>
      <c r="U234" s="159">
        <v>72</v>
      </c>
      <c r="V234" s="159">
        <v>72</v>
      </c>
      <c r="W234" s="159">
        <v>130</v>
      </c>
      <c r="X234" s="159">
        <v>73</v>
      </c>
      <c r="Y234" s="159">
        <v>80</v>
      </c>
      <c r="Z234" s="159">
        <v>80</v>
      </c>
    </row>
    <row r="235" spans="1:26" ht="42" thickBot="1">
      <c r="A235" s="88" t="str">
        <v>Lost control off road</v>
      </c>
      <c r="B235" s="24">
        <v>3</v>
      </c>
      <c r="C235" s="96">
        <f t="shared" si="13"/>
        <v>72000</v>
      </c>
      <c r="D235" s="96">
        <f t="shared" si="12"/>
        <v>72000</v>
      </c>
      <c r="E235" s="96">
        <f t="shared" si="12"/>
        <v>130000</v>
      </c>
      <c r="F235" s="96">
        <f t="shared" si="12"/>
        <v>73000</v>
      </c>
      <c r="G235" s="96">
        <f t="shared" si="12"/>
        <v>80000</v>
      </c>
      <c r="H235" s="96">
        <f t="shared" si="12"/>
        <v>80000</v>
      </c>
      <c r="S235" s="119" t="s">
        <v>533</v>
      </c>
      <c r="T235" s="119" t="s">
        <v>489</v>
      </c>
      <c r="U235" s="159">
        <v>74</v>
      </c>
      <c r="V235" s="159">
        <v>74</v>
      </c>
      <c r="W235" s="159">
        <v>79</v>
      </c>
      <c r="X235" s="159">
        <v>78</v>
      </c>
      <c r="Y235" s="159">
        <v>86</v>
      </c>
      <c r="Z235" s="159">
        <v>84</v>
      </c>
    </row>
    <row r="236" spans="1:26" ht="34.799999999999997" thickBot="1">
      <c r="A236" s="88" t="str">
        <v>Lost control on road</v>
      </c>
      <c r="B236" s="24">
        <v>4</v>
      </c>
      <c r="C236" s="96">
        <f t="shared" si="13"/>
        <v>74000</v>
      </c>
      <c r="D236" s="96">
        <f t="shared" si="12"/>
        <v>74000</v>
      </c>
      <c r="E236" s="96">
        <f t="shared" si="12"/>
        <v>79000</v>
      </c>
      <c r="F236" s="96">
        <f t="shared" si="12"/>
        <v>78000</v>
      </c>
      <c r="G236" s="96">
        <f t="shared" si="12"/>
        <v>86000</v>
      </c>
      <c r="H236" s="96">
        <f t="shared" si="12"/>
        <v>84000</v>
      </c>
      <c r="S236" s="119" t="s">
        <v>534</v>
      </c>
      <c r="T236" s="119" t="s">
        <v>491</v>
      </c>
      <c r="U236" s="159">
        <v>76</v>
      </c>
      <c r="V236" s="159">
        <v>77</v>
      </c>
      <c r="W236" s="159">
        <v>103</v>
      </c>
      <c r="X236" s="159">
        <v>84</v>
      </c>
      <c r="Y236" s="159">
        <v>92</v>
      </c>
      <c r="Z236" s="159">
        <v>90</v>
      </c>
    </row>
    <row r="237" spans="1:26" ht="42" thickBot="1">
      <c r="A237" s="88" t="str">
        <v>Miscellaneous</v>
      </c>
      <c r="B237" s="24">
        <v>5</v>
      </c>
      <c r="C237" s="96">
        <f t="shared" si="13"/>
        <v>76000</v>
      </c>
      <c r="D237" s="96">
        <f t="shared" si="12"/>
        <v>77000</v>
      </c>
      <c r="E237" s="96">
        <f t="shared" si="12"/>
        <v>103000</v>
      </c>
      <c r="F237" s="96">
        <f t="shared" si="12"/>
        <v>84000</v>
      </c>
      <c r="G237" s="96">
        <f t="shared" si="12"/>
        <v>92000</v>
      </c>
      <c r="H237" s="96">
        <f t="shared" si="12"/>
        <v>90000</v>
      </c>
      <c r="S237" s="119" t="s">
        <v>536</v>
      </c>
      <c r="T237" s="119" t="s">
        <v>692</v>
      </c>
      <c r="U237" s="159">
        <v>72</v>
      </c>
      <c r="V237" s="159">
        <v>72</v>
      </c>
      <c r="W237" s="159">
        <v>87</v>
      </c>
      <c r="X237" s="159">
        <v>80</v>
      </c>
      <c r="Y237" s="159">
        <v>93</v>
      </c>
      <c r="Z237" s="159">
        <v>90</v>
      </c>
    </row>
    <row r="238" spans="1:26" ht="28.2" thickBot="1">
      <c r="A238" s="88" t="str">
        <v>Overtaking</v>
      </c>
      <c r="B238" s="24">
        <v>6</v>
      </c>
      <c r="C238" s="96">
        <f t="shared" si="13"/>
        <v>72000</v>
      </c>
      <c r="D238" s="96">
        <f t="shared" si="12"/>
        <v>72000</v>
      </c>
      <c r="E238" s="96">
        <f t="shared" si="12"/>
        <v>87000</v>
      </c>
      <c r="F238" s="96">
        <f t="shared" si="12"/>
        <v>80000</v>
      </c>
      <c r="G238" s="96">
        <f t="shared" si="12"/>
        <v>93000</v>
      </c>
      <c r="H238" s="96">
        <f t="shared" si="12"/>
        <v>90000</v>
      </c>
      <c r="S238" s="119" t="s">
        <v>422</v>
      </c>
      <c r="T238" s="119" t="s">
        <v>693</v>
      </c>
      <c r="U238" s="159">
        <v>78</v>
      </c>
      <c r="V238" s="159">
        <v>87</v>
      </c>
      <c r="W238" s="159">
        <v>68</v>
      </c>
      <c r="X238" s="159">
        <v>60</v>
      </c>
      <c r="Y238" s="159">
        <v>75</v>
      </c>
      <c r="Z238" s="159">
        <v>74</v>
      </c>
    </row>
    <row r="239" spans="1:26" ht="28.2" thickBot="1">
      <c r="A239" s="88" t="str">
        <v>Pedestrian</v>
      </c>
      <c r="B239" s="24">
        <v>7</v>
      </c>
      <c r="C239" s="96">
        <f t="shared" si="13"/>
        <v>78000</v>
      </c>
      <c r="D239" s="96">
        <f t="shared" si="12"/>
        <v>87000</v>
      </c>
      <c r="E239" s="96">
        <f t="shared" si="12"/>
        <v>68000</v>
      </c>
      <c r="F239" s="96">
        <f t="shared" si="12"/>
        <v>60000</v>
      </c>
      <c r="G239" s="96">
        <f t="shared" si="12"/>
        <v>75000</v>
      </c>
      <c r="H239" s="96">
        <f t="shared" si="12"/>
        <v>74000</v>
      </c>
      <c r="S239" s="119" t="s">
        <v>537</v>
      </c>
      <c r="T239" s="119" t="s">
        <v>694</v>
      </c>
      <c r="U239" s="159">
        <v>75</v>
      </c>
      <c r="V239" s="159">
        <v>77</v>
      </c>
      <c r="W239" s="159">
        <v>92</v>
      </c>
      <c r="X239" s="159">
        <v>86</v>
      </c>
      <c r="Y239" s="159">
        <v>97</v>
      </c>
      <c r="Z239" s="159">
        <v>95</v>
      </c>
    </row>
    <row r="240" spans="1:26" ht="28.2" thickBot="1">
      <c r="A240" s="88" t="str">
        <v>Rear end, crossing</v>
      </c>
      <c r="B240" s="24">
        <v>8</v>
      </c>
      <c r="C240" s="96">
        <f t="shared" si="13"/>
        <v>75000</v>
      </c>
      <c r="D240" s="96">
        <f t="shared" si="12"/>
        <v>77000</v>
      </c>
      <c r="E240" s="96">
        <f t="shared" si="12"/>
        <v>92000</v>
      </c>
      <c r="F240" s="96">
        <f t="shared" si="12"/>
        <v>86000</v>
      </c>
      <c r="G240" s="96">
        <f t="shared" si="12"/>
        <v>97000</v>
      </c>
      <c r="H240" s="96">
        <f t="shared" si="12"/>
        <v>95000</v>
      </c>
      <c r="S240" s="119" t="s">
        <v>538</v>
      </c>
      <c r="T240" s="119" t="s">
        <v>695</v>
      </c>
      <c r="U240" s="159">
        <v>80</v>
      </c>
      <c r="V240" s="159">
        <v>80</v>
      </c>
      <c r="W240" s="159">
        <v>112</v>
      </c>
      <c r="X240" s="159">
        <v>94</v>
      </c>
      <c r="Y240" s="159">
        <v>91</v>
      </c>
      <c r="Z240" s="159">
        <v>91</v>
      </c>
    </row>
    <row r="241" spans="1:26" ht="42" thickBot="1">
      <c r="A241" s="88" t="str">
        <v>Rear end, queuing</v>
      </c>
      <c r="B241" s="24">
        <v>9</v>
      </c>
      <c r="C241" s="96">
        <f t="shared" si="13"/>
        <v>80000</v>
      </c>
      <c r="D241" s="96">
        <f t="shared" si="12"/>
        <v>80000</v>
      </c>
      <c r="E241" s="96">
        <f t="shared" si="12"/>
        <v>112000</v>
      </c>
      <c r="F241" s="96">
        <f t="shared" si="12"/>
        <v>94000</v>
      </c>
      <c r="G241" s="96">
        <f t="shared" si="12"/>
        <v>91000</v>
      </c>
      <c r="H241" s="96">
        <f t="shared" si="12"/>
        <v>91000</v>
      </c>
      <c r="S241" s="119" t="s">
        <v>539</v>
      </c>
      <c r="T241" s="119" t="s">
        <v>696</v>
      </c>
      <c r="U241" s="159">
        <v>73</v>
      </c>
      <c r="V241" s="159">
        <v>81</v>
      </c>
      <c r="W241" s="159">
        <v>124</v>
      </c>
      <c r="X241" s="159">
        <v>81</v>
      </c>
      <c r="Y241" s="159">
        <v>94</v>
      </c>
      <c r="Z241" s="159">
        <v>92</v>
      </c>
    </row>
    <row r="242" spans="1:26" ht="34.799999999999997" thickBot="1">
      <c r="A242" s="88" t="str">
        <v>Rear end, slow vehicle</v>
      </c>
      <c r="B242" s="24">
        <v>10</v>
      </c>
      <c r="C242" s="96">
        <f t="shared" si="13"/>
        <v>73000</v>
      </c>
      <c r="D242" s="96">
        <f t="shared" si="12"/>
        <v>81000</v>
      </c>
      <c r="E242" s="96">
        <f t="shared" si="12"/>
        <v>124000</v>
      </c>
      <c r="F242" s="96">
        <f t="shared" si="12"/>
        <v>81000</v>
      </c>
      <c r="G242" s="96">
        <f t="shared" si="12"/>
        <v>94000</v>
      </c>
      <c r="H242" s="96">
        <f t="shared" si="12"/>
        <v>92000</v>
      </c>
      <c r="S242" s="119" t="s">
        <v>540</v>
      </c>
      <c r="T242" s="119" t="s">
        <v>522</v>
      </c>
      <c r="U242" s="159">
        <v>73</v>
      </c>
      <c r="V242" s="159">
        <v>76</v>
      </c>
      <c r="W242" s="159">
        <v>112</v>
      </c>
      <c r="X242" s="159">
        <v>112</v>
      </c>
      <c r="Y242" s="159">
        <v>106</v>
      </c>
      <c r="Z242" s="159">
        <v>104</v>
      </c>
    </row>
    <row r="243" spans="1:26" ht="28.2" thickBot="1">
      <c r="A243" s="88" t="str">
        <v>Crossing, direct</v>
      </c>
      <c r="B243" s="24">
        <v>11</v>
      </c>
      <c r="C243" s="96">
        <f t="shared" si="13"/>
        <v>73000</v>
      </c>
      <c r="D243" s="96">
        <f t="shared" si="12"/>
        <v>76000</v>
      </c>
      <c r="E243" s="96">
        <f t="shared" si="12"/>
        <v>112000</v>
      </c>
      <c r="F243" s="96">
        <f t="shared" si="12"/>
        <v>112000</v>
      </c>
      <c r="G243" s="96">
        <f t="shared" si="12"/>
        <v>106000</v>
      </c>
      <c r="H243" s="96">
        <f t="shared" si="12"/>
        <v>104000</v>
      </c>
      <c r="S243" s="119" t="s">
        <v>541</v>
      </c>
      <c r="T243" s="119" t="s">
        <v>697</v>
      </c>
      <c r="U243" s="159">
        <v>71</v>
      </c>
      <c r="V243" s="159">
        <v>71</v>
      </c>
      <c r="W243" s="159">
        <v>125</v>
      </c>
      <c r="X243" s="159">
        <v>88</v>
      </c>
      <c r="Y243" s="159">
        <v>103</v>
      </c>
      <c r="Z243" s="159">
        <v>100</v>
      </c>
    </row>
    <row r="244" spans="1:26" ht="42" thickBot="1">
      <c r="A244" s="88" t="str">
        <v>Crossing, turning</v>
      </c>
      <c r="B244" s="24">
        <v>12</v>
      </c>
      <c r="C244" s="96">
        <f t="shared" si="13"/>
        <v>71000</v>
      </c>
      <c r="D244" s="96">
        <f t="shared" si="12"/>
        <v>71000</v>
      </c>
      <c r="E244" s="96">
        <f t="shared" si="12"/>
        <v>125000</v>
      </c>
      <c r="F244" s="96">
        <f t="shared" si="12"/>
        <v>88000</v>
      </c>
      <c r="G244" s="96">
        <f t="shared" si="12"/>
        <v>103000</v>
      </c>
      <c r="H244" s="96">
        <f t="shared" si="12"/>
        <v>100000</v>
      </c>
      <c r="S244" s="119" t="s">
        <v>439</v>
      </c>
      <c r="T244" s="119"/>
      <c r="U244" s="159">
        <v>76</v>
      </c>
      <c r="V244" s="159">
        <v>77</v>
      </c>
      <c r="W244" s="159">
        <v>103</v>
      </c>
      <c r="X244" s="159">
        <v>84</v>
      </c>
      <c r="Y244" s="159">
        <v>92</v>
      </c>
      <c r="Z244" s="159">
        <v>90</v>
      </c>
    </row>
    <row r="245" spans="1:26" ht="34.799999999999997" thickBot="1">
      <c r="A245" s="88" t="str">
        <v>All movements</v>
      </c>
      <c r="B245" s="24">
        <v>13</v>
      </c>
      <c r="C245" s="96">
        <f t="shared" si="13"/>
        <v>76000</v>
      </c>
      <c r="D245" s="96">
        <f t="shared" si="12"/>
        <v>77000</v>
      </c>
      <c r="E245" s="96">
        <f t="shared" si="12"/>
        <v>103000</v>
      </c>
      <c r="F245" s="96">
        <f t="shared" si="12"/>
        <v>84000</v>
      </c>
      <c r="G245" s="96">
        <f t="shared" si="12"/>
        <v>92000</v>
      </c>
      <c r="H245" s="96">
        <f t="shared" si="12"/>
        <v>90000</v>
      </c>
      <c r="S245" s="155"/>
      <c r="T245" s="155"/>
      <c r="U245" s="155"/>
      <c r="V245" s="155"/>
      <c r="W245" s="155"/>
      <c r="X245" s="155"/>
      <c r="Y245" s="155"/>
      <c r="Z245" s="155"/>
    </row>
    <row r="246" spans="1:26" ht="16.2" thickBot="1">
      <c r="A246" s="94"/>
      <c r="B246" s="24">
        <v>14</v>
      </c>
      <c r="S246" s="118" t="s">
        <v>862</v>
      </c>
      <c r="T246"/>
      <c r="U246"/>
      <c r="V246"/>
      <c r="W246"/>
      <c r="X246"/>
      <c r="Y246"/>
      <c r="Z246"/>
    </row>
    <row r="247" spans="1:26" ht="83.4" thickBot="1">
      <c r="A247" s="91" t="s">
        <v>549</v>
      </c>
      <c r="B247" s="395" t="str">
        <f>S246</f>
        <v xml:space="preserve">Table A35: Cost per crash by movement and vehicle involvement for non-injury crashes in 80 to 110km/h speed limit areas </v>
      </c>
      <c r="S247" s="164" t="s">
        <v>860</v>
      </c>
      <c r="T247" s="163"/>
      <c r="U247" s="163" t="s">
        <v>698</v>
      </c>
      <c r="V247" s="163"/>
      <c r="W247" s="163"/>
      <c r="X247" s="163"/>
      <c r="Y247" s="163"/>
      <c r="Z247" s="163"/>
    </row>
    <row r="248" spans="1:26" ht="34.200000000000003" customHeight="1" thickBot="1">
      <c r="A248" s="666" t="str">
        <f>S247&amp;S248</f>
        <v>80 to 110km/h speed limit non-injury crashes</v>
      </c>
      <c r="B248" s="668"/>
      <c r="C248" s="666" t="s">
        <v>846</v>
      </c>
      <c r="D248" s="667"/>
      <c r="E248" s="667"/>
      <c r="F248" s="667"/>
      <c r="G248" s="667"/>
      <c r="H248" s="668"/>
      <c r="S248" s="165" t="s">
        <v>701</v>
      </c>
      <c r="T248" s="387"/>
      <c r="U248" s="387"/>
      <c r="V248" s="387"/>
      <c r="W248" s="387"/>
      <c r="X248" s="387"/>
      <c r="Y248" s="387"/>
      <c r="Z248" s="387"/>
    </row>
    <row r="249" spans="1:26" ht="42" thickBot="1">
      <c r="A249" s="392" t="str" cm="1">
        <f t="array" ref="A249:H249">S249:Z249</f>
        <v>Movement category</v>
      </c>
      <c r="B249" s="389" t="str">
        <v>CAS movement codes</v>
      </c>
      <c r="C249" s="389" t="str">
        <v>Cycle</v>
      </c>
      <c r="D249" s="389" t="str">
        <v>Motorcycle</v>
      </c>
      <c r="E249" s="389" t="str">
        <v>Bus</v>
      </c>
      <c r="F249" s="389" t="str">
        <v>Truck</v>
      </c>
      <c r="G249" s="389" t="str">
        <v>Car, van and other</v>
      </c>
      <c r="H249" s="389" t="str">
        <v>All vehicles</v>
      </c>
      <c r="S249" s="162" t="s">
        <v>409</v>
      </c>
      <c r="T249" s="156" t="s">
        <v>479</v>
      </c>
      <c r="U249" s="156" t="s">
        <v>687</v>
      </c>
      <c r="V249" s="156" t="s">
        <v>688</v>
      </c>
      <c r="W249" s="156" t="s">
        <v>529</v>
      </c>
      <c r="X249" s="156" t="s">
        <v>530</v>
      </c>
      <c r="Y249" s="156" t="s">
        <v>689</v>
      </c>
      <c r="Z249" s="156" t="s">
        <v>412</v>
      </c>
    </row>
    <row r="250" spans="1:26" ht="14.4" thickBot="1">
      <c r="A250" s="88" t="str" cm="1">
        <f t="array" ref="A250:A262">S250:S262</f>
        <v>Head on</v>
      </c>
      <c r="B250" s="24">
        <v>1</v>
      </c>
      <c r="C250" s="96">
        <f>U250*1000</f>
        <v>2000</v>
      </c>
      <c r="D250" s="96">
        <f t="shared" ref="D250:H262" si="14">V250*1000</f>
        <v>2000</v>
      </c>
      <c r="E250" s="96">
        <f t="shared" si="14"/>
        <v>11000</v>
      </c>
      <c r="F250" s="96">
        <f t="shared" si="14"/>
        <v>11000</v>
      </c>
      <c r="G250" s="96">
        <f t="shared" si="14"/>
        <v>4000</v>
      </c>
      <c r="H250" s="96">
        <f t="shared" si="14"/>
        <v>5000</v>
      </c>
      <c r="S250" s="119" t="s">
        <v>531</v>
      </c>
      <c r="T250" s="119" t="s">
        <v>690</v>
      </c>
      <c r="U250" s="161">
        <v>2</v>
      </c>
      <c r="V250" s="161">
        <v>2</v>
      </c>
      <c r="W250" s="161">
        <v>11</v>
      </c>
      <c r="X250" s="161">
        <v>11</v>
      </c>
      <c r="Y250" s="161">
        <v>4</v>
      </c>
      <c r="Z250" s="161">
        <v>5</v>
      </c>
    </row>
    <row r="251" spans="1:26" ht="14.4" thickBot="1">
      <c r="A251" s="88" t="str">
        <v>Hit object</v>
      </c>
      <c r="B251" s="24">
        <v>2</v>
      </c>
      <c r="C251" s="96">
        <f t="shared" ref="C251:C262" si="15">U251*1000</f>
        <v>2000</v>
      </c>
      <c r="D251" s="96">
        <f t="shared" si="14"/>
        <v>2000</v>
      </c>
      <c r="E251" s="96">
        <f t="shared" si="14"/>
        <v>10000</v>
      </c>
      <c r="F251" s="96">
        <f t="shared" si="14"/>
        <v>10000</v>
      </c>
      <c r="G251" s="96">
        <f t="shared" si="14"/>
        <v>3000</v>
      </c>
      <c r="H251" s="96">
        <f t="shared" si="14"/>
        <v>4000</v>
      </c>
      <c r="J251" s="95">
        <f ca="1">IF(I129=0,0,OFFSET(B249,$J$127,$M$127))</f>
        <v>0</v>
      </c>
      <c r="S251" s="119" t="s">
        <v>532</v>
      </c>
      <c r="T251" s="119" t="s">
        <v>446</v>
      </c>
      <c r="U251" s="161">
        <v>2</v>
      </c>
      <c r="V251" s="161">
        <v>2</v>
      </c>
      <c r="W251" s="161">
        <v>10</v>
      </c>
      <c r="X251" s="161">
        <v>10</v>
      </c>
      <c r="Y251" s="161">
        <v>3</v>
      </c>
      <c r="Z251" s="161">
        <v>4</v>
      </c>
    </row>
    <row r="252" spans="1:26" ht="42" thickBot="1">
      <c r="A252" s="88" t="str">
        <v>Lost control off road</v>
      </c>
      <c r="B252" s="24">
        <v>3</v>
      </c>
      <c r="C252" s="96">
        <f t="shared" si="15"/>
        <v>2000</v>
      </c>
      <c r="D252" s="96">
        <f t="shared" si="14"/>
        <v>2000</v>
      </c>
      <c r="E252" s="96">
        <f t="shared" si="14"/>
        <v>9000</v>
      </c>
      <c r="F252" s="96">
        <f t="shared" si="14"/>
        <v>9000</v>
      </c>
      <c r="G252" s="96">
        <f t="shared" si="14"/>
        <v>2000</v>
      </c>
      <c r="H252" s="96">
        <f t="shared" si="14"/>
        <v>2000</v>
      </c>
      <c r="S252" s="119" t="s">
        <v>410</v>
      </c>
      <c r="T252" s="119" t="s">
        <v>691</v>
      </c>
      <c r="U252" s="161">
        <v>2</v>
      </c>
      <c r="V252" s="161">
        <v>2</v>
      </c>
      <c r="W252" s="161">
        <v>9</v>
      </c>
      <c r="X252" s="161">
        <v>9</v>
      </c>
      <c r="Y252" s="161">
        <v>2</v>
      </c>
      <c r="Z252" s="161">
        <v>2</v>
      </c>
    </row>
    <row r="253" spans="1:26" ht="42" thickBot="1">
      <c r="A253" s="88" t="str">
        <v>Lost control on road</v>
      </c>
      <c r="B253" s="24">
        <v>4</v>
      </c>
      <c r="C253" s="96">
        <f t="shared" si="15"/>
        <v>2000</v>
      </c>
      <c r="D253" s="96">
        <f t="shared" si="14"/>
        <v>2000</v>
      </c>
      <c r="E253" s="96">
        <f t="shared" si="14"/>
        <v>10000</v>
      </c>
      <c r="F253" s="96">
        <f t="shared" si="14"/>
        <v>10000</v>
      </c>
      <c r="G253" s="96">
        <f t="shared" si="14"/>
        <v>3000</v>
      </c>
      <c r="H253" s="96">
        <f>Z253*1000</f>
        <v>4000</v>
      </c>
      <c r="S253" s="119" t="s">
        <v>533</v>
      </c>
      <c r="T253" s="119" t="s">
        <v>489</v>
      </c>
      <c r="U253" s="161">
        <v>2</v>
      </c>
      <c r="V253" s="161">
        <v>2</v>
      </c>
      <c r="W253" s="161">
        <v>10</v>
      </c>
      <c r="X253" s="161">
        <v>10</v>
      </c>
      <c r="Y253" s="161">
        <v>3</v>
      </c>
      <c r="Z253" s="161">
        <v>4</v>
      </c>
    </row>
    <row r="254" spans="1:26" ht="28.2" thickBot="1">
      <c r="A254" s="88" t="str">
        <v>Miscellaneous</v>
      </c>
      <c r="B254" s="24">
        <v>5</v>
      </c>
      <c r="C254" s="96">
        <f t="shared" si="15"/>
        <v>2000</v>
      </c>
      <c r="D254" s="96">
        <f t="shared" si="14"/>
        <v>2000</v>
      </c>
      <c r="E254" s="96">
        <f t="shared" si="14"/>
        <v>10000</v>
      </c>
      <c r="F254" s="96">
        <f t="shared" si="14"/>
        <v>10000</v>
      </c>
      <c r="G254" s="96">
        <f t="shared" si="14"/>
        <v>2000</v>
      </c>
      <c r="H254" s="96">
        <f t="shared" si="14"/>
        <v>6000</v>
      </c>
      <c r="S254" s="119" t="s">
        <v>534</v>
      </c>
      <c r="T254" s="119" t="s">
        <v>491</v>
      </c>
      <c r="U254" s="161">
        <v>2</v>
      </c>
      <c r="V254" s="161">
        <v>2</v>
      </c>
      <c r="W254" s="161">
        <v>10</v>
      </c>
      <c r="X254" s="161">
        <v>10</v>
      </c>
      <c r="Y254" s="161">
        <v>2</v>
      </c>
      <c r="Z254" s="161">
        <v>6</v>
      </c>
    </row>
    <row r="255" spans="1:26" ht="42" thickBot="1">
      <c r="A255" s="88" t="str">
        <v>Overtaking</v>
      </c>
      <c r="B255" s="24">
        <v>6</v>
      </c>
      <c r="C255" s="96">
        <f t="shared" si="15"/>
        <v>2000</v>
      </c>
      <c r="D255" s="96">
        <f t="shared" si="14"/>
        <v>2000</v>
      </c>
      <c r="E255" s="96">
        <f t="shared" si="14"/>
        <v>11000</v>
      </c>
      <c r="F255" s="96">
        <f t="shared" si="14"/>
        <v>11000</v>
      </c>
      <c r="G255" s="96">
        <f t="shared" si="14"/>
        <v>4000</v>
      </c>
      <c r="H255" s="96">
        <f t="shared" si="14"/>
        <v>6000</v>
      </c>
      <c r="S255" s="119" t="s">
        <v>536</v>
      </c>
      <c r="T255" s="119" t="s">
        <v>692</v>
      </c>
      <c r="U255" s="161">
        <v>2</v>
      </c>
      <c r="V255" s="161">
        <v>2</v>
      </c>
      <c r="W255" s="161">
        <v>11</v>
      </c>
      <c r="X255" s="161">
        <v>11</v>
      </c>
      <c r="Y255" s="161">
        <v>4</v>
      </c>
      <c r="Z255" s="161">
        <v>6</v>
      </c>
    </row>
    <row r="256" spans="1:26" ht="28.2" thickBot="1">
      <c r="A256" s="88" t="str">
        <v>Pedestrian</v>
      </c>
      <c r="B256" s="24">
        <v>7</v>
      </c>
      <c r="C256" s="96">
        <f t="shared" si="15"/>
        <v>2000</v>
      </c>
      <c r="D256" s="96">
        <f t="shared" si="14"/>
        <v>2000</v>
      </c>
      <c r="E256" s="96">
        <f t="shared" si="14"/>
        <v>10000</v>
      </c>
      <c r="F256" s="96">
        <f t="shared" si="14"/>
        <v>10000</v>
      </c>
      <c r="G256" s="96">
        <f t="shared" si="14"/>
        <v>2000</v>
      </c>
      <c r="H256" s="96">
        <f t="shared" si="14"/>
        <v>4000</v>
      </c>
      <c r="S256" s="119" t="s">
        <v>422</v>
      </c>
      <c r="T256" s="119" t="s">
        <v>693</v>
      </c>
      <c r="U256" s="161">
        <v>2</v>
      </c>
      <c r="V256" s="161">
        <v>2</v>
      </c>
      <c r="W256" s="161">
        <v>10</v>
      </c>
      <c r="X256" s="161">
        <v>10</v>
      </c>
      <c r="Y256" s="161">
        <v>2</v>
      </c>
      <c r="Z256" s="161">
        <v>4</v>
      </c>
    </row>
    <row r="257" spans="1:26" ht="28.2" thickBot="1">
      <c r="A257" s="88" t="str">
        <v>Rear end, crossing</v>
      </c>
      <c r="B257" s="24">
        <v>8</v>
      </c>
      <c r="C257" s="96">
        <f t="shared" si="15"/>
        <v>2000</v>
      </c>
      <c r="D257" s="96">
        <f t="shared" si="14"/>
        <v>2000</v>
      </c>
      <c r="E257" s="96">
        <f t="shared" si="14"/>
        <v>11000</v>
      </c>
      <c r="F257" s="96">
        <f t="shared" si="14"/>
        <v>11000</v>
      </c>
      <c r="G257" s="96">
        <f t="shared" si="14"/>
        <v>4000</v>
      </c>
      <c r="H257" s="96">
        <f t="shared" si="14"/>
        <v>4000</v>
      </c>
      <c r="S257" s="119" t="s">
        <v>537</v>
      </c>
      <c r="T257" s="119" t="s">
        <v>694</v>
      </c>
      <c r="U257" s="161">
        <v>2</v>
      </c>
      <c r="V257" s="161">
        <v>2</v>
      </c>
      <c r="W257" s="161">
        <v>11</v>
      </c>
      <c r="X257" s="161">
        <v>11</v>
      </c>
      <c r="Y257" s="161">
        <v>4</v>
      </c>
      <c r="Z257" s="161">
        <v>4</v>
      </c>
    </row>
    <row r="258" spans="1:26" ht="28.2" thickBot="1">
      <c r="A258" s="88" t="str">
        <v>Rear end, queuing</v>
      </c>
      <c r="B258" s="24">
        <v>9</v>
      </c>
      <c r="C258" s="96">
        <f t="shared" si="15"/>
        <v>2000</v>
      </c>
      <c r="D258" s="96">
        <f t="shared" si="14"/>
        <v>3000</v>
      </c>
      <c r="E258" s="96">
        <f t="shared" si="14"/>
        <v>11000</v>
      </c>
      <c r="F258" s="96">
        <f t="shared" si="14"/>
        <v>11000</v>
      </c>
      <c r="G258" s="96">
        <f t="shared" si="14"/>
        <v>4000</v>
      </c>
      <c r="H258" s="96">
        <f t="shared" si="14"/>
        <v>4000</v>
      </c>
      <c r="S258" s="119" t="s">
        <v>538</v>
      </c>
      <c r="T258" s="119" t="s">
        <v>695</v>
      </c>
      <c r="U258" s="161">
        <v>2</v>
      </c>
      <c r="V258" s="161">
        <v>3</v>
      </c>
      <c r="W258" s="161">
        <v>11</v>
      </c>
      <c r="X258" s="161">
        <v>11</v>
      </c>
      <c r="Y258" s="161">
        <v>4</v>
      </c>
      <c r="Z258" s="161">
        <v>4</v>
      </c>
    </row>
    <row r="259" spans="1:26" ht="42" thickBot="1">
      <c r="A259" s="88" t="str">
        <v>Rear end, slow vehicle</v>
      </c>
      <c r="B259" s="24">
        <v>10</v>
      </c>
      <c r="C259" s="96">
        <f t="shared" si="15"/>
        <v>2000</v>
      </c>
      <c r="D259" s="96">
        <f t="shared" si="14"/>
        <v>2000</v>
      </c>
      <c r="E259" s="96">
        <f t="shared" si="14"/>
        <v>11000</v>
      </c>
      <c r="F259" s="96">
        <f t="shared" si="14"/>
        <v>11000</v>
      </c>
      <c r="G259" s="96">
        <f t="shared" si="14"/>
        <v>4000</v>
      </c>
      <c r="H259" s="96">
        <f t="shared" si="14"/>
        <v>5000</v>
      </c>
      <c r="S259" s="119" t="s">
        <v>539</v>
      </c>
      <c r="T259" s="119" t="s">
        <v>696</v>
      </c>
      <c r="U259" s="161">
        <v>2</v>
      </c>
      <c r="V259" s="161">
        <v>2</v>
      </c>
      <c r="W259" s="161">
        <v>11</v>
      </c>
      <c r="X259" s="161">
        <v>11</v>
      </c>
      <c r="Y259" s="161">
        <v>4</v>
      </c>
      <c r="Z259" s="161">
        <v>5</v>
      </c>
    </row>
    <row r="260" spans="1:26" ht="28.2" thickBot="1">
      <c r="A260" s="88" t="str">
        <v>Crossing, direct</v>
      </c>
      <c r="B260" s="24">
        <v>11</v>
      </c>
      <c r="C260" s="96">
        <f t="shared" si="15"/>
        <v>2000</v>
      </c>
      <c r="D260" s="96">
        <f t="shared" si="14"/>
        <v>2000</v>
      </c>
      <c r="E260" s="96">
        <f t="shared" si="14"/>
        <v>11000</v>
      </c>
      <c r="F260" s="96">
        <f t="shared" si="14"/>
        <v>11000</v>
      </c>
      <c r="G260" s="96">
        <f t="shared" si="14"/>
        <v>4000</v>
      </c>
      <c r="H260" s="96">
        <f t="shared" si="14"/>
        <v>5000</v>
      </c>
      <c r="S260" s="119" t="s">
        <v>540</v>
      </c>
      <c r="T260" s="119" t="s">
        <v>522</v>
      </c>
      <c r="U260" s="161">
        <v>2</v>
      </c>
      <c r="V260" s="161">
        <v>2</v>
      </c>
      <c r="W260" s="161">
        <v>11</v>
      </c>
      <c r="X260" s="161">
        <v>11</v>
      </c>
      <c r="Y260" s="161">
        <v>4</v>
      </c>
      <c r="Z260" s="161">
        <v>5</v>
      </c>
    </row>
    <row r="261" spans="1:26" ht="28.2" thickBot="1">
      <c r="A261" s="88" t="str">
        <v>Crossing, turning</v>
      </c>
      <c r="B261" s="24">
        <v>12</v>
      </c>
      <c r="C261" s="96">
        <f t="shared" si="15"/>
        <v>2000</v>
      </c>
      <c r="D261" s="96">
        <f t="shared" si="14"/>
        <v>2000</v>
      </c>
      <c r="E261" s="96">
        <f t="shared" si="14"/>
        <v>11000</v>
      </c>
      <c r="F261" s="96">
        <f t="shared" si="14"/>
        <v>11000</v>
      </c>
      <c r="G261" s="96">
        <f t="shared" si="14"/>
        <v>4000</v>
      </c>
      <c r="H261" s="96">
        <f t="shared" si="14"/>
        <v>5000</v>
      </c>
      <c r="S261" s="119" t="s">
        <v>541</v>
      </c>
      <c r="T261" s="119" t="s">
        <v>697</v>
      </c>
      <c r="U261" s="161">
        <v>2</v>
      </c>
      <c r="V261" s="161">
        <v>2</v>
      </c>
      <c r="W261" s="161">
        <v>11</v>
      </c>
      <c r="X261" s="161">
        <v>11</v>
      </c>
      <c r="Y261" s="161">
        <v>4</v>
      </c>
      <c r="Z261" s="161">
        <v>5</v>
      </c>
    </row>
    <row r="262" spans="1:26" ht="42" thickBot="1">
      <c r="A262" s="88" t="str">
        <v>All movements</v>
      </c>
      <c r="B262" s="24">
        <v>13</v>
      </c>
      <c r="C262" s="96">
        <f t="shared" si="15"/>
        <v>2000</v>
      </c>
      <c r="D262" s="96">
        <f t="shared" si="14"/>
        <v>2000</v>
      </c>
      <c r="E262" s="96">
        <f t="shared" si="14"/>
        <v>11000</v>
      </c>
      <c r="F262" s="96">
        <f t="shared" si="14"/>
        <v>11000</v>
      </c>
      <c r="G262" s="96">
        <f t="shared" si="14"/>
        <v>3000</v>
      </c>
      <c r="H262" s="96">
        <f t="shared" si="14"/>
        <v>4000</v>
      </c>
      <c r="S262" s="119" t="s">
        <v>439</v>
      </c>
      <c r="T262" s="119"/>
      <c r="U262" s="161">
        <v>2</v>
      </c>
      <c r="V262" s="161">
        <v>2</v>
      </c>
      <c r="W262" s="161">
        <v>11</v>
      </c>
      <c r="X262" s="161">
        <v>11</v>
      </c>
      <c r="Y262" s="161">
        <v>3</v>
      </c>
      <c r="Z262" s="161">
        <v>4</v>
      </c>
    </row>
    <row r="263" spans="1:26">
      <c r="B263" s="24">
        <v>14</v>
      </c>
    </row>
    <row r="266" spans="1:26" ht="19.8">
      <c r="A266" s="92" t="s">
        <v>477</v>
      </c>
      <c r="B266" s="92"/>
    </row>
    <row r="267" spans="1:26">
      <c r="A267" s="91" t="s">
        <v>478</v>
      </c>
      <c r="B267" s="395" t="s">
        <v>863</v>
      </c>
    </row>
    <row r="268" spans="1:26" ht="13.8" thickBot="1">
      <c r="A268" s="91"/>
      <c r="B268" s="134"/>
    </row>
    <row r="269" spans="1:26" ht="13.2" customHeight="1">
      <c r="A269" s="90" t="s">
        <v>409</v>
      </c>
      <c r="B269" s="90" t="s">
        <v>479</v>
      </c>
      <c r="C269" s="388" t="s">
        <v>480</v>
      </c>
      <c r="D269" s="388" t="s">
        <v>481</v>
      </c>
    </row>
    <row r="270" spans="1:26" ht="24" thickBot="1">
      <c r="A270" s="89"/>
      <c r="B270" s="89"/>
      <c r="C270" s="389" t="s">
        <v>482</v>
      </c>
      <c r="D270" s="389" t="s">
        <v>482</v>
      </c>
      <c r="F270" s="95" t="str">
        <f>IF('SP4-6'!E11="","",LOOKUP('SP4-6'!E11,{0,70,100},{"0","17","35"}))</f>
        <v/>
      </c>
      <c r="G270" s="95" t="str">
        <f ca="1">IF(F270="","",OFFSET(B270,J127+F270,1))</f>
        <v/>
      </c>
      <c r="H270" s="95" t="str">
        <f ca="1">IF(F270="","",OFFSET(B270,J127+F270,2))</f>
        <v/>
      </c>
    </row>
    <row r="271" spans="1:26" ht="13.8" thickBot="1">
      <c r="A271" s="88" t="s">
        <v>483</v>
      </c>
      <c r="B271" s="87" t="s">
        <v>484</v>
      </c>
      <c r="C271" s="109">
        <v>0.08</v>
      </c>
      <c r="D271" s="109">
        <v>0.92</v>
      </c>
    </row>
    <row r="272" spans="1:26" ht="13.8" thickBot="1">
      <c r="A272" s="88" t="s">
        <v>485</v>
      </c>
      <c r="B272" s="87" t="s">
        <v>446</v>
      </c>
      <c r="C272" s="109">
        <v>0.04</v>
      </c>
      <c r="D272" s="109">
        <v>0.96</v>
      </c>
    </row>
    <row r="273" spans="1:4" ht="34.799999999999997" thickBot="1">
      <c r="A273" s="88" t="s">
        <v>486</v>
      </c>
      <c r="B273" s="87" t="s">
        <v>487</v>
      </c>
      <c r="C273" s="109">
        <v>0.1</v>
      </c>
      <c r="D273" s="109">
        <v>0.9</v>
      </c>
    </row>
    <row r="274" spans="1:4" ht="34.799999999999997" thickBot="1">
      <c r="A274" s="88" t="s">
        <v>488</v>
      </c>
      <c r="B274" s="87" t="s">
        <v>489</v>
      </c>
      <c r="C274" s="109">
        <v>0.04</v>
      </c>
      <c r="D274" s="109">
        <v>0.96</v>
      </c>
    </row>
    <row r="275" spans="1:4" ht="23.4" thickBot="1">
      <c r="A275" s="88" t="s">
        <v>490</v>
      </c>
      <c r="B275" s="87" t="s">
        <v>491</v>
      </c>
      <c r="C275" s="109">
        <v>0.15</v>
      </c>
      <c r="D275" s="109">
        <v>0.85</v>
      </c>
    </row>
    <row r="276" spans="1:4" ht="23.4" thickBot="1">
      <c r="A276" s="88" t="s">
        <v>492</v>
      </c>
      <c r="B276" s="87" t="s">
        <v>493</v>
      </c>
      <c r="C276" s="109">
        <v>0.05</v>
      </c>
      <c r="D276" s="109">
        <v>0.95</v>
      </c>
    </row>
    <row r="277" spans="1:4" ht="13.8" thickBot="1">
      <c r="A277" s="88" t="s">
        <v>494</v>
      </c>
      <c r="B277" s="87" t="s">
        <v>495</v>
      </c>
      <c r="C277" s="109">
        <v>0.08</v>
      </c>
      <c r="D277" s="109">
        <v>0.92</v>
      </c>
    </row>
    <row r="278" spans="1:4" ht="23.4" thickBot="1">
      <c r="A278" s="88" t="s">
        <v>496</v>
      </c>
      <c r="B278" s="87" t="s">
        <v>497</v>
      </c>
      <c r="C278" s="109">
        <v>0.04</v>
      </c>
      <c r="D278" s="109">
        <v>0.96</v>
      </c>
    </row>
    <row r="279" spans="1:4" ht="23.4" thickBot="1">
      <c r="A279" s="88" t="s">
        <v>498</v>
      </c>
      <c r="B279" s="87" t="s">
        <v>499</v>
      </c>
      <c r="C279" s="109">
        <v>0.02</v>
      </c>
      <c r="D279" s="109">
        <v>0.98</v>
      </c>
    </row>
    <row r="280" spans="1:4" ht="34.799999999999997" thickBot="1">
      <c r="A280" s="88" t="s">
        <v>500</v>
      </c>
      <c r="B280" s="87" t="s">
        <v>501</v>
      </c>
      <c r="C280" s="109">
        <v>0.05</v>
      </c>
      <c r="D280" s="109">
        <v>0.95</v>
      </c>
    </row>
    <row r="281" spans="1:4" ht="23.4" thickBot="1">
      <c r="A281" s="88" t="s">
        <v>502</v>
      </c>
      <c r="B281" s="87" t="s">
        <v>503</v>
      </c>
      <c r="C281" s="109">
        <v>0.05</v>
      </c>
      <c r="D281" s="109">
        <v>0.95</v>
      </c>
    </row>
    <row r="282" spans="1:4" ht="23.4" thickBot="1">
      <c r="A282" s="88" t="s">
        <v>504</v>
      </c>
      <c r="B282" s="87" t="s">
        <v>505</v>
      </c>
      <c r="C282" s="109">
        <v>0.03</v>
      </c>
      <c r="D282" s="109">
        <v>0.97</v>
      </c>
    </row>
    <row r="283" spans="1:4" ht="34.799999999999997" thickBot="1">
      <c r="A283" s="88" t="s">
        <v>506</v>
      </c>
      <c r="B283" s="93"/>
      <c r="C283" s="109">
        <v>7.0000000000000007E-2</v>
      </c>
      <c r="D283" s="109">
        <v>0.93</v>
      </c>
    </row>
    <row r="284" spans="1:4">
      <c r="A284" s="94"/>
    </row>
    <row r="285" spans="1:4" ht="13.8" thickBot="1">
      <c r="A285" s="91" t="s">
        <v>507</v>
      </c>
      <c r="B285" s="395" t="s">
        <v>839</v>
      </c>
    </row>
    <row r="286" spans="1:4" ht="13.2" customHeight="1">
      <c r="A286" s="90" t="s">
        <v>409</v>
      </c>
      <c r="B286" s="90" t="s">
        <v>479</v>
      </c>
      <c r="C286" s="388" t="s">
        <v>480</v>
      </c>
      <c r="D286" s="388" t="s">
        <v>481</v>
      </c>
    </row>
    <row r="287" spans="1:4" ht="24" thickBot="1">
      <c r="A287" s="89"/>
      <c r="B287" s="89"/>
      <c r="C287" s="389" t="s">
        <v>482</v>
      </c>
      <c r="D287" s="389" t="s">
        <v>482</v>
      </c>
    </row>
    <row r="288" spans="1:4" ht="13.8" thickBot="1">
      <c r="A288" s="88" t="s">
        <v>483</v>
      </c>
      <c r="B288" s="87" t="s">
        <v>508</v>
      </c>
      <c r="C288" s="109">
        <v>0.25</v>
      </c>
      <c r="D288" s="109">
        <v>0.75</v>
      </c>
    </row>
    <row r="289" spans="1:4" ht="13.8" thickBot="1">
      <c r="A289" s="88" t="s">
        <v>485</v>
      </c>
      <c r="B289" s="87" t="s">
        <v>509</v>
      </c>
      <c r="C289" s="109">
        <v>0.06</v>
      </c>
      <c r="D289" s="109">
        <v>0.94</v>
      </c>
    </row>
    <row r="290" spans="1:4" ht="34.799999999999997" thickBot="1">
      <c r="A290" s="88" t="s">
        <v>510</v>
      </c>
      <c r="B290" s="87" t="s">
        <v>511</v>
      </c>
      <c r="C290" s="109">
        <v>0.16</v>
      </c>
      <c r="D290" s="109">
        <v>0.84</v>
      </c>
    </row>
    <row r="291" spans="1:4" ht="34.799999999999997" thickBot="1">
      <c r="A291" s="88" t="s">
        <v>488</v>
      </c>
      <c r="B291" s="87" t="s">
        <v>512</v>
      </c>
      <c r="C291" s="109">
        <v>0.2</v>
      </c>
      <c r="D291" s="109">
        <v>0.8</v>
      </c>
    </row>
    <row r="292" spans="1:4" ht="23.4" thickBot="1">
      <c r="A292" s="88" t="s">
        <v>490</v>
      </c>
      <c r="B292" s="87" t="s">
        <v>513</v>
      </c>
      <c r="C292" s="109">
        <v>0.28999999999999998</v>
      </c>
      <c r="D292" s="109">
        <v>0.71</v>
      </c>
    </row>
    <row r="293" spans="1:4" ht="23.4" thickBot="1">
      <c r="A293" s="88" t="s">
        <v>492</v>
      </c>
      <c r="B293" s="87" t="s">
        <v>493</v>
      </c>
      <c r="C293" s="109">
        <v>0.08</v>
      </c>
      <c r="D293" s="109">
        <v>0.92</v>
      </c>
    </row>
    <row r="294" spans="1:4" ht="13.8" thickBot="1">
      <c r="A294" s="88" t="s">
        <v>494</v>
      </c>
      <c r="B294" s="87" t="s">
        <v>495</v>
      </c>
      <c r="C294" s="109">
        <v>0.11</v>
      </c>
      <c r="D294" s="109">
        <v>0.89</v>
      </c>
    </row>
    <row r="295" spans="1:4" ht="23.4" thickBot="1">
      <c r="A295" s="88" t="s">
        <v>496</v>
      </c>
      <c r="B295" s="87" t="s">
        <v>497</v>
      </c>
      <c r="C295" s="109">
        <v>0.12</v>
      </c>
      <c r="D295" s="109">
        <v>0.88</v>
      </c>
    </row>
    <row r="296" spans="1:4" ht="23.4" thickBot="1">
      <c r="A296" s="88" t="s">
        <v>498</v>
      </c>
      <c r="B296" s="87" t="s">
        <v>499</v>
      </c>
      <c r="C296" s="109">
        <v>0.04</v>
      </c>
      <c r="D296" s="109">
        <v>0.96</v>
      </c>
    </row>
    <row r="297" spans="1:4" ht="34.799999999999997" thickBot="1">
      <c r="A297" s="88" t="s">
        <v>500</v>
      </c>
      <c r="B297" s="87" t="s">
        <v>501</v>
      </c>
      <c r="C297" s="109">
        <v>0.12</v>
      </c>
      <c r="D297" s="109">
        <v>0.88</v>
      </c>
    </row>
    <row r="298" spans="1:4" ht="23.4" thickBot="1">
      <c r="A298" s="88" t="s">
        <v>502</v>
      </c>
      <c r="B298" s="87" t="s">
        <v>503</v>
      </c>
      <c r="C298" s="109">
        <v>0.13</v>
      </c>
      <c r="D298" s="109">
        <v>0.87</v>
      </c>
    </row>
    <row r="299" spans="1:4" ht="23.4" thickBot="1">
      <c r="A299" s="88" t="s">
        <v>504</v>
      </c>
      <c r="B299" s="87" t="s">
        <v>505</v>
      </c>
      <c r="C299" s="109">
        <v>7.0000000000000007E-2</v>
      </c>
      <c r="D299" s="109">
        <v>0.93</v>
      </c>
    </row>
    <row r="300" spans="1:4" ht="34.799999999999997" thickBot="1">
      <c r="A300" s="88" t="s">
        <v>506</v>
      </c>
      <c r="B300" s="93"/>
      <c r="C300" s="109">
        <v>0.14000000000000001</v>
      </c>
      <c r="D300" s="109">
        <v>0.86</v>
      </c>
    </row>
    <row r="301" spans="1:4" ht="19.8">
      <c r="A301" s="92"/>
    </row>
    <row r="302" spans="1:4" ht="19.8">
      <c r="A302" s="92" t="s">
        <v>477</v>
      </c>
      <c r="B302" s="92"/>
    </row>
    <row r="303" spans="1:4" ht="13.8" thickBot="1">
      <c r="A303" s="91" t="s">
        <v>514</v>
      </c>
      <c r="B303" s="395" t="s">
        <v>840</v>
      </c>
    </row>
    <row r="304" spans="1:4" ht="13.2" customHeight="1">
      <c r="A304" s="90" t="s">
        <v>409</v>
      </c>
      <c r="B304" s="90" t="s">
        <v>479</v>
      </c>
      <c r="C304" s="388" t="s">
        <v>515</v>
      </c>
      <c r="D304" s="388" t="s">
        <v>516</v>
      </c>
    </row>
    <row r="305" spans="1:24" ht="24" thickBot="1">
      <c r="A305" s="89"/>
      <c r="B305" s="89"/>
      <c r="C305" s="389" t="s">
        <v>482</v>
      </c>
      <c r="D305" s="389" t="s">
        <v>482</v>
      </c>
    </row>
    <row r="306" spans="1:24" ht="13.8" thickBot="1">
      <c r="A306" s="88" t="s">
        <v>483</v>
      </c>
      <c r="B306" s="87" t="s">
        <v>484</v>
      </c>
      <c r="C306" s="87">
        <v>0.35</v>
      </c>
      <c r="D306" s="87">
        <v>0.65</v>
      </c>
    </row>
    <row r="307" spans="1:24" ht="13.8" thickBot="1">
      <c r="A307" s="88" t="s">
        <v>485</v>
      </c>
      <c r="B307" s="87" t="s">
        <v>446</v>
      </c>
      <c r="C307" s="87">
        <v>0.12</v>
      </c>
      <c r="D307" s="87">
        <v>0.88</v>
      </c>
    </row>
    <row r="308" spans="1:24" ht="34.799999999999997" thickBot="1">
      <c r="A308" s="88" t="s">
        <v>510</v>
      </c>
      <c r="B308" s="87" t="s">
        <v>487</v>
      </c>
      <c r="C308" s="87">
        <v>0.14000000000000001</v>
      </c>
      <c r="D308" s="87">
        <v>0.86</v>
      </c>
    </row>
    <row r="309" spans="1:24" ht="34.799999999999997" thickBot="1">
      <c r="A309" s="88" t="s">
        <v>488</v>
      </c>
      <c r="B309" s="87" t="s">
        <v>489</v>
      </c>
      <c r="C309" s="87">
        <v>0.08</v>
      </c>
      <c r="D309" s="87">
        <v>0.92</v>
      </c>
    </row>
    <row r="310" spans="1:24" ht="23.4" thickBot="1">
      <c r="A310" s="88" t="s">
        <v>490</v>
      </c>
      <c r="B310" s="87" t="s">
        <v>491</v>
      </c>
      <c r="C310" s="87">
        <v>0.22</v>
      </c>
      <c r="D310" s="87">
        <v>0.78</v>
      </c>
    </row>
    <row r="311" spans="1:24" ht="23.4" thickBot="1">
      <c r="A311" s="88" t="s">
        <v>492</v>
      </c>
      <c r="B311" s="87" t="s">
        <v>517</v>
      </c>
      <c r="C311" s="87">
        <v>0.11</v>
      </c>
      <c r="D311" s="87">
        <v>0.89</v>
      </c>
    </row>
    <row r="312" spans="1:24" ht="13.8" thickBot="1">
      <c r="A312" s="88" t="s">
        <v>494</v>
      </c>
      <c r="B312" s="87" t="s">
        <v>518</v>
      </c>
      <c r="C312" s="87">
        <v>0.37</v>
      </c>
      <c r="D312" s="87">
        <v>0.63</v>
      </c>
    </row>
    <row r="313" spans="1:24" ht="23.4" thickBot="1">
      <c r="A313" s="88" t="s">
        <v>496</v>
      </c>
      <c r="B313" s="87" t="s">
        <v>519</v>
      </c>
      <c r="C313" s="87">
        <v>0.12</v>
      </c>
      <c r="D313" s="87">
        <v>0.88</v>
      </c>
    </row>
    <row r="314" spans="1:24" ht="23.4" thickBot="1">
      <c r="A314" s="88" t="s">
        <v>498</v>
      </c>
      <c r="B314" s="87" t="s">
        <v>520</v>
      </c>
      <c r="C314" s="87">
        <v>0.06</v>
      </c>
      <c r="D314" s="87">
        <v>0.94</v>
      </c>
    </row>
    <row r="315" spans="1:24" ht="34.799999999999997" thickBot="1">
      <c r="A315" s="88" t="s">
        <v>500</v>
      </c>
      <c r="B315" s="87" t="s">
        <v>521</v>
      </c>
      <c r="C315" s="87">
        <v>0.14000000000000001</v>
      </c>
      <c r="D315" s="87">
        <v>0.86</v>
      </c>
    </row>
    <row r="316" spans="1:24" ht="23.4" thickBot="1">
      <c r="A316" s="88" t="s">
        <v>502</v>
      </c>
      <c r="B316" s="87" t="s">
        <v>522</v>
      </c>
      <c r="C316" s="87">
        <v>0.19</v>
      </c>
      <c r="D316" s="87">
        <v>0.81</v>
      </c>
    </row>
    <row r="317" spans="1:24" ht="23.4" thickBot="1">
      <c r="A317" s="88" t="s">
        <v>504</v>
      </c>
      <c r="B317" s="87" t="s">
        <v>523</v>
      </c>
      <c r="C317" s="87">
        <v>0.13</v>
      </c>
      <c r="D317" s="87">
        <v>0.87</v>
      </c>
    </row>
    <row r="318" spans="1:24" ht="34.799999999999997" thickBot="1">
      <c r="A318" s="88" t="s">
        <v>506</v>
      </c>
      <c r="B318" s="87"/>
      <c r="C318" s="87">
        <v>0.18</v>
      </c>
      <c r="D318" s="87">
        <v>0.82</v>
      </c>
    </row>
    <row r="319" spans="1:24">
      <c r="F319" s="24" t="s">
        <v>681</v>
      </c>
      <c r="I319" s="85">
        <v>1</v>
      </c>
      <c r="J319" s="24" t="s">
        <v>134</v>
      </c>
      <c r="K319" s="24" t="e">
        <f>(1-(1+H$320)^(-I319)) / (LN(1+H$320))</f>
        <v>#VALUE!</v>
      </c>
      <c r="N319" s="24" t="s">
        <v>682</v>
      </c>
      <c r="R319" s="24" t="s">
        <v>683</v>
      </c>
      <c r="V319" s="24" t="s">
        <v>684</v>
      </c>
    </row>
    <row r="320" spans="1:24" ht="13.8" thickBot="1">
      <c r="F320" s="24" t="s">
        <v>685</v>
      </c>
      <c r="H320" s="86" t="str">
        <f>'SP4-1'!I28</f>
        <v>2% up to 30 years and 1.5% after 30 years</v>
      </c>
      <c r="I320" s="85">
        <f>'SP4-1'!I27</f>
        <v>40</v>
      </c>
      <c r="J320" s="24" t="s">
        <v>135</v>
      </c>
      <c r="K320" s="24" t="e">
        <f>(1-(1+H$320)^(-I320)) / (LN(1+H$320))</f>
        <v>#VALUE!</v>
      </c>
      <c r="N320" s="24" t="s">
        <v>685</v>
      </c>
      <c r="P320" s="86" t="str">
        <f>'SP4-1'!I28</f>
        <v>2% up to 30 years and 1.5% after 30 years</v>
      </c>
      <c r="R320" s="24" t="s">
        <v>685</v>
      </c>
      <c r="T320" s="86" t="str">
        <f>'SP4-1'!I28</f>
        <v>2% up to 30 years and 1.5% after 30 years</v>
      </c>
      <c r="V320" s="24" t="s">
        <v>685</v>
      </c>
      <c r="X320" s="86" t="str">
        <f>'SP4-1'!I28</f>
        <v>2% up to 30 years and 1.5% after 30 years</v>
      </c>
    </row>
    <row r="321" spans="1:24" ht="13.8" thickBot="1">
      <c r="A321" s="84"/>
      <c r="F321" s="24" t="s">
        <v>550</v>
      </c>
      <c r="G321" s="24" t="s">
        <v>551</v>
      </c>
      <c r="H321" s="24" t="s">
        <v>552</v>
      </c>
      <c r="I321" s="85"/>
      <c r="J321" s="24" t="s">
        <v>553</v>
      </c>
      <c r="K321" s="24">
        <v>0.96150000000000002</v>
      </c>
      <c r="N321" s="24" t="s">
        <v>550</v>
      </c>
      <c r="O321" s="24" t="s">
        <v>551</v>
      </c>
      <c r="P321" s="24" t="s">
        <v>552</v>
      </c>
      <c r="R321" s="24" t="s">
        <v>550</v>
      </c>
      <c r="S321" s="24" t="s">
        <v>551</v>
      </c>
      <c r="T321" s="24" t="s">
        <v>552</v>
      </c>
    </row>
    <row r="322" spans="1:24" ht="13.8" thickBot="1">
      <c r="A322" s="82"/>
      <c r="B322" s="83"/>
      <c r="D322" s="59" t="s">
        <v>554</v>
      </c>
      <c r="E322" s="24">
        <v>1</v>
      </c>
      <c r="F322" s="24">
        <v>0</v>
      </c>
      <c r="I322" s="85">
        <f>'SP4-1'!I27</f>
        <v>40</v>
      </c>
      <c r="J322" s="24" t="s">
        <v>136</v>
      </c>
      <c r="K322" s="24" t="e">
        <f>((LN(1+H$320))^-2)-(I322*(1+H$320)^(I322*(-1))*(LN((1+H$320))^-1))-((1+H$320)^(I322*(-1))*(LN(1+H$320))^-2)</f>
        <v>#VALUE!</v>
      </c>
      <c r="L322" s="59" t="s">
        <v>554</v>
      </c>
      <c r="M322" s="24">
        <v>1</v>
      </c>
      <c r="N322" s="24">
        <v>0</v>
      </c>
      <c r="R322" s="24">
        <v>0</v>
      </c>
    </row>
    <row r="323" spans="1:24" ht="13.8" thickBot="1">
      <c r="A323" s="82"/>
      <c r="B323" s="153"/>
      <c r="D323" s="59" t="s">
        <v>555</v>
      </c>
      <c r="E323" s="24">
        <v>2</v>
      </c>
      <c r="F323" s="24" t="str">
        <f>IF('SP4-2'!C24="","no number",'SP4-2'!C24)</f>
        <v>no number</v>
      </c>
      <c r="G323" s="24" t="str">
        <f>IF(F323="no number","no number",F323-$F$322)</f>
        <v>no number</v>
      </c>
      <c r="H323" s="154" t="str">
        <f>IF(G323="no number","",(1/((1+$H$320)^(G323))))</f>
        <v/>
      </c>
      <c r="I323" s="85">
        <v>1</v>
      </c>
      <c r="J323" s="24" t="s">
        <v>137</v>
      </c>
      <c r="K323" s="24" t="e">
        <f>((LN(1+H$320))^-2)-(I323*(1+H$320)^(I323*(-1))*(LN((1+H$320))^-1))-((1+H$320)^(I323*(-1))*(LN(1+H$320))^-2)</f>
        <v>#VALUE!</v>
      </c>
      <c r="L323" s="59" t="s">
        <v>555</v>
      </c>
      <c r="M323" s="24">
        <v>2</v>
      </c>
      <c r="N323" s="24" t="str">
        <f>IF('SP4-3 (1)'!B22="","no number",'SP4-3 (1)'!B22)</f>
        <v>no number</v>
      </c>
      <c r="O323" s="24" t="str">
        <f t="shared" ref="O323:O329" si="16">IF(N323="no number","no number",N323-$N$322)</f>
        <v>no number</v>
      </c>
      <c r="P323" s="154" t="str">
        <f t="shared" ref="P323:P329" si="17">IF(O323="no number","",(1/((1+$P$320)^(O323))))</f>
        <v/>
      </c>
      <c r="R323" s="24" t="str">
        <f>IF('SP4-3 (2)'!B22="","no number",'SP4-3 (2)'!B22)</f>
        <v>no number</v>
      </c>
      <c r="S323" s="24" t="str">
        <f t="shared" ref="S323:S329" si="18">IF(R323="no number","no number",R323-$N$322)</f>
        <v>no number</v>
      </c>
      <c r="T323" s="154" t="str">
        <f t="shared" ref="T323:T329" si="19">IF(S323="no number","",(1/((1+$P$320)^(S323))))</f>
        <v/>
      </c>
      <c r="X323" s="154"/>
    </row>
    <row r="324" spans="1:24" ht="13.8" thickBot="1">
      <c r="A324" s="82"/>
      <c r="B324" s="153"/>
      <c r="D324" s="59" t="s">
        <v>556</v>
      </c>
      <c r="E324" s="24">
        <v>3</v>
      </c>
      <c r="F324" s="24" t="str">
        <f>IF('SP4-2'!C25="","no number",'SP4-2'!C25)</f>
        <v>no number</v>
      </c>
      <c r="G324" s="24" t="str">
        <f t="shared" ref="G324:G330" si="20">IF(F324="no number","no number",F324-$F$322)</f>
        <v>no number</v>
      </c>
      <c r="H324" s="154" t="str">
        <f t="shared" ref="H324:H331" si="21">IF(G324="no number","",(1/((1+$H$320)^(G324))))</f>
        <v/>
      </c>
      <c r="I324" s="85" t="s">
        <v>557</v>
      </c>
      <c r="L324" s="59" t="s">
        <v>556</v>
      </c>
      <c r="M324" s="24">
        <v>3</v>
      </c>
      <c r="N324" s="24" t="str">
        <f>IF('SP4-3 (1)'!B23="","no number",'SP4-3 (1)'!B23)</f>
        <v>no number</v>
      </c>
      <c r="O324" s="24" t="str">
        <f t="shared" si="16"/>
        <v>no number</v>
      </c>
      <c r="P324" s="154" t="str">
        <f t="shared" si="17"/>
        <v/>
      </c>
      <c r="R324" s="24" t="str">
        <f>IF('SP4-3 (2)'!B23="","no number",'SP4-3 (2)'!B23)</f>
        <v>no number</v>
      </c>
      <c r="S324" s="24" t="str">
        <f t="shared" si="18"/>
        <v>no number</v>
      </c>
      <c r="T324" s="154" t="str">
        <f t="shared" si="19"/>
        <v/>
      </c>
      <c r="X324" s="154"/>
    </row>
    <row r="325" spans="1:24" ht="13.8" thickBot="1">
      <c r="A325" s="82"/>
      <c r="B325" s="153"/>
      <c r="D325" s="59" t="s">
        <v>558</v>
      </c>
      <c r="E325" s="24">
        <v>4</v>
      </c>
      <c r="F325" s="24" t="str">
        <f>IF('SP4-2'!C26="","no number",'SP4-2'!C26)</f>
        <v>no number</v>
      </c>
      <c r="G325" s="24" t="str">
        <f t="shared" si="20"/>
        <v>no number</v>
      </c>
      <c r="H325" s="154" t="str">
        <f t="shared" si="21"/>
        <v/>
      </c>
      <c r="I325" s="85">
        <f>'SP4-1'!I27</f>
        <v>40</v>
      </c>
      <c r="J325" s="24" t="s">
        <v>136</v>
      </c>
      <c r="K325" s="24" t="e">
        <f>((LN(1+H$320))^-2)-(I325*(1+H$320)^(I325*(-1))*(LN((1+H$320))^-1))-((1+H$320)^(I325*(-1))*(LN(1+H$320))^-2)</f>
        <v>#VALUE!</v>
      </c>
      <c r="L325" s="59" t="s">
        <v>558</v>
      </c>
      <c r="M325" s="24">
        <v>4</v>
      </c>
      <c r="N325" s="24" t="str">
        <f>IF('SP4-3 (1)'!B24="","no number",'SP4-3 (1)'!B24)</f>
        <v>no number</v>
      </c>
      <c r="O325" s="24" t="str">
        <f t="shared" si="16"/>
        <v>no number</v>
      </c>
      <c r="P325" s="154" t="str">
        <f t="shared" si="17"/>
        <v/>
      </c>
      <c r="R325" s="24" t="str">
        <f>IF('SP4-3 (2)'!B24="","no number",'SP4-3 (2)'!B24)</f>
        <v>no number</v>
      </c>
      <c r="S325" s="24" t="str">
        <f t="shared" si="18"/>
        <v>no number</v>
      </c>
      <c r="T325" s="154" t="str">
        <f t="shared" si="19"/>
        <v/>
      </c>
      <c r="X325" s="154"/>
    </row>
    <row r="326" spans="1:24" ht="13.8" thickBot="1">
      <c r="A326" s="82"/>
      <c r="B326" s="153"/>
      <c r="D326" s="59" t="s">
        <v>559</v>
      </c>
      <c r="E326" s="24">
        <v>5</v>
      </c>
      <c r="F326" s="24" t="str">
        <f>IF('SP4-2'!C27="","no number",'SP4-2'!C27)</f>
        <v>no number</v>
      </c>
      <c r="G326" s="24" t="str">
        <f t="shared" si="20"/>
        <v>no number</v>
      </c>
      <c r="H326" s="154" t="str">
        <f t="shared" si="21"/>
        <v/>
      </c>
      <c r="L326" s="59" t="s">
        <v>559</v>
      </c>
      <c r="M326" s="24">
        <v>5</v>
      </c>
      <c r="N326" s="24" t="str">
        <f>IF('SP4-3 (1)'!B25="","no number",'SP4-3 (1)'!B25)</f>
        <v>no number</v>
      </c>
      <c r="O326" s="24" t="str">
        <f t="shared" si="16"/>
        <v>no number</v>
      </c>
      <c r="P326" s="154" t="str">
        <f t="shared" si="17"/>
        <v/>
      </c>
      <c r="R326" s="24" t="str">
        <f>IF('SP4-3 (2)'!B25="","no number",'SP4-3 (2)'!B25)</f>
        <v>no number</v>
      </c>
      <c r="S326" s="24" t="str">
        <f t="shared" si="18"/>
        <v>no number</v>
      </c>
      <c r="T326" s="154" t="str">
        <f t="shared" si="19"/>
        <v/>
      </c>
      <c r="X326" s="154"/>
    </row>
    <row r="327" spans="1:24" ht="13.8" thickBot="1">
      <c r="A327" s="82"/>
      <c r="B327" s="153"/>
      <c r="D327" s="59" t="s">
        <v>560</v>
      </c>
      <c r="E327" s="24">
        <v>6</v>
      </c>
      <c r="F327" s="24" t="str">
        <f>IF('SP4-2'!C28="","no number",'SP4-2'!C28)</f>
        <v>no number</v>
      </c>
      <c r="G327" s="24" t="str">
        <f t="shared" si="20"/>
        <v>no number</v>
      </c>
      <c r="H327" s="154" t="str">
        <f t="shared" si="21"/>
        <v/>
      </c>
      <c r="J327" s="121" t="s">
        <v>138</v>
      </c>
      <c r="K327" s="291">
        <f>'SP4-1'!I34*780+Tables!I320-1</f>
        <v>39</v>
      </c>
      <c r="L327" s="59" t="s">
        <v>560</v>
      </c>
      <c r="M327" s="24">
        <v>6</v>
      </c>
      <c r="N327" s="24" t="str">
        <f>IF('SP4-3 (1)'!B26="","no number",'SP4-3 (1)'!B26)</f>
        <v>no number</v>
      </c>
      <c r="O327" s="24" t="str">
        <f t="shared" si="16"/>
        <v>no number</v>
      </c>
      <c r="P327" s="154" t="str">
        <f t="shared" si="17"/>
        <v/>
      </c>
      <c r="R327" s="24" t="str">
        <f>IF('SP4-3 (2)'!B26="","no number",'SP4-3 (2)'!B26)</f>
        <v>no number</v>
      </c>
      <c r="S327" s="24" t="str">
        <f t="shared" si="18"/>
        <v>no number</v>
      </c>
      <c r="T327" s="154" t="str">
        <f t="shared" si="19"/>
        <v/>
      </c>
      <c r="X327" s="154"/>
    </row>
    <row r="328" spans="1:24" ht="13.8" thickBot="1">
      <c r="A328" s="82"/>
      <c r="B328" s="153"/>
      <c r="D328" s="59" t="s">
        <v>561</v>
      </c>
      <c r="E328" s="24">
        <v>7</v>
      </c>
      <c r="F328" s="24" t="str">
        <f>IF('SP4-2'!C29="","no number",'SP4-2'!C29)</f>
        <v>no number</v>
      </c>
      <c r="G328" s="24" t="str">
        <f t="shared" si="20"/>
        <v>no number</v>
      </c>
      <c r="H328" s="154" t="str">
        <f t="shared" si="21"/>
        <v/>
      </c>
      <c r="L328" s="59" t="s">
        <v>561</v>
      </c>
      <c r="M328" s="24">
        <v>7</v>
      </c>
      <c r="N328" s="24" t="str">
        <f>IF('SP4-3 (1)'!B27="","no number",'SP4-3 (1)'!B27)</f>
        <v>no number</v>
      </c>
      <c r="O328" s="24" t="str">
        <f t="shared" si="16"/>
        <v>no number</v>
      </c>
      <c r="P328" s="154" t="str">
        <f t="shared" si="17"/>
        <v/>
      </c>
      <c r="R328" s="24" t="str">
        <f>IF('SP4-3 (2)'!B27="","no number",'SP4-3 (2)'!B27)</f>
        <v>no number</v>
      </c>
      <c r="S328" s="24" t="str">
        <f t="shared" si="18"/>
        <v>no number</v>
      </c>
      <c r="T328" s="154" t="str">
        <f t="shared" si="19"/>
        <v/>
      </c>
      <c r="X328" s="154"/>
    </row>
    <row r="329" spans="1:24" ht="13.8" thickBot="1">
      <c r="A329" s="82"/>
      <c r="B329" s="153"/>
      <c r="D329" s="59" t="s">
        <v>562</v>
      </c>
      <c r="E329" s="24">
        <v>8</v>
      </c>
      <c r="F329" s="24" t="str">
        <f>IF('SP4-2'!C30="","no number",'SP4-2'!C30)</f>
        <v>no number</v>
      </c>
      <c r="G329" s="24" t="str">
        <f t="shared" si="20"/>
        <v>no number</v>
      </c>
      <c r="H329" s="154" t="str">
        <f t="shared" si="21"/>
        <v/>
      </c>
      <c r="L329" s="59" t="s">
        <v>562</v>
      </c>
      <c r="M329" s="24">
        <v>8</v>
      </c>
      <c r="N329" s="24" t="str">
        <f>IF('SP4-3 (1)'!B28="","no number",'SP4-3 (1)'!B28)</f>
        <v>no number</v>
      </c>
      <c r="O329" s="24" t="str">
        <f t="shared" si="16"/>
        <v>no number</v>
      </c>
      <c r="P329" s="154" t="str">
        <f t="shared" si="17"/>
        <v/>
      </c>
      <c r="R329" s="24" t="str">
        <f>IF('SP4-3 (2)'!B28="","no number",'SP4-3 (2)'!B28)</f>
        <v>no number</v>
      </c>
      <c r="S329" s="24" t="str">
        <f t="shared" si="18"/>
        <v>no number</v>
      </c>
      <c r="T329" s="154" t="str">
        <f t="shared" si="19"/>
        <v/>
      </c>
      <c r="X329" s="154"/>
    </row>
    <row r="330" spans="1:24" ht="13.8" thickBot="1">
      <c r="A330" s="82"/>
      <c r="B330" s="153"/>
      <c r="D330" s="59" t="s">
        <v>563</v>
      </c>
      <c r="E330" s="24">
        <v>9</v>
      </c>
      <c r="F330" s="24" t="str">
        <f>IF('SP4-2'!C31="","no number",'SP4-2'!C31)</f>
        <v>no number</v>
      </c>
      <c r="G330" s="24" t="str">
        <f t="shared" si="20"/>
        <v>no number</v>
      </c>
      <c r="H330" s="154" t="str">
        <f t="shared" si="21"/>
        <v/>
      </c>
      <c r="L330" s="59" t="s">
        <v>563</v>
      </c>
      <c r="M330" s="24">
        <v>9</v>
      </c>
      <c r="N330" s="24" t="str">
        <f>IF('SP4-3 (1)'!B29="","no number",'SP4-3 (1)'!B29)</f>
        <v>no number</v>
      </c>
      <c r="O330" s="24" t="str">
        <f>IF(N330="no number","no number",N330-$N$322)</f>
        <v>no number</v>
      </c>
      <c r="P330" s="154" t="str">
        <f>IF(O330="no number","",(1/((1+$P$320)^(O330))))</f>
        <v/>
      </c>
      <c r="R330" s="24" t="str">
        <f>IF('SP4-3 (2)'!B29="","no number",'SP4-3 (2)'!B29)</f>
        <v>no number</v>
      </c>
      <c r="S330" s="24" t="str">
        <f>IF(R330="no number","no number",R330-$N$322)</f>
        <v>no number</v>
      </c>
      <c r="T330" s="154" t="str">
        <f>IF(S330="no number","",(1/((1+$P$320)^(S330))))</f>
        <v/>
      </c>
      <c r="X330" s="154"/>
    </row>
    <row r="331" spans="1:24" ht="13.8" thickBot="1">
      <c r="A331" s="82"/>
      <c r="B331" s="153"/>
      <c r="D331" s="59" t="s">
        <v>564</v>
      </c>
      <c r="E331" s="24">
        <v>10</v>
      </c>
      <c r="F331" s="24" t="str">
        <f>IF('SP4-2'!C32="","no number",'SP4-2'!C32)</f>
        <v>no number</v>
      </c>
      <c r="G331" s="24" t="str">
        <f>IF(F331="no number","no number",F331-$F$322)</f>
        <v>no number</v>
      </c>
      <c r="H331" s="154" t="str">
        <f t="shared" si="21"/>
        <v/>
      </c>
      <c r="L331" s="59" t="s">
        <v>564</v>
      </c>
      <c r="M331" s="24">
        <v>10</v>
      </c>
      <c r="N331" s="24" t="str">
        <f>IF('SP4-3 (1)'!B30="","no number",'SP4-3 (1)'!B30)</f>
        <v>no number</v>
      </c>
      <c r="O331" s="24" t="str">
        <f>IF(N331="no number","no number",N331-$N$322)</f>
        <v>no number</v>
      </c>
      <c r="P331" s="154" t="str">
        <f>IF(O331="no number","",(1/((1+$P$320)^(O331))))</f>
        <v/>
      </c>
      <c r="R331" s="24" t="str">
        <f>IF('SP4-3 (2)'!B30="","no number",'SP4-3 (2)'!B30)</f>
        <v>no number</v>
      </c>
      <c r="S331" s="24" t="str">
        <f>IF(R331="no number","no number",R331-$N$322)</f>
        <v>no number</v>
      </c>
      <c r="T331" s="154" t="str">
        <f>IF(S331="no number","",(1/((1+$P$320)^(S331))))</f>
        <v/>
      </c>
      <c r="X331" s="154"/>
    </row>
    <row r="332" spans="1:24" ht="13.8" thickBot="1">
      <c r="A332" s="82"/>
      <c r="B332" s="153"/>
      <c r="D332" s="59" t="s">
        <v>565</v>
      </c>
      <c r="E332" s="24">
        <v>11</v>
      </c>
      <c r="L332" s="59" t="s">
        <v>565</v>
      </c>
      <c r="M332" s="24">
        <v>11</v>
      </c>
    </row>
    <row r="333" spans="1:24" ht="13.8" thickBot="1">
      <c r="A333" s="82"/>
      <c r="B333" s="153"/>
      <c r="D333" s="59" t="s">
        <v>566</v>
      </c>
      <c r="E333" s="24">
        <v>12</v>
      </c>
      <c r="L333" s="59" t="s">
        <v>566</v>
      </c>
      <c r="M333" s="24">
        <v>12</v>
      </c>
    </row>
    <row r="334" spans="1:24" ht="13.8" thickBot="1">
      <c r="A334" s="82"/>
      <c r="B334" s="153"/>
      <c r="D334" s="59" t="s">
        <v>567</v>
      </c>
      <c r="E334" s="24">
        <v>13</v>
      </c>
      <c r="L334" s="59" t="s">
        <v>567</v>
      </c>
      <c r="M334" s="24">
        <v>13</v>
      </c>
    </row>
    <row r="335" spans="1:24" ht="13.8" thickBot="1">
      <c r="A335" s="81"/>
      <c r="B335" s="153"/>
      <c r="D335" s="59" t="s">
        <v>568</v>
      </c>
      <c r="E335" s="24">
        <v>14</v>
      </c>
      <c r="L335" s="59" t="s">
        <v>568</v>
      </c>
      <c r="M335" s="24">
        <v>14</v>
      </c>
    </row>
    <row r="336" spans="1:24" ht="13.8" thickBot="1">
      <c r="A336" s="81"/>
      <c r="B336" s="81"/>
      <c r="D336" s="59" t="s">
        <v>569</v>
      </c>
      <c r="E336" s="24">
        <v>15</v>
      </c>
      <c r="F336" s="24" t="s">
        <v>338</v>
      </c>
      <c r="G336" s="24" t="s">
        <v>338</v>
      </c>
      <c r="L336" s="59" t="s">
        <v>569</v>
      </c>
      <c r="M336" s="24">
        <v>15</v>
      </c>
      <c r="N336" s="24" t="s">
        <v>338</v>
      </c>
      <c r="O336" s="24" t="s">
        <v>338</v>
      </c>
    </row>
    <row r="337" spans="1:13" ht="13.8" thickBot="1">
      <c r="A337" s="81"/>
      <c r="B337" s="81"/>
      <c r="D337" s="59" t="s">
        <v>570</v>
      </c>
      <c r="E337" s="24">
        <v>16</v>
      </c>
      <c r="L337" s="59" t="s">
        <v>570</v>
      </c>
      <c r="M337" s="24">
        <v>16</v>
      </c>
    </row>
    <row r="338" spans="1:13" ht="13.8" thickBot="1">
      <c r="A338" s="81"/>
      <c r="B338" s="81"/>
      <c r="D338" s="59" t="s">
        <v>571</v>
      </c>
      <c r="E338" s="24">
        <v>17</v>
      </c>
      <c r="L338" s="59" t="s">
        <v>571</v>
      </c>
      <c r="M338" s="24">
        <v>17</v>
      </c>
    </row>
    <row r="339" spans="1:13" ht="13.8" thickBot="1">
      <c r="A339" s="81"/>
      <c r="B339" s="81"/>
      <c r="D339" s="59" t="s">
        <v>572</v>
      </c>
      <c r="E339" s="24">
        <v>18</v>
      </c>
      <c r="L339" s="59" t="s">
        <v>572</v>
      </c>
      <c r="M339" s="24">
        <v>18</v>
      </c>
    </row>
    <row r="340" spans="1:13" ht="13.8" thickBot="1">
      <c r="A340" s="81"/>
      <c r="B340" s="81"/>
      <c r="D340" s="59" t="s">
        <v>573</v>
      </c>
      <c r="E340" s="24">
        <v>19</v>
      </c>
      <c r="L340" s="59" t="s">
        <v>573</v>
      </c>
      <c r="M340" s="24">
        <v>19</v>
      </c>
    </row>
    <row r="341" spans="1:13" ht="13.8" thickBot="1">
      <c r="A341" s="81"/>
      <c r="B341" s="81"/>
      <c r="D341" s="59" t="s">
        <v>574</v>
      </c>
      <c r="E341" s="24">
        <v>20</v>
      </c>
      <c r="L341" s="59" t="s">
        <v>574</v>
      </c>
      <c r="M341" s="24">
        <v>20</v>
      </c>
    </row>
    <row r="342" spans="1:13" ht="13.8" thickBot="1">
      <c r="A342" s="81"/>
      <c r="B342" s="81"/>
      <c r="D342" s="59" t="s">
        <v>575</v>
      </c>
      <c r="E342" s="24">
        <v>21</v>
      </c>
      <c r="L342" s="59" t="s">
        <v>575</v>
      </c>
      <c r="M342" s="24">
        <v>21</v>
      </c>
    </row>
    <row r="343" spans="1:13" ht="13.8" thickBot="1">
      <c r="A343" s="81"/>
      <c r="B343" s="81"/>
      <c r="D343" s="59" t="s">
        <v>576</v>
      </c>
      <c r="E343" s="24">
        <v>22</v>
      </c>
      <c r="L343" s="59" t="s">
        <v>576</v>
      </c>
      <c r="M343" s="24">
        <v>22</v>
      </c>
    </row>
    <row r="344" spans="1:13" ht="13.8" thickBot="1">
      <c r="A344" s="81"/>
      <c r="B344" s="81"/>
      <c r="D344" s="59" t="s">
        <v>577</v>
      </c>
      <c r="E344" s="24">
        <v>23</v>
      </c>
      <c r="L344" s="59" t="s">
        <v>577</v>
      </c>
      <c r="M344" s="24">
        <v>23</v>
      </c>
    </row>
    <row r="345" spans="1:13" ht="13.8" thickBot="1">
      <c r="A345" s="81"/>
      <c r="B345" s="81"/>
      <c r="D345" s="59" t="s">
        <v>578</v>
      </c>
      <c r="E345" s="24">
        <v>24</v>
      </c>
      <c r="L345" s="59" t="s">
        <v>578</v>
      </c>
      <c r="M345" s="24">
        <v>24</v>
      </c>
    </row>
    <row r="346" spans="1:13" ht="13.8" thickBot="1">
      <c r="A346" s="81"/>
      <c r="B346" s="81"/>
      <c r="D346" s="59" t="s">
        <v>579</v>
      </c>
      <c r="E346" s="24">
        <v>25</v>
      </c>
      <c r="L346" s="59" t="s">
        <v>579</v>
      </c>
      <c r="M346" s="24">
        <v>25</v>
      </c>
    </row>
    <row r="347" spans="1:13" ht="13.8" thickBot="1">
      <c r="B347" s="81"/>
      <c r="D347" s="59" t="s">
        <v>580</v>
      </c>
      <c r="E347" s="24">
        <v>26</v>
      </c>
      <c r="L347" s="59" t="s">
        <v>580</v>
      </c>
      <c r="M347" s="24">
        <v>26</v>
      </c>
    </row>
    <row r="348" spans="1:13" ht="13.8" thickBot="1">
      <c r="D348" s="59" t="s">
        <v>581</v>
      </c>
      <c r="E348" s="24">
        <v>27</v>
      </c>
      <c r="L348" s="59" t="s">
        <v>581</v>
      </c>
      <c r="M348" s="24">
        <v>27</v>
      </c>
    </row>
    <row r="349" spans="1:13" ht="13.8" thickBot="1">
      <c r="A349" s="84"/>
      <c r="D349" s="59" t="s">
        <v>582</v>
      </c>
      <c r="E349" s="24">
        <v>28</v>
      </c>
      <c r="L349" s="59" t="s">
        <v>582</v>
      </c>
      <c r="M349" s="24">
        <v>28</v>
      </c>
    </row>
    <row r="350" spans="1:13" ht="13.8" thickBot="1">
      <c r="A350" s="82"/>
      <c r="B350" s="83"/>
      <c r="D350" s="59" t="s">
        <v>583</v>
      </c>
      <c r="E350" s="24">
        <v>29</v>
      </c>
      <c r="L350" s="59" t="s">
        <v>583</v>
      </c>
      <c r="M350" s="24">
        <v>29</v>
      </c>
    </row>
    <row r="351" spans="1:13" ht="13.8" thickBot="1">
      <c r="A351" s="82"/>
      <c r="B351" s="153"/>
      <c r="D351" s="59" t="s">
        <v>584</v>
      </c>
      <c r="E351" s="24">
        <v>30</v>
      </c>
      <c r="L351" s="59" t="s">
        <v>584</v>
      </c>
      <c r="M351" s="24">
        <v>30</v>
      </c>
    </row>
    <row r="352" spans="1:13" ht="13.8" thickBot="1">
      <c r="A352" s="82"/>
      <c r="B352" s="153"/>
      <c r="D352" s="59" t="s">
        <v>585</v>
      </c>
      <c r="E352" s="24">
        <v>31</v>
      </c>
      <c r="L352" s="59" t="s">
        <v>585</v>
      </c>
      <c r="M352" s="24">
        <v>31</v>
      </c>
    </row>
    <row r="353" spans="1:13" ht="13.8" thickBot="1">
      <c r="A353" s="82"/>
      <c r="B353" s="153"/>
      <c r="D353" s="59" t="s">
        <v>586</v>
      </c>
      <c r="E353" s="24">
        <v>32</v>
      </c>
      <c r="L353" s="59" t="s">
        <v>586</v>
      </c>
      <c r="M353" s="24">
        <v>32</v>
      </c>
    </row>
    <row r="354" spans="1:13" ht="13.8" thickBot="1">
      <c r="A354" s="82"/>
      <c r="B354" s="153"/>
      <c r="D354" s="59" t="s">
        <v>587</v>
      </c>
      <c r="E354" s="24">
        <v>33</v>
      </c>
      <c r="L354" s="59" t="s">
        <v>587</v>
      </c>
      <c r="M354" s="24">
        <v>33</v>
      </c>
    </row>
    <row r="355" spans="1:13" ht="13.8" thickBot="1">
      <c r="A355" s="82"/>
      <c r="B355" s="153"/>
      <c r="D355" s="59" t="s">
        <v>588</v>
      </c>
      <c r="E355" s="24">
        <v>34</v>
      </c>
      <c r="L355" s="59" t="s">
        <v>588</v>
      </c>
      <c r="M355" s="24">
        <v>34</v>
      </c>
    </row>
    <row r="356" spans="1:13" ht="13.8" thickBot="1">
      <c r="A356" s="82"/>
      <c r="B356" s="153"/>
      <c r="D356" s="59" t="s">
        <v>589</v>
      </c>
      <c r="E356" s="24">
        <v>35</v>
      </c>
      <c r="L356" s="59" t="s">
        <v>589</v>
      </c>
      <c r="M356" s="24">
        <v>35</v>
      </c>
    </row>
    <row r="357" spans="1:13" ht="13.8" thickBot="1">
      <c r="A357" s="82"/>
      <c r="B357" s="153"/>
      <c r="D357" s="59" t="s">
        <v>590</v>
      </c>
      <c r="E357" s="24">
        <v>36</v>
      </c>
      <c r="L357" s="59" t="s">
        <v>590</v>
      </c>
      <c r="M357" s="24">
        <v>36</v>
      </c>
    </row>
    <row r="358" spans="1:13" ht="13.8" thickBot="1">
      <c r="A358" s="82"/>
      <c r="B358" s="153"/>
      <c r="D358" s="59" t="s">
        <v>591</v>
      </c>
      <c r="E358" s="24">
        <v>37</v>
      </c>
      <c r="L358" s="59" t="s">
        <v>591</v>
      </c>
      <c r="M358" s="24">
        <v>37</v>
      </c>
    </row>
    <row r="359" spans="1:13" ht="13.8" thickBot="1">
      <c r="A359" s="82"/>
      <c r="B359" s="153"/>
      <c r="D359" s="59" t="s">
        <v>592</v>
      </c>
      <c r="E359" s="24">
        <v>38</v>
      </c>
      <c r="L359" s="59" t="s">
        <v>592</v>
      </c>
      <c r="M359" s="24">
        <v>38</v>
      </c>
    </row>
    <row r="360" spans="1:13" ht="13.8" thickBot="1">
      <c r="A360" s="82"/>
      <c r="B360" s="153"/>
      <c r="D360" s="59" t="s">
        <v>593</v>
      </c>
      <c r="E360" s="24">
        <v>39</v>
      </c>
      <c r="L360" s="59" t="s">
        <v>593</v>
      </c>
      <c r="M360" s="24">
        <v>39</v>
      </c>
    </row>
    <row r="361" spans="1:13" ht="13.8" thickBot="1">
      <c r="A361" s="82"/>
      <c r="B361" s="153"/>
      <c r="D361" s="59" t="s">
        <v>594</v>
      </c>
      <c r="E361" s="24">
        <v>40</v>
      </c>
      <c r="L361" s="59" t="s">
        <v>594</v>
      </c>
      <c r="M361" s="24">
        <v>40</v>
      </c>
    </row>
    <row r="362" spans="1:13" ht="13.8" thickBot="1">
      <c r="A362" s="82"/>
      <c r="B362" s="153"/>
      <c r="D362" s="59" t="s">
        <v>595</v>
      </c>
      <c r="E362" s="24">
        <v>41</v>
      </c>
      <c r="L362" s="59" t="s">
        <v>595</v>
      </c>
      <c r="M362" s="24">
        <v>41</v>
      </c>
    </row>
    <row r="363" spans="1:13" ht="13.8" thickBot="1">
      <c r="A363" s="82"/>
      <c r="B363" s="153"/>
      <c r="D363" s="59" t="s">
        <v>596</v>
      </c>
      <c r="E363" s="24">
        <v>42</v>
      </c>
      <c r="L363" s="59" t="s">
        <v>596</v>
      </c>
      <c r="M363" s="24">
        <v>42</v>
      </c>
    </row>
    <row r="364" spans="1:13" ht="13.8" thickBot="1">
      <c r="A364" s="82"/>
      <c r="B364" s="153"/>
      <c r="D364" s="59" t="s">
        <v>597</v>
      </c>
      <c r="E364" s="24">
        <v>43</v>
      </c>
      <c r="L364" s="59" t="s">
        <v>597</v>
      </c>
      <c r="M364" s="24">
        <v>43</v>
      </c>
    </row>
    <row r="365" spans="1:13" ht="13.8" thickBot="1">
      <c r="A365" s="82"/>
      <c r="B365" s="153"/>
      <c r="D365" s="59" t="s">
        <v>598</v>
      </c>
      <c r="E365" s="24">
        <v>44</v>
      </c>
      <c r="L365" s="59" t="s">
        <v>598</v>
      </c>
      <c r="M365" s="24">
        <v>44</v>
      </c>
    </row>
    <row r="366" spans="1:13" ht="13.8" thickBot="1">
      <c r="A366" s="82"/>
      <c r="B366" s="153"/>
      <c r="D366" s="59" t="s">
        <v>599</v>
      </c>
      <c r="E366" s="24">
        <v>45</v>
      </c>
      <c r="L366" s="59" t="s">
        <v>599</v>
      </c>
      <c r="M366" s="24">
        <v>45</v>
      </c>
    </row>
    <row r="367" spans="1:13" ht="13.8" thickBot="1">
      <c r="A367" s="82"/>
      <c r="B367" s="153"/>
      <c r="D367" s="59" t="s">
        <v>600</v>
      </c>
      <c r="E367" s="24">
        <v>46</v>
      </c>
      <c r="L367" s="59" t="s">
        <v>600</v>
      </c>
      <c r="M367" s="24">
        <v>46</v>
      </c>
    </row>
    <row r="368" spans="1:13" ht="13.8" thickBot="1">
      <c r="A368" s="82"/>
      <c r="B368" s="153"/>
      <c r="D368" s="59" t="s">
        <v>601</v>
      </c>
      <c r="E368" s="24">
        <v>47</v>
      </c>
      <c r="L368" s="59" t="s">
        <v>601</v>
      </c>
      <c r="M368" s="24">
        <v>47</v>
      </c>
    </row>
    <row r="369" spans="1:13" ht="13.8" thickBot="1">
      <c r="A369" s="82"/>
      <c r="B369" s="153"/>
      <c r="D369" s="59" t="s">
        <v>602</v>
      </c>
      <c r="E369" s="24">
        <v>48</v>
      </c>
      <c r="L369" s="59" t="s">
        <v>602</v>
      </c>
      <c r="M369" s="24">
        <v>48</v>
      </c>
    </row>
    <row r="370" spans="1:13" ht="13.8" thickBot="1">
      <c r="A370" s="81"/>
      <c r="B370" s="153"/>
      <c r="D370" s="59" t="s">
        <v>603</v>
      </c>
      <c r="E370" s="24">
        <v>49</v>
      </c>
      <c r="L370" s="59" t="s">
        <v>603</v>
      </c>
      <c r="M370" s="24">
        <v>49</v>
      </c>
    </row>
    <row r="371" spans="1:13" ht="13.8" thickBot="1">
      <c r="A371" s="81"/>
      <c r="B371" s="81"/>
      <c r="D371" s="59" t="s">
        <v>604</v>
      </c>
      <c r="E371" s="24">
        <v>50</v>
      </c>
      <c r="L371" s="59" t="s">
        <v>604</v>
      </c>
      <c r="M371" s="24">
        <v>50</v>
      </c>
    </row>
    <row r="372" spans="1:13" ht="13.8" thickBot="1">
      <c r="A372" s="81"/>
      <c r="B372" s="81"/>
    </row>
    <row r="373" spans="1:13" ht="13.8" thickBot="1">
      <c r="A373" s="81"/>
      <c r="B373" s="81"/>
    </row>
    <row r="374" spans="1:13" ht="13.8" thickBot="1">
      <c r="A374" s="81"/>
      <c r="B374" s="81"/>
    </row>
    <row r="375" spans="1:13" ht="13.8" thickBot="1">
      <c r="A375" s="81"/>
      <c r="B375" s="81"/>
    </row>
    <row r="376" spans="1:13" ht="13.8" thickBot="1">
      <c r="A376" s="81"/>
      <c r="B376" s="81"/>
    </row>
    <row r="377" spans="1:13" ht="13.8" thickBot="1">
      <c r="A377" s="81"/>
      <c r="B377" s="81"/>
    </row>
    <row r="378" spans="1:13" ht="13.8" thickBot="1">
      <c r="A378" s="81"/>
      <c r="B378" s="81"/>
    </row>
    <row r="379" spans="1:13" ht="13.8" thickBot="1">
      <c r="A379" s="81"/>
      <c r="B379" s="81"/>
    </row>
    <row r="380" spans="1:13" ht="13.8" thickBot="1">
      <c r="A380" s="81"/>
      <c r="B380" s="81"/>
    </row>
    <row r="381" spans="1:13" ht="13.8" thickBot="1">
      <c r="A381" s="81"/>
      <c r="B381" s="81"/>
    </row>
    <row r="382" spans="1:13" ht="13.8" thickBot="1">
      <c r="B382" s="81"/>
    </row>
  </sheetData>
  <sheetProtection selectLockedCells="1"/>
  <mergeCells count="54">
    <mergeCell ref="A93:A94"/>
    <mergeCell ref="B93:B94"/>
    <mergeCell ref="A110:A111"/>
    <mergeCell ref="C110:C111"/>
    <mergeCell ref="D110:D111"/>
    <mergeCell ref="B3:F3"/>
    <mergeCell ref="B40:I40"/>
    <mergeCell ref="A58:A59"/>
    <mergeCell ref="B58:B59"/>
    <mergeCell ref="A75:A76"/>
    <mergeCell ref="B75:B76"/>
    <mergeCell ref="A112:A113"/>
    <mergeCell ref="C112:C113"/>
    <mergeCell ref="D112:D113"/>
    <mergeCell ref="C124:H124"/>
    <mergeCell ref="A114:A115"/>
    <mergeCell ref="C114:C115"/>
    <mergeCell ref="D114:D115"/>
    <mergeCell ref="A124:B124"/>
    <mergeCell ref="C142:H142"/>
    <mergeCell ref="A160:B160"/>
    <mergeCell ref="C160:H161"/>
    <mergeCell ref="A161:B161"/>
    <mergeCell ref="A248:B248"/>
    <mergeCell ref="C248:H248"/>
    <mergeCell ref="A196:B196"/>
    <mergeCell ref="C196:H196"/>
    <mergeCell ref="A213:B213"/>
    <mergeCell ref="C213:H213"/>
    <mergeCell ref="A231:B231"/>
    <mergeCell ref="C231:H231"/>
    <mergeCell ref="A178:B178"/>
    <mergeCell ref="C178:H178"/>
    <mergeCell ref="A142:B142"/>
    <mergeCell ref="S124:Y124"/>
    <mergeCell ref="S125:T125"/>
    <mergeCell ref="U125:Z125"/>
    <mergeCell ref="S141:Z141"/>
    <mergeCell ref="S142:T142"/>
    <mergeCell ref="U142:AA142"/>
    <mergeCell ref="Z143:AA143"/>
    <mergeCell ref="Z144:AA144"/>
    <mergeCell ref="Z145:AA145"/>
    <mergeCell ref="Z146:AA146"/>
    <mergeCell ref="Z147:AA147"/>
    <mergeCell ref="Z153:AA153"/>
    <mergeCell ref="Z154:AA154"/>
    <mergeCell ref="Z155:AA155"/>
    <mergeCell ref="Z156:AA156"/>
    <mergeCell ref="Z148:AA148"/>
    <mergeCell ref="Z149:AA149"/>
    <mergeCell ref="Z150:AA150"/>
    <mergeCell ref="Z151:AA151"/>
    <mergeCell ref="Z152:AA152"/>
  </mergeCells>
  <pageMargins left="0.75" right="0.75" top="1" bottom="1" header="0.5" footer="0.5"/>
  <pageSetup paperSize="9" orientation="portrait" r:id="rId1"/>
  <headerFooter alignWithMargins="0"/>
</worksheet>
</file>

<file path=xl/worksheets/sheet1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77437B8E-F5DB-4965-BECE-516B1704CE8F}">
  <dimension ref="A1"/>
  <sheetViews>
    <sheetView zoomScaleNormal="100" workbookViewId="0">
      <selection activeCell="K48" sqref="K48"/>
    </sheetView>
  </sheetViews>
  <sheetFormatPr defaultColWidth="9" defaultRowHeight="11.4"/>
  <cols>
    <col min="1" max="16384" width="9" style="71"/>
  </cols>
  <sheetData/>
  <pageMargins left="1.1811023622047245" right="0.78740157480314965" top="0.78740157480314965" bottom="0.78740157480314965" header="0.51181102362204722" footer="0.51181102362204722"/>
  <pageSetup paperSize="9" orientation="portrait" verticalDpi="0" r:id="rId1"/>
  <headerFooter alignWithMargins="0"/>
</worksheet>
</file>

<file path=xl/worksheets/sheet1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46800329-C5BC-475A-AB48-6BFDC4EF4145}">
  <dimension ref="A1"/>
  <sheetViews>
    <sheetView zoomScaleNormal="100" workbookViewId="0">
      <selection activeCell="F41" sqref="F41"/>
    </sheetView>
  </sheetViews>
  <sheetFormatPr defaultColWidth="9" defaultRowHeight="11.4"/>
  <cols>
    <col min="1" max="16384" width="9" style="71"/>
  </cols>
  <sheetData/>
  <pageMargins left="1.1811023622047245" right="0.78740157480314965" top="0.78740157480314965" bottom="0.78740157480314965" header="0.51181102362204722" footer="0.51181102362204722"/>
  <pageSetup paperSize="9" orientation="portrait" verticalDpi="0" r:id="rId1"/>
  <headerFooter alignWithMargins="0"/>
</worksheet>
</file>

<file path=xl/worksheets/sheet1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8A1BEF11-4528-4BB6-8A68-3117CA5D572A}">
  <dimension ref="A1"/>
  <sheetViews>
    <sheetView zoomScaleNormal="100" workbookViewId="0">
      <selection activeCell="F41" sqref="F41"/>
    </sheetView>
  </sheetViews>
  <sheetFormatPr defaultColWidth="9" defaultRowHeight="11.4"/>
  <cols>
    <col min="1" max="16384" width="9" style="71"/>
  </cols>
  <sheetData/>
  <pageMargins left="1.1811023622047245" right="0.78740157480314965" top="0.78740157480314965" bottom="0.78740157480314965" header="0.51181102362204722" footer="0.51181102362204722"/>
  <pageSetup paperSize="9" orientation="portrait" verticalDpi="0" r:id="rId1"/>
  <headerFooter alignWithMargins="0"/>
</worksheet>
</file>

<file path=xl/worksheets/sheet1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363A89C3-1471-4F43-A111-F2F0A8899E67}">
  <dimension ref="A1"/>
  <sheetViews>
    <sheetView zoomScaleNormal="100" workbookViewId="0">
      <selection activeCell="F41" sqref="F41"/>
    </sheetView>
  </sheetViews>
  <sheetFormatPr defaultColWidth="9" defaultRowHeight="11.4"/>
  <cols>
    <col min="1" max="16384" width="9" style="71"/>
  </cols>
  <sheetData/>
  <pageMargins left="1.1811023622047245" right="0.78740157480314965" top="0.78740157480314965" bottom="0.78740157480314965" header="0.51181102362204722" footer="0.51181102362204722"/>
  <pageSetup paperSize="9" orientation="portrait" verticalDpi="0" r:id="rId1"/>
  <headerFooter alignWithMargins="0"/>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_rels/item2.xml.rels><?xml version="1.0" encoding="UTF-8" standalone="yes"?>
<Relationships xmlns="http://schemas.openxmlformats.org/package/2006/relationships"><Relationship Id="rId1" Type="http://schemas.openxmlformats.org/officeDocument/2006/relationships/customXmlProps" Target="itemProps2.xml"/></Relationships>
</file>

<file path=customXml/_rels/item3.xml.rels><?xml version="1.0" encoding="UTF-8" standalone="yes"?>
<Relationships xmlns="http://schemas.openxmlformats.org/package/2006/relationships"><Relationship Id="rId1" Type="http://schemas.openxmlformats.org/officeDocument/2006/relationships/customXmlProps" Target="itemProps3.xml"/></Relationships>
</file>

<file path=customXml/item1.xml><?xml version="1.0" encoding="utf-8"?>
<?mso-contentType ?>
<FormTemplates xmlns="http://schemas.microsoft.com/sharepoint/v3/contenttype/forms">
  <Display>DocumentLibraryForm</Display>
  <Edit>DocumentLibraryForm</Edit>
  <New>DocumentLibraryForm</New>
</FormTemplates>
</file>

<file path=customXml/item2.xml><?xml version="1.0" encoding="utf-8"?>
<ct:contentTypeSchema xmlns:ct="http://schemas.microsoft.com/office/2006/metadata/contentType" xmlns:ma="http://schemas.microsoft.com/office/2006/metadata/properties/metaAttributes" ct:_="" ma:_="" ma:contentTypeName="Document" ma:contentTypeID="0x010100D1280997FB197D439016D66643BF045C" ma:contentTypeVersion="17" ma:contentTypeDescription="Create a new document." ma:contentTypeScope="" ma:versionID="0a51b0c77653501b02f08d7398b58bb9">
  <xsd:schema xmlns:xsd="http://www.w3.org/2001/XMLSchema" xmlns:xs="http://www.w3.org/2001/XMLSchema" xmlns:p="http://schemas.microsoft.com/office/2006/metadata/properties" xmlns:ns2="610edd1d-c37b-469a-931b-7a7fbdbef28d" xmlns:ns3="fe711059-3473-4d0a-bf90-08974e90274a" targetNamespace="http://schemas.microsoft.com/office/2006/metadata/properties" ma:root="true" ma:fieldsID="24d195a3041fb1f794033f441f033a9a" ns2:_="" ns3:_="">
    <xsd:import namespace="610edd1d-c37b-469a-931b-7a7fbdbef28d"/>
    <xsd:import namespace="fe711059-3473-4d0a-bf90-08974e90274a"/>
    <xsd:element name="properties">
      <xsd:complexType>
        <xsd:sequence>
          <xsd:element name="documentManagement">
            <xsd:complexType>
              <xsd:all>
                <xsd:element ref="ns2:MediaServiceMetadata" minOccurs="0"/>
                <xsd:element ref="ns2:MediaServiceFastMetadata" minOccurs="0"/>
                <xsd:element ref="ns2:MediaServiceAutoKeyPoints" minOccurs="0"/>
                <xsd:element ref="ns2:MediaServiceKeyPoints" minOccurs="0"/>
                <xsd:element ref="ns2:MediaServiceDateTaken" minOccurs="0"/>
                <xsd:element ref="ns2:MediaLengthInSeconds" minOccurs="0"/>
                <xsd:element ref="ns2:lcf76f155ced4ddcb4097134ff3c332f" minOccurs="0"/>
                <xsd:element ref="ns3:TaxCatchAll" minOccurs="0"/>
                <xsd:element ref="ns2:MediaServiceOCR" minOccurs="0"/>
                <xsd:element ref="ns2:MediaServiceGenerationTime" minOccurs="0"/>
                <xsd:element ref="ns2:MediaServiceEventHashCode" minOccurs="0"/>
                <xsd:element ref="ns2:Archive" minOccurs="0"/>
                <xsd:element ref="ns3:SharedWithUsers" minOccurs="0"/>
                <xsd:element ref="ns3:SharedWithDetails" minOccurs="0"/>
                <xsd:element ref="ns2:MediaServiceSearchProperties" minOccurs="0"/>
              </xsd:all>
            </xsd:complexType>
          </xsd:element>
        </xsd:sequence>
      </xsd:complexType>
    </xsd:element>
  </xsd:schema>
  <xsd:schema xmlns:xsd="http://www.w3.org/2001/XMLSchema" xmlns:xs="http://www.w3.org/2001/XMLSchema" xmlns:dms="http://schemas.microsoft.com/office/2006/documentManagement/types" xmlns:pc="http://schemas.microsoft.com/office/infopath/2007/PartnerControls" targetNamespace="610edd1d-c37b-469a-931b-7a7fbdbef28d" elementFormDefault="qualified">
    <xsd:import namespace="http://schemas.microsoft.com/office/2006/documentManagement/types"/>
    <xsd:import namespace="http://schemas.microsoft.com/office/infopath/2007/PartnerControls"/>
    <xsd:element name="MediaServiceMetadata" ma:index="8" nillable="true" ma:displayName="MediaServiceMetadata" ma:hidden="true" ma:internalName="MediaServiceMetadata" ma:readOnly="true">
      <xsd:simpleType>
        <xsd:restriction base="dms:Note"/>
      </xsd:simpleType>
    </xsd:element>
    <xsd:element name="MediaServiceFastMetadata" ma:index="9" nillable="true" ma:displayName="MediaServiceFastMetadata" ma:hidden="true" ma:internalName="MediaServiceFastMetadata" ma:readOnly="true">
      <xsd:simpleType>
        <xsd:restriction base="dms:Note"/>
      </xsd:simpleType>
    </xsd:element>
    <xsd:element name="MediaServiceAutoKeyPoints" ma:index="10" nillable="true" ma:displayName="MediaServiceAutoKeyPoints" ma:hidden="true" ma:internalName="MediaServiceAutoKeyPoints" ma:readOnly="true">
      <xsd:simpleType>
        <xsd:restriction base="dms:Note"/>
      </xsd:simpleType>
    </xsd:element>
    <xsd:element name="MediaServiceKeyPoints" ma:index="11" nillable="true" ma:displayName="KeyPoints" ma:internalName="MediaServiceKeyPoints" ma:readOnly="true">
      <xsd:simpleType>
        <xsd:restriction base="dms:Note">
          <xsd:maxLength value="255"/>
        </xsd:restriction>
      </xsd:simpleType>
    </xsd:element>
    <xsd:element name="MediaServiceDateTaken" ma:index="12" nillable="true" ma:displayName="MediaServiceDateTaken" ma:hidden="true" ma:internalName="MediaServiceDateTaken" ma:readOnly="true">
      <xsd:simpleType>
        <xsd:restriction base="dms:Text"/>
      </xsd:simpleType>
    </xsd:element>
    <xsd:element name="MediaLengthInSeconds" ma:index="13" nillable="true" ma:displayName="MediaLengthInSeconds" ma:hidden="true" ma:internalName="MediaLengthInSeconds" ma:readOnly="true">
      <xsd:simpleType>
        <xsd:restriction base="dms:Unknown"/>
      </xsd:simpleType>
    </xsd:element>
    <xsd:element name="lcf76f155ced4ddcb4097134ff3c332f" ma:index="15" nillable="true" ma:taxonomy="true" ma:internalName="lcf76f155ced4ddcb4097134ff3c332f" ma:taxonomyFieldName="MediaServiceImageTags" ma:displayName="Image Tags" ma:readOnly="false" ma:fieldId="{5cf76f15-5ced-4ddc-b409-7134ff3c332f}" ma:taxonomyMulti="true" ma:sspId="db08afcf-b03d-4cde-ac2f-5a995d139700" ma:termSetId="09814cd3-568e-fe90-9814-8d621ff8fb84" ma:anchorId="fba54fb3-c3e1-fe81-a776-ca4b69148c4d" ma:open="true" ma:isKeyword="false">
      <xsd:complexType>
        <xsd:sequence>
          <xsd:element ref="pc:Terms" minOccurs="0" maxOccurs="1"/>
        </xsd:sequence>
      </xsd:complexType>
    </xsd:element>
    <xsd:element name="MediaServiceOCR" ma:index="17" nillable="true" ma:displayName="Extracted Text" ma:internalName="MediaServiceOCR" ma:readOnly="true">
      <xsd:simpleType>
        <xsd:restriction base="dms:Note">
          <xsd:maxLength value="255"/>
        </xsd:restriction>
      </xsd:simpleType>
    </xsd:element>
    <xsd:element name="MediaServiceGenerationTime" ma:index="18" nillable="true" ma:displayName="MediaServiceGenerationTime" ma:hidden="true" ma:internalName="MediaServiceGenerationTime" ma:readOnly="true">
      <xsd:simpleType>
        <xsd:restriction base="dms:Text"/>
      </xsd:simpleType>
    </xsd:element>
    <xsd:element name="MediaServiceEventHashCode" ma:index="19" nillable="true" ma:displayName="MediaServiceEventHashCode" ma:hidden="true" ma:internalName="MediaServiceEventHashCode" ma:readOnly="true">
      <xsd:simpleType>
        <xsd:restriction base="dms:Text"/>
      </xsd:simpleType>
    </xsd:element>
    <xsd:element name="Archive" ma:index="20" nillable="true" ma:displayName="Archive" ma:list="UserInfo" ma:SharePointGroup="0" ma:internalName="Archive" ma:readOnly="false" ma:showField="ImnName">
      <xsd:complexType>
        <xsd:complexContent>
          <xsd:extension base="dms:User">
            <xsd:sequence>
              <xsd:element name="UserInfo" minOccurs="0" maxOccurs="unbounded">
                <xsd:complexType>
                  <xsd:sequence>
                    <xsd:element name="DisplayName" type="xsd:string" minOccurs="0"/>
                    <xsd:element name="AccountId" type="dms:UserId" minOccurs="0" nillable="true"/>
                    <xsd:element name="AccountType" type="xsd:string" minOccurs="0"/>
                  </xsd:sequence>
                </xsd:complexType>
              </xsd:element>
            </xsd:sequence>
          </xsd:extension>
        </xsd:complexContent>
      </xsd:complexType>
    </xsd:element>
    <xsd:element name="MediaServiceSearchProperties" ma:index="23" nillable="true" ma:displayName="MediaServiceSearchProperties" ma:hidden="true" ma:internalName="MediaServiceSearchProperties" ma:readOnly="true">
      <xsd:simpleType>
        <xsd:restriction base="dms:Note"/>
      </xsd:simpleType>
    </xsd:element>
  </xsd:schema>
  <xsd:schema xmlns:xsd="http://www.w3.org/2001/XMLSchema" xmlns:xs="http://www.w3.org/2001/XMLSchema" xmlns:dms="http://schemas.microsoft.com/office/2006/documentManagement/types" xmlns:pc="http://schemas.microsoft.com/office/infopath/2007/PartnerControls" targetNamespace="fe711059-3473-4d0a-bf90-08974e90274a" elementFormDefault="qualified">
    <xsd:import namespace="http://schemas.microsoft.com/office/2006/documentManagement/types"/>
    <xsd:import namespace="http://schemas.microsoft.com/office/infopath/2007/PartnerControls"/>
    <xsd:element name="TaxCatchAll" ma:index="16" nillable="true" ma:displayName="Taxonomy Catch All Column" ma:hidden="true" ma:list="{f870b2c0-bd8f-42f3-84a3-714cde1d916b}" ma:internalName="TaxCatchAll" ma:showField="CatchAllData" ma:web="fe711059-3473-4d0a-bf90-08974e90274a">
      <xsd:complexType>
        <xsd:complexContent>
          <xsd:extension base="dms:MultiChoiceLookup">
            <xsd:sequence>
              <xsd:element name="Value" type="dms:Lookup" maxOccurs="unbounded" minOccurs="0" nillable="true"/>
            </xsd:sequence>
          </xsd:extension>
        </xsd:complexContent>
      </xsd:complexType>
    </xsd:element>
    <xsd:element name="SharedWithUsers" ma:index="21" nillable="true" ma:displayName="Shared With" ma:internalName="SharedWithUsers" ma:readOnly="true">
      <xsd:complexType>
        <xsd:complexContent>
          <xsd:extension base="dms:UserMulti">
            <xsd:sequence>
              <xsd:element name="UserInfo" minOccurs="0" maxOccurs="unbounded">
                <xsd:complexType>
                  <xsd:sequence>
                    <xsd:element name="DisplayName" type="xsd:string" minOccurs="0"/>
                    <xsd:element name="AccountId" type="dms:UserId" minOccurs="0" nillable="true"/>
                    <xsd:element name="AccountType" type="xsd:string" minOccurs="0"/>
                  </xsd:sequence>
                </xsd:complexType>
              </xsd:element>
            </xsd:sequence>
          </xsd:extension>
        </xsd:complexContent>
      </xsd:complexType>
    </xsd:element>
    <xsd:element name="SharedWithDetails" ma:index="22" nillable="true" ma:displayName="Shared With Details" ma:internalName="SharedWithDetails" ma:readOnly="true">
      <xsd:simpleType>
        <xsd:restriction base="dms:Note">
          <xsd:maxLength value="255"/>
        </xsd:restriction>
      </xsd:simpleType>
    </xsd:element>
  </xsd:schema>
  <xsd:schema xmlns="http://schemas.openxmlformats.org/package/2006/metadata/core-properties" xmlns:xsd="http://www.w3.org/2001/XMLSchema" xmlns:xsi="http://www.w3.org/2001/XMLSchema-instance" xmlns:dc="http://purl.org/dc/elements/1.1/" xmlns:dcterms="http://purl.org/dc/terms/" xmlns:odoc="http://schemas.microsoft.com/internal/obd" targetNamespace="http://schemas.openxmlformats.org/package/2006/metadata/core-properties" elementFormDefault="qualified" attributeFormDefault="unqualified" blockDefault="#all">
    <xsd:import namespace="http://purl.org/dc/elements/1.1/" schemaLocation="http://dublincore.org/schemas/xmls/qdc/2003/04/02/dc.xsd"/>
    <xsd:import namespace="http://purl.org/dc/terms/" schemaLocation="http://dublincore.org/schemas/xmls/qdc/2003/04/02/dcterms.xsd"/>
    <xsd:element name="coreProperties" type="CT_coreProperties"/>
    <xsd:complexType name="CT_coreProperties">
      <xsd:all>
        <xsd:element ref="dc:creator" minOccurs="0" maxOccurs="1"/>
        <xsd:element ref="dcterms:created" minOccurs="0" maxOccurs="1"/>
        <xsd:element ref="dc:identifier" minOccurs="0" maxOccurs="1"/>
        <xsd:element name="contentType" minOccurs="0" maxOccurs="1" type="xsd:string" ma:index="0" ma:displayName="Content Type"/>
        <xsd:element ref="dc:title" minOccurs="0" maxOccurs="1" ma:index="4" ma:displayName="Title"/>
        <xsd:element ref="dc:subject" minOccurs="0" maxOccurs="1"/>
        <xsd:element ref="dc:description" minOccurs="0" maxOccurs="1"/>
        <xsd:element name="keywords" minOccurs="0" maxOccurs="1" type="xsd:string"/>
        <xsd:element ref="dc:language" minOccurs="0" maxOccurs="1"/>
        <xsd:element name="category" minOccurs="0" maxOccurs="1" type="xsd:string"/>
        <xsd:element name="version" minOccurs="0" maxOccurs="1" type="xsd:string"/>
        <xsd:element name="revision" minOccurs="0" maxOccurs="1" type="xsd:string">
          <xsd:annotation>
            <xsd:documentation>
                        This value indicates the number of saves or revisions. The application is responsible for updating this value after each revision.
                    </xsd:documentation>
          </xsd:annotation>
        </xsd:element>
        <xsd:element name="lastModifiedBy" minOccurs="0" maxOccurs="1" type="xsd:string"/>
        <xsd:element ref="dcterms:modified" minOccurs="0" maxOccurs="1"/>
        <xsd:element name="contentStatus" minOccurs="0" maxOccurs="1" type="xsd:string"/>
      </xsd:all>
    </xsd:complexType>
  </xsd:schema>
  <xs:schema xmlns:pc="http://schemas.microsoft.com/office/infopath/2007/PartnerControls" xmlns:xs="http://www.w3.org/2001/XMLSchema" targetNamespace="http://schemas.microsoft.com/office/infopath/2007/PartnerControls" elementFormDefault="qualified" attributeFormDefault="unqualified">
    <xs:element name="Person">
      <xs:complexType>
        <xs:sequence>
          <xs:element ref="pc:DisplayName" minOccurs="0"/>
          <xs:element ref="pc:AccountId" minOccurs="0"/>
          <xs:element ref="pc:AccountType" minOccurs="0"/>
        </xs:sequence>
      </xs:complexType>
    </xs:element>
    <xs:element name="DisplayName" type="xs:string"/>
    <xs:element name="AccountId" type="xs:string"/>
    <xs:element name="AccountType" type="xs:string"/>
    <xs:element name="BDCAssociatedEntity">
      <xs:complexType>
        <xs:sequence>
          <xs:element ref="pc:BDCEntity" minOccurs="0" maxOccurs="unbounded"/>
        </xs:sequence>
        <xs:attribute ref="pc:EntityNamespace"/>
        <xs:attribute ref="pc:EntityName"/>
        <xs:attribute ref="pc:SystemInstanceName"/>
        <xs:attribute ref="pc:AssociationName"/>
      </xs:complexType>
    </xs:element>
    <xs:attribute name="EntityNamespace" type="xs:string"/>
    <xs:attribute name="EntityName" type="xs:string"/>
    <xs:attribute name="SystemInstanceName" type="xs:string"/>
    <xs:attribute name="AssociationName" type="xs:string"/>
    <xs:element name="BDCEntity">
      <xs:complexType>
        <xs:sequence>
          <xs:element ref="pc:EntityDisplayName" minOccurs="0"/>
          <xs:element ref="pc:EntityInstanceReference" minOccurs="0"/>
          <xs:element ref="pc:EntityId1" minOccurs="0"/>
          <xs:element ref="pc:EntityId2" minOccurs="0"/>
          <xs:element ref="pc:EntityId3" minOccurs="0"/>
          <xs:element ref="pc:EntityId4" minOccurs="0"/>
          <xs:element ref="pc:EntityId5" minOccurs="0"/>
        </xs:sequence>
      </xs:complexType>
    </xs:element>
    <xs:element name="EntityDisplayName" type="xs:string"/>
    <xs:element name="EntityInstanceReference" type="xs:string"/>
    <xs:element name="EntityId1" type="xs:string"/>
    <xs:element name="EntityId2" type="xs:string"/>
    <xs:element name="EntityId3" type="xs:string"/>
    <xs:element name="EntityId4" type="xs:string"/>
    <xs:element name="EntityId5" type="xs:string"/>
    <xs:element name="Terms">
      <xs:complexType>
        <xs:sequence>
          <xs:element ref="pc:TermInfo" minOccurs="0" maxOccurs="unbounded"/>
        </xs:sequence>
      </xs:complexType>
    </xs:element>
    <xs:element name="TermInfo">
      <xs:complexType>
        <xs:sequence>
          <xs:element ref="pc:TermName" minOccurs="0"/>
          <xs:element ref="pc:TermId" minOccurs="0"/>
        </xs:sequence>
      </xs:complexType>
    </xs:element>
    <xs:element name="TermName" type="xs:string"/>
    <xs:element name="TermId" type="xs:string"/>
  </xs:schema>
</ct:contentTypeSchema>
</file>

<file path=customXml/item3.xml><?xml version="1.0" encoding="utf-8"?>
<p:properties xmlns:p="http://schemas.microsoft.com/office/2006/metadata/properties" xmlns:xsi="http://www.w3.org/2001/XMLSchema-instance" xmlns:pc="http://schemas.microsoft.com/office/infopath/2007/PartnerControls">
  <documentManagement>
    <TaxCatchAll xmlns="fe711059-3473-4d0a-bf90-08974e90274a" xsi:nil="true"/>
    <Archive xmlns="610edd1d-c37b-469a-931b-7a7fbdbef28d">
      <UserInfo>
        <DisplayName/>
        <AccountId xsi:nil="true"/>
        <AccountType/>
      </UserInfo>
    </Archive>
    <lcf76f155ced4ddcb4097134ff3c332f xmlns="610edd1d-c37b-469a-931b-7a7fbdbef28d">
      <Terms xmlns="http://schemas.microsoft.com/office/infopath/2007/PartnerControls"/>
    </lcf76f155ced4ddcb4097134ff3c332f>
  </documentManagement>
</p:properties>
</file>

<file path=customXml/itemProps1.xml><?xml version="1.0" encoding="utf-8"?>
<ds:datastoreItem xmlns:ds="http://schemas.openxmlformats.org/officeDocument/2006/customXml" ds:itemID="{1EFF9A4A-192A-41BC-82F7-99847D46638E}">
  <ds:schemaRefs>
    <ds:schemaRef ds:uri="http://schemas.microsoft.com/sharepoint/v3/contenttype/forms"/>
  </ds:schemaRefs>
</ds:datastoreItem>
</file>

<file path=customXml/itemProps2.xml><?xml version="1.0" encoding="utf-8"?>
<ds:datastoreItem xmlns:ds="http://schemas.openxmlformats.org/officeDocument/2006/customXml" ds:itemID="{B0B316A2-0FC2-4C7B-A23A-4EA6010D7D1C}">
  <ds:schemaRefs>
    <ds:schemaRef ds:uri="http://schemas.microsoft.com/office/2006/metadata/contentType"/>
    <ds:schemaRef ds:uri="http://schemas.microsoft.com/office/2006/metadata/properties/metaAttributes"/>
    <ds:schemaRef ds:uri="http://www.w3.org/2001/XMLSchema"/>
    <ds:schemaRef ds:uri="http://schemas.microsoft.com/office/2006/metadata/properties"/>
    <ds:schemaRef ds:uri="610edd1d-c37b-469a-931b-7a7fbdbef28d"/>
    <ds:schemaRef ds:uri="fe711059-3473-4d0a-bf90-08974e90274a"/>
    <ds:schemaRef ds:uri="http://schemas.microsoft.com/office/2006/documentManagement/types"/>
    <ds:schemaRef ds:uri="http://schemas.microsoft.com/office/infopath/2007/PartnerControls"/>
    <ds:schemaRef ds:uri="http://schemas.openxmlformats.org/package/2006/metadata/core-properties"/>
    <ds:schemaRef ds:uri="http://purl.org/dc/elements/1.1/"/>
    <ds:schemaRef ds:uri="http://purl.org/dc/terms/"/>
    <ds:schemaRef ds:uri="http://schemas.microsoft.com/internal/obd"/>
  </ds:schemaRefs>
</ds:datastoreItem>
</file>

<file path=customXml/itemProps3.xml><?xml version="1.0" encoding="utf-8"?>
<ds:datastoreItem xmlns:ds="http://schemas.openxmlformats.org/officeDocument/2006/customXml" ds:itemID="{4385102F-2536-46FF-9ECB-709E87AFDB07}">
  <ds:schemaRefs>
    <ds:schemaRef ds:uri="http://purl.org/dc/terms/"/>
    <ds:schemaRef ds:uri="http://schemas.microsoft.com/office/2006/documentManagement/types"/>
    <ds:schemaRef ds:uri="http://purl.org/dc/dcmitype/"/>
    <ds:schemaRef ds:uri="http://schemas.openxmlformats.org/package/2006/metadata/core-properties"/>
    <ds:schemaRef ds:uri="http://schemas.microsoft.com/office/2006/metadata/properties"/>
    <ds:schemaRef ds:uri="610edd1d-c37b-469a-931b-7a7fbdbef28d"/>
    <ds:schemaRef ds:uri="http://www.w3.org/XML/1998/namespace"/>
    <ds:schemaRef ds:uri="http://purl.org/dc/elements/1.1/"/>
    <ds:schemaRef ds:uri="http://schemas.microsoft.com/office/infopath/2007/PartnerControls"/>
    <ds:schemaRef ds:uri="fe711059-3473-4d0a-bf90-08974e90274a"/>
  </ds:schemaRefs>
</ds:datastoreItem>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Worksheets</vt:lpstr>
      </vt:variant>
      <vt:variant>
        <vt:i4>17</vt:i4>
      </vt:variant>
      <vt:variant>
        <vt:lpstr>Named Ranges</vt:lpstr>
      </vt:variant>
      <vt:variant>
        <vt:i4>25</vt:i4>
      </vt:variant>
    </vt:vector>
  </HeadingPairs>
  <TitlesOfParts>
    <vt:vector size="42" baseType="lpstr">
      <vt:lpstr>AST</vt:lpstr>
      <vt:lpstr>Benefits Framework</vt:lpstr>
      <vt:lpstr>W1 - Summary_Upload</vt:lpstr>
      <vt:lpstr>Overview and guide</vt:lpstr>
      <vt:lpstr>SP4-1</vt:lpstr>
      <vt:lpstr>SP4-2</vt:lpstr>
      <vt:lpstr>SP4-3 (1)</vt:lpstr>
      <vt:lpstr>SP4-3 (2)</vt:lpstr>
      <vt:lpstr>SP4-4</vt:lpstr>
      <vt:lpstr>SP4-5</vt:lpstr>
      <vt:lpstr>SP4-6</vt:lpstr>
      <vt:lpstr>SP4-7</vt:lpstr>
      <vt:lpstr>Tables</vt:lpstr>
      <vt:lpstr>Cost Estimates</vt:lpstr>
      <vt:lpstr>Sensitivity</vt:lpstr>
      <vt:lpstr>Working</vt:lpstr>
      <vt:lpstr>Notes</vt:lpstr>
      <vt:lpstr>Tables!_Toc149723404</vt:lpstr>
      <vt:lpstr>Tables!_Toc149723405</vt:lpstr>
      <vt:lpstr>Tables!_Toc149723406</vt:lpstr>
      <vt:lpstr>Tables!_Toc149723407</vt:lpstr>
      <vt:lpstr>Tables!_Toc149723408</vt:lpstr>
      <vt:lpstr>Tables!_Toc149723409</vt:lpstr>
      <vt:lpstr>Tables!_Toc18127489</vt:lpstr>
      <vt:lpstr>Tables!_Toc18207243</vt:lpstr>
      <vt:lpstr>Tables!_Toc18207244</vt:lpstr>
      <vt:lpstr>Tables!_Toc18207246</vt:lpstr>
      <vt:lpstr>Tables!_Toc18207247</vt:lpstr>
      <vt:lpstr>Tables!_Toc18207248</vt:lpstr>
      <vt:lpstr>Tables!_Toc18207249</vt:lpstr>
      <vt:lpstr>Tables!_Toc18207251</vt:lpstr>
      <vt:lpstr>Tables!_Toc18207253</vt:lpstr>
      <vt:lpstr>Tables!_Toc18207255</vt:lpstr>
      <vt:lpstr>'SP4-1'!Print_Area</vt:lpstr>
      <vt:lpstr>'SP4-2'!Print_Area</vt:lpstr>
      <vt:lpstr>'SP4-3 (1)'!Print_Area</vt:lpstr>
      <vt:lpstr>'SP4-3 (2)'!Print_Area</vt:lpstr>
      <vt:lpstr>'SP4-4'!Print_Area</vt:lpstr>
      <vt:lpstr>'SP4-5'!Print_Area</vt:lpstr>
      <vt:lpstr>'SP4-6'!Print_Area</vt:lpstr>
      <vt:lpstr>'SP4-7'!Print_Area</vt:lpstr>
      <vt:lpstr>'W1 - Summary_Upload'!Print_Area</vt:lpstr>
    </vt:vector>
  </TitlesOfParts>
  <Manager/>
  <Company/>
  <LinksUpToDate>false</LinksUpToDate>
  <SharedDoc>false</SharedDoc>
  <HyperlinkBase/>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
  <dc:subject/>
  <dc:creator>Sara Kilonback</dc:creator>
  <cp:keywords/>
  <dc:description/>
  <cp:lastModifiedBy>Wentao Yang</cp:lastModifiedBy>
  <cp:revision/>
  <dcterms:created xsi:type="dcterms:W3CDTF">2020-05-25T00:37:33Z</dcterms:created>
  <dcterms:modified xsi:type="dcterms:W3CDTF">2025-05-07T23:21:42Z</dcterms:modified>
  <cp:category/>
  <cp:contentStatus/>
</cp:coreProperties>
</file>

<file path=docProps/custom.xml><?xml version="1.0" encoding="utf-8"?>
<Properties xmlns="http://schemas.openxmlformats.org/officeDocument/2006/custom-properties" xmlns:vt="http://schemas.openxmlformats.org/officeDocument/2006/docPropsVTypes">
  <property fmtid="{D5CDD505-2E9C-101B-9397-08002B2CF9AE}" pid="2" name="ContentTypeId">
    <vt:lpwstr>0x010100D1280997FB197D439016D66643BF045C</vt:lpwstr>
  </property>
  <property fmtid="{D5CDD505-2E9C-101B-9397-08002B2CF9AE}" pid="3" name="MediaServiceImageTags">
    <vt:lpwstr/>
  </property>
</Properties>
</file>