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ttps://nztransportagency-my.sharepoint.com/personal/dee_fisher_nzta_govt_nz1/Documents/CE/Expenses/CE Expenses to be published/FINAL Document for publishing/"/>
    </mc:Choice>
  </mc:AlternateContent>
  <xr:revisionPtr revIDLastSave="2" documentId="8_{0EFCAA0E-591D-4E9C-8E60-0D672C62ADA8}" xr6:coauthVersionLast="47" xr6:coauthVersionMax="47" xr10:uidLastSave="{54972DB8-C0A8-4B95-B882-C1312363F361}"/>
  <bookViews>
    <workbookView xWindow="-120" yWindow="-120" windowWidth="38640" windowHeight="21120" firstSheet="1" activeTab="5" xr2:uid="{00000000-000D-0000-FFFF-FFFF00000000}"/>
  </bookViews>
  <sheets>
    <sheet name="Guidance for agencies" sheetId="5" state="hidden"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expenses'!$A$1:$E$38</definedName>
    <definedName name="_xlnm.Print_Area" localSheetId="5">'Gifts and benefits'!$A$1:$F$64</definedName>
    <definedName name="_xlnm.Print_Area" localSheetId="0">'Guidance for agencies'!$A$1:$A$58</definedName>
    <definedName name="_xlnm.Print_Area" localSheetId="3">Hospitality!$A$1:$E$38</definedName>
    <definedName name="_xlnm.Print_Area" localSheetId="1">'Summary and sign-off'!$A$1:$F$23</definedName>
    <definedName name="_xlnm.Print_Area" localSheetId="2">Travel!$A$1:$E$196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3" l="1"/>
  <c r="B170" i="1"/>
  <c r="B169" i="1"/>
  <c r="B164" i="1"/>
  <c r="B163" i="1"/>
  <c r="B154" i="1"/>
  <c r="B153" i="1"/>
  <c r="B152" i="1"/>
  <c r="B148" i="1"/>
  <c r="B147" i="1"/>
  <c r="B143" i="1"/>
  <c r="B141" i="1"/>
  <c r="B136" i="1"/>
  <c r="B134" i="1"/>
  <c r="B131" i="1"/>
  <c r="B127" i="1"/>
  <c r="B126" i="1"/>
  <c r="B119" i="1"/>
  <c r="B117" i="1"/>
  <c r="B116" i="1"/>
  <c r="B115" i="1"/>
  <c r="B113" i="1"/>
  <c r="B108" i="1"/>
  <c r="B103" i="1"/>
  <c r="B94" i="1"/>
  <c r="B88" i="1"/>
  <c r="B79" i="1"/>
  <c r="B77" i="1"/>
  <c r="B76" i="1"/>
  <c r="B49" i="1"/>
  <c r="B36" i="1"/>
  <c r="B35" i="1"/>
  <c r="B13" i="1"/>
  <c r="D53" i="4" l="1"/>
  <c r="C32" i="3"/>
  <c r="C31" i="2"/>
  <c r="C175" i="1"/>
  <c r="C185" i="1"/>
  <c r="C30" i="1"/>
  <c r="B6" i="13" l="1"/>
  <c r="E60" i="13"/>
  <c r="C60" i="13"/>
  <c r="C55" i="4"/>
  <c r="C54" i="4"/>
  <c r="B60" i="13" l="1"/>
  <c r="B59" i="13"/>
  <c r="D59" i="13"/>
  <c r="B58" i="13"/>
  <c r="D58" i="13"/>
  <c r="D57" i="13"/>
  <c r="B57" i="13"/>
  <c r="D56" i="13"/>
  <c r="B56" i="13"/>
  <c r="D55" i="13"/>
  <c r="B55" i="13"/>
  <c r="B2" i="4"/>
  <c r="B3" i="4"/>
  <c r="B2" i="3"/>
  <c r="B3" i="3"/>
  <c r="B2" i="2"/>
  <c r="B3" i="2"/>
  <c r="B2" i="1"/>
  <c r="B3" i="1"/>
  <c r="F58" i="13" l="1"/>
  <c r="D31" i="2" s="1"/>
  <c r="F60" i="13"/>
  <c r="E53" i="4" s="1"/>
  <c r="F59" i="13"/>
  <c r="D32" i="3" s="1"/>
  <c r="F57" i="13"/>
  <c r="D185" i="1" s="1"/>
  <c r="F56" i="13"/>
  <c r="D175" i="1" s="1"/>
  <c r="F55" i="13"/>
  <c r="D30" i="1" s="1"/>
  <c r="C13" i="13"/>
  <c r="C12" i="13"/>
  <c r="C11" i="13"/>
  <c r="C16" i="13" l="1"/>
  <c r="C17" i="13"/>
  <c r="B5" i="4" l="1"/>
  <c r="B4" i="4"/>
  <c r="B5" i="3"/>
  <c r="B4" i="3"/>
  <c r="B5" i="2"/>
  <c r="B4" i="2"/>
  <c r="B5" i="1"/>
  <c r="B4" i="1"/>
  <c r="C15" i="13" l="1"/>
  <c r="F12" i="13" l="1"/>
  <c r="C53" i="4"/>
  <c r="F11" i="13" s="1"/>
  <c r="F13" i="13" l="1"/>
  <c r="B185" i="1"/>
  <c r="B17" i="13" s="1"/>
  <c r="B175" i="1"/>
  <c r="B16" i="13" s="1"/>
  <c r="B30" i="1"/>
  <c r="B15" i="13" s="1"/>
  <c r="B32" i="3" l="1"/>
  <c r="B13" i="13" s="1"/>
  <c r="B31" i="2"/>
  <c r="B12" i="13" s="1"/>
  <c r="B11" i="13" l="1"/>
  <c r="B18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33"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178"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<sst xmlns="http://schemas.openxmlformats.org/spreadsheetml/2006/main" count="997" uniqueCount="373">
  <si>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</si>
  <si>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</si>
  <si>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</si>
  <si>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</si>
  <si>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</si>
  <si>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</si>
  <si>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</si>
  <si>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</si>
  <si>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</si>
  <si>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</si>
  <si>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</si>
  <si>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</si>
  <si>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</si>
  <si>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</si>
  <si>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</si>
  <si>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</si>
  <si>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</si>
  <si>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</si>
  <si>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</si>
  <si>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</si>
  <si>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</si>
  <si>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</si>
  <si>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</si>
  <si>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</si>
  <si>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</si>
  <si>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</si>
  <si>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</si>
  <si>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</si>
  <si>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</si>
  <si>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</si>
  <si>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</si>
  <si>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</si>
  <si>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</si>
  <si>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</si>
  <si>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</si>
  <si>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</si>
  <si>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</si>
  <si>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</si>
  <si>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</si>
  <si>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</si>
  <si>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</si>
  <si>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</si>
  <si>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</si>
  <si>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</si>
  <si>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</si>
  <si>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</si>
  <si>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</si>
  <si>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</si>
  <si>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</si>
  <si>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</si>
  <si>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</si>
  <si>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</si>
  <si>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</si>
  <si>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</si>
  <si>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</si>
  <si>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</si>
  <si>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</si>
  <si>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</si>
  <si>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</si>
  <si>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</si>
  <si>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</si>
  <si>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</si>
  <si>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</si>
  <si>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</si>
  <si>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</si>
  <si>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</si>
  <si>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</si>
  <si>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</si>
  <si>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</si>
  <si>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</si>
  <si>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</si>
  <si>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</si>
  <si>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</si>
  <si>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</si>
  <si>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</si>
  <si>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</si>
  <si>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</si>
  <si>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</si>
  <si>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</si>
  <si>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</si>
  <si>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</si>
  <si>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</si>
  <si>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</si>
  <si>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</si>
  <si>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</si>
  <si>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</si>
  <si>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</si>
  <si>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</si>
  <si>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</si>
  <si>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</si>
  <si>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</si>
  <si>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</si>
  <si>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</si>
  <si>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</si>
  <si>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</si>
  <si>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</si>
  <si>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</si>
  <si>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</si>
  <si>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</si>
  <si>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</si>
  <si>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</si>
  <si>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</si>
  <si>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</si>
  <si>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</si>
  <si>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</si>
  <si>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</si>
  <si>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</si>
  <si>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</si>
  <si>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</si>
  <si>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</si>
  <si>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</si>
  <si>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</si>
  <si>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</si>
  <si>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</si>
  <si>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</si>
  <si>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</si>
  <si>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</si>
  <si>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</si>
  <si>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</si>
  <si>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</si>
  <si>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</si>
  <si>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</si>
  <si>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</si>
  <si>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</si>
  <si>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</si>
  <si>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</si>
  <si>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</si>
  <si>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</si>
  <si>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</si>
  <si>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</si>
  <si>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</si>
  <si>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</si>
  <si>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</si>
  <si>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</si>
  <si>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</si>
  <si>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</si>
  <si>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</si>
  <si>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</si>
  <si>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</si>
  <si>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</si>
  <si>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</si>
  <si>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</si>
  <si>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</si>
  <si>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</si>
  <si>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</si>
  <si>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</si>
  <si>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</si>
  <si>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</si>
  <si>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</si>
  <si>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</si>
  <si>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</si>
  <si>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</si>
  <si>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</si>
  <si>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</si>
  <si>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</si>
  <si>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</si>
  <si>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</si>
  <si>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</si>
  <si>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</si>
  <si>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</si>
  <si>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</si>
  <si>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</si>
  <si>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</si>
  <si>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</si>
  <si>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</si>
  <si>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</si>
  <si>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</si>
  <si>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</si>
  <si>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</si>
  <si>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</si>
  <si>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</si>
  <si>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NZ Transport Agency Waka Kotahi</t>
  </si>
  <si>
    <t>Nicole Rosie</t>
  </si>
  <si>
    <t>US Customs - ESTA application payment</t>
  </si>
  <si>
    <t>Overseas other travel costs</t>
  </si>
  <si>
    <t>USA</t>
  </si>
  <si>
    <t>Airfares</t>
  </si>
  <si>
    <t>London</t>
  </si>
  <si>
    <t>Prague</t>
  </si>
  <si>
    <t>Accommodation x 8 nights</t>
  </si>
  <si>
    <t>Meal for 1</t>
  </si>
  <si>
    <t>Taxi</t>
  </si>
  <si>
    <t>Train</t>
  </si>
  <si>
    <t>Accommodation x 2 nights</t>
  </si>
  <si>
    <t>Dublin</t>
  </si>
  <si>
    <t>Travel pass</t>
  </si>
  <si>
    <t>Accommodation x 1 night</t>
  </si>
  <si>
    <t>New York</t>
  </si>
  <si>
    <t>Marlborough Regional meetings and site visits</t>
  </si>
  <si>
    <t>Parking</t>
  </si>
  <si>
    <t>Wellington</t>
  </si>
  <si>
    <t>Local Govt NZ Conference, Christchurch</t>
  </si>
  <si>
    <t>Christchurch</t>
  </si>
  <si>
    <t>Accommodation - The Muse</t>
  </si>
  <si>
    <t>Bus</t>
  </si>
  <si>
    <t>Meals for 1</t>
  </si>
  <si>
    <t>Local Govt Meeting, Palmerston North</t>
  </si>
  <si>
    <t>Private Vehicle</t>
  </si>
  <si>
    <t>Palmerston North</t>
  </si>
  <si>
    <t>Executive Leadership Team Quarterly Away Days, Palmerston North</t>
  </si>
  <si>
    <t>Accommodation - Quest</t>
  </si>
  <si>
    <t>Meals for 10</t>
  </si>
  <si>
    <t>Auckland Transport Board Meetings, Auckland</t>
  </si>
  <si>
    <t>Accommodation - Citylife</t>
  </si>
  <si>
    <t>Auckland</t>
  </si>
  <si>
    <t>Keynote speaker at Roads Australia Leaders' lunch, Auckland</t>
  </si>
  <si>
    <t>Regional Office and site visits, Waikato</t>
  </si>
  <si>
    <t>Accommodation - Novotel Tanui</t>
  </si>
  <si>
    <t>Hamilton</t>
  </si>
  <si>
    <t>NZTA GGM People, Culture &amp; Safety interviews, Auckland</t>
  </si>
  <si>
    <t>Travel to Wellington Airport</t>
  </si>
  <si>
    <t>NZTA Board Meetings, Auckland</t>
  </si>
  <si>
    <t>Accommodation - Movenpick</t>
  </si>
  <si>
    <t>Hawkes Bay District Council meetings &amp; site visits, Hawkes Bay</t>
  </si>
  <si>
    <t>Napier</t>
  </si>
  <si>
    <t>Hastings</t>
  </si>
  <si>
    <t>Vehicle Rental</t>
  </si>
  <si>
    <t>Waipukurau</t>
  </si>
  <si>
    <t>Cancelled flights</t>
  </si>
  <si>
    <t>Meals</t>
  </si>
  <si>
    <t>SH25A Ministerial Site Visits, Hamilton</t>
  </si>
  <si>
    <t>Accommodation - Ibis Hamilton Tainui</t>
  </si>
  <si>
    <t>Global Womens' Group - Breakfast meeting</t>
  </si>
  <si>
    <t>ELT Away Days in Auckland + Whangarei trip</t>
  </si>
  <si>
    <t>Accommodation - Distinction Hotel</t>
  </si>
  <si>
    <t>Whangarei</t>
  </si>
  <si>
    <t>External Speaking Engagement, RIMS Forum, Auckland</t>
  </si>
  <si>
    <t>Local Govt and Stakeholder visits, Napier</t>
  </si>
  <si>
    <t>Accommodation - Scenic Hotel Te Pania</t>
  </si>
  <si>
    <t>Local Govt and Stakeholder visits, Gisborne</t>
  </si>
  <si>
    <t>Accommodation - Whispering Sands Beachfront Motel</t>
  </si>
  <si>
    <t>Gisborne</t>
  </si>
  <si>
    <t>Local Govt and Stakeholder visits, Gisborne &amp; Napier</t>
  </si>
  <si>
    <t>Taxi Bus Parkng</t>
  </si>
  <si>
    <t>Executive Leadership Team Quarterly Away Days, Hamilton</t>
  </si>
  <si>
    <t>Accommodation - Ibis Hamilton Tanui</t>
  </si>
  <si>
    <t>Accompany Minister of Transport on regional visits, Napier</t>
  </si>
  <si>
    <t>SafeGuard Awards dinner, Auckland</t>
  </si>
  <si>
    <t xml:space="preserve">CE/CE Quarterly Meeting, Auckland </t>
  </si>
  <si>
    <t>CE/CE Quarterly Meeting, Wellington</t>
  </si>
  <si>
    <t>External Speaking Engagement, National Lifelines Utilities Forum, Wellington</t>
  </si>
  <si>
    <t>Local Govt NZ Stakeholder function - Taxi - transport to function</t>
  </si>
  <si>
    <t>External Speaking Engagement, Local Govt Infrastructure Symposium, Wellington</t>
  </si>
  <si>
    <t>Dinner for departing NZTA Group General Manager + 1 x Board member</t>
  </si>
  <si>
    <t>Meal for 3</t>
  </si>
  <si>
    <t>Local Govt NZ Conference - dinner with external guest</t>
  </si>
  <si>
    <t>Meal for 2</t>
  </si>
  <si>
    <t>Coffee meeting with external party</t>
  </si>
  <si>
    <t>Coffee for 2</t>
  </si>
  <si>
    <t>Lunch with incoming NZTA Group General Manager</t>
  </si>
  <si>
    <t>Staff recognition - Coffee with CE</t>
  </si>
  <si>
    <t>Coffee for 3</t>
  </si>
  <si>
    <t>Staff recognition - Breakfast with CE</t>
  </si>
  <si>
    <t>CE/CE quarterly meeting</t>
  </si>
  <si>
    <t>Meal for 5</t>
  </si>
  <si>
    <t>Host gifts</t>
  </si>
  <si>
    <t>Meeting with Auckland Light Rail Executive members</t>
  </si>
  <si>
    <t>Meeting with Auckland Transport Board member</t>
  </si>
  <si>
    <t>Executive Leadership Team/NZTA Board, Welllington</t>
  </si>
  <si>
    <t>Meal for 11</t>
  </si>
  <si>
    <t>Cake to welcome new Group General Manager</t>
  </si>
  <si>
    <t>Catering for 9</t>
  </si>
  <si>
    <t>Gift to thank NZTA Acting Board Chair for Board acting role</t>
  </si>
  <si>
    <t>Gift</t>
  </si>
  <si>
    <t>Staff recognition - Lunch with CE</t>
  </si>
  <si>
    <t>Meeting with NZTA Supplier</t>
  </si>
  <si>
    <t>Coaching for Nicole Rosie</t>
  </si>
  <si>
    <t>Training costs</t>
  </si>
  <si>
    <t>Mobile phone</t>
  </si>
  <si>
    <t>Phone and data costs</t>
  </si>
  <si>
    <t>Institute of Directors NZ - Membership</t>
  </si>
  <si>
    <t>Professional Membership</t>
  </si>
  <si>
    <t>9-16 October 2023</t>
  </si>
  <si>
    <t>Irish under 20 rugby jersey and separate gift of Irish scarf</t>
  </si>
  <si>
    <t>Irish Land Development Agency, PWC Ireland</t>
  </si>
  <si>
    <t>J’aime Les Macrons</t>
  </si>
  <si>
    <t>Tregaskis Brown Ltd</t>
  </si>
  <si>
    <t>Shared with team</t>
  </si>
  <si>
    <t>Te Kawa Mataaho Spirit of Service Awards</t>
  </si>
  <si>
    <t>Land Information NZ</t>
  </si>
  <si>
    <t>Lunch with BNZ CEO</t>
  </si>
  <si>
    <t>BNZ</t>
  </si>
  <si>
    <t>Construction Sector Accord &amp; Waihanga Ara Rau</t>
  </si>
  <si>
    <t xml:space="preserve">Construction Sector Accord's Beacons Awards </t>
  </si>
  <si>
    <t>Primary Industries New Zealand Summit &amp; Awards</t>
  </si>
  <si>
    <t xml:space="preserve">Brightstar and Federated Farmers </t>
  </si>
  <si>
    <t>MinterEllisonRuddWatts annual infrastructure dinner</t>
  </si>
  <si>
    <t>MinterEllisonRuddWatts</t>
  </si>
  <si>
    <t>US-NZ Public Transport Executive Dinner</t>
  </si>
  <si>
    <t>Public Transport Assn Australia &amp; New Zealand</t>
  </si>
  <si>
    <t>ACC Wellington Gold Awards 2023</t>
  </si>
  <si>
    <t>ACC</t>
  </si>
  <si>
    <t>EECA Stakeholder Event</t>
  </si>
  <si>
    <t>EECA</t>
  </si>
  <si>
    <t>The State of the City - Breakfast launch</t>
  </si>
  <si>
    <t>Deloitte</t>
  </si>
  <si>
    <t>World of Wearable Arts</t>
  </si>
  <si>
    <t>Kiwirail</t>
  </si>
  <si>
    <t>Launch of the Herald's Mood of the Boardroom Election Survey</t>
  </si>
  <si>
    <t>Auckland Business Chamber</t>
  </si>
  <si>
    <t>Netherlands Residence Reception</t>
  </si>
  <si>
    <t>Ambassador of the Kingdom of the Netherlands to New Zealand</t>
  </si>
  <si>
    <t>Victoria University Distinguished Alumni Awards 2023</t>
  </si>
  <si>
    <t>Victoria University</t>
  </si>
  <si>
    <t>2023 Sustainable Business Awards</t>
  </si>
  <si>
    <t>Sustainable Business Network</t>
  </si>
  <si>
    <t>Kerridge &amp; Partners Christmas Party</t>
  </si>
  <si>
    <t>Kerridge &amp; Partners</t>
  </si>
  <si>
    <t>ANCAP 30th Anniversary</t>
  </si>
  <si>
    <t>ANCAP Safety</t>
  </si>
  <si>
    <t>ARA Boardroom Dinner</t>
  </si>
  <si>
    <t>Australasian Railway Association</t>
  </si>
  <si>
    <t>Deloitte Directors' Dinner</t>
  </si>
  <si>
    <t>NZ Infrastructure Commiison &amp; Tātaki Auckland Breakfast meeting</t>
  </si>
  <si>
    <t>Yes</t>
  </si>
  <si>
    <t>NZ Infrastructure Commission</t>
  </si>
  <si>
    <t>NZ Rail Conference Dinner</t>
  </si>
  <si>
    <t>Luke Cunningham Clere end of year client function</t>
  </si>
  <si>
    <t>Luke Cunningham Clere</t>
  </si>
  <si>
    <t>Public Service Commissioner Retirement Event</t>
  </si>
  <si>
    <t>Hon Nicola Willis</t>
  </si>
  <si>
    <t>Back to Business Event 2024</t>
  </si>
  <si>
    <t>Business NZ</t>
  </si>
  <si>
    <t>Beca Group Board Breakfast Event</t>
  </si>
  <si>
    <t>Beca Group</t>
  </si>
  <si>
    <t>Russell McVeagh Supper Club with Lady Deborah Chambers KC</t>
  </si>
  <si>
    <t>Russell McVeagh</t>
  </si>
  <si>
    <t>Local Govt NZ Stakeholder Function</t>
  </si>
  <si>
    <t>LGNZ</t>
  </si>
  <si>
    <t>Leaders' Lunch with Hon Chris Bishop</t>
  </si>
  <si>
    <t>Infrastructure NZ</t>
  </si>
  <si>
    <t>Women leading infrastructure drinks</t>
  </si>
  <si>
    <t>Reception to mark the visit to Ireland in May 2024 by a delegation from Infrastructure NZ</t>
  </si>
  <si>
    <t>Ambassador of Ireland</t>
  </si>
  <si>
    <t>Road Safety Week launch</t>
  </si>
  <si>
    <t>Brake Charity</t>
  </si>
  <si>
    <t>Women in Business Event</t>
  </si>
  <si>
    <t>KPMG</t>
  </si>
  <si>
    <t>Event to meet with Downer team and industry leaders</t>
  </si>
  <si>
    <t>Downers</t>
  </si>
  <si>
    <t>Boardroom lunch with the Hon Dominic Perrottet, former Premier of NSW and Minister of Finance, and Member for Epping</t>
  </si>
  <si>
    <t xml:space="preserve">Aurecon </t>
  </si>
  <si>
    <t>Wellington Client Event</t>
  </si>
  <si>
    <t>Report launch by WSP &amp; The Helen Clark Foundation</t>
  </si>
  <si>
    <t>WSP</t>
  </si>
  <si>
    <t>Global Enterprise Experience Award Ceremony</t>
  </si>
  <si>
    <t>Hon Penny Simmonds CNZM</t>
  </si>
  <si>
    <t>Dinner hosted by Central Hawkes Bay District Council</t>
  </si>
  <si>
    <t>CHBDC</t>
  </si>
  <si>
    <t>St Patrick's Day annual gala lunch, Parliament</t>
  </si>
  <si>
    <t>$400-$500</t>
  </si>
  <si>
    <t>PWC, Transport Land Development agencies and Treasury UK &amp; Ireland</t>
  </si>
  <si>
    <t>Visiting NZ Delegation to UK/Ireland to investigate roading PPP delivery, infrastructure programmes - (approved, by previous Board Chair) 
- Taxi from hotel to Jacobs UK</t>
  </si>
  <si>
    <t>Visiting NZ Delegation to UK/Ireland to investigate roading PPP delivery, infrastructure programmes - (approved by previous Board Chair) 
- The Real Greek café</t>
  </si>
  <si>
    <t>Visiting NZ Delegation to UK/Ireland to investigate roading PPP delivery, infrastructure programmes - (approved by previous Board Chair) 
- The Waldorf Hilton - London accommodation</t>
  </si>
  <si>
    <t>Visiting NZ Delegation to UK/Ireland to investigate roading PPP delivery, infrastructure programmes - (approved by previous Board Chair) 
- Airfare refund</t>
  </si>
  <si>
    <t>Visiting NZ Delegation to UK/Ireland to investigate roading PPP delivery, infrastructure programmes - (approved by previous Board Chair) 
- Visiting NZ Delegation incl. NZTA, Kiwirail, KO, Aurecon, Intrastructure NZ &amp; PwC</t>
  </si>
  <si>
    <t>Visiting NZ Delegation to UK/Ireland to investigate roading PPP delivery, infrastructure programmes - (approved by previous Board Chair) 
- Tesco Stores</t>
  </si>
  <si>
    <t>Visiting NZ Delegation to UK/Ireland to investigate roading PPP delivery, infrastructure programmes - (approved by previous Board Chair) 
- Train - Tottenham Court Road, Elizabeth Line</t>
  </si>
  <si>
    <t>Visiting NZ Delegation to UK/Ireland to investigate roading PPP delivery, infrastructure programmes - (approved by previous Board Chair) 
- Train from London City to LHR Airport - Flight to Ireland</t>
  </si>
  <si>
    <t>Visiting NZ Delegation to UK/Ireland to investigate roading PPP delivery, infrastructure programmes - (approved by previous Board Chair) 
- The Morrison Dublin Hotel - Accommodation in Dublin</t>
  </si>
  <si>
    <t xml:space="preserve">Visiting NZ Delegation to UK/Ireland to investigate roading PPP delivery, infrastructure programmes - (approved by previous Board Chair) 
- London Heathrow Airport </t>
  </si>
  <si>
    <t>Visiting NZ Delegation to UK/Ireland to investigate roading PPP delivery, infrastructure programmes - (approved by previous Board Chair) 
- Flight to Dublin, Ireland</t>
  </si>
  <si>
    <t>Visiting NZ Delegation to UK/Ireland to investigate roading PPP delivery, infrastructure programmes - (approved by previous Board Chair) 
- Luas Transdev Dublin - 1-Day travel pass</t>
  </si>
  <si>
    <t>Visiting NZ Delegation to UK/Ireland to investigate roading PPP delivery, infrastructure programmes - (approved by previous Board Chair) 
- Dub the Mezz café</t>
  </si>
  <si>
    <t>Visiting NZ Delegation to UK/Ireland to investigate roading PPP delivery, infrastructure programmes - (approved by previous Board Chair) 
- Taxi from hotel to Dublin Airport</t>
  </si>
  <si>
    <t>Visiting NZ Delegation to UK/Ireland to investigate roading PPP delivery, infrastructure programmes - (approved by previous Board Chair) 
- Hilton Garden Inn - Heathrow</t>
  </si>
  <si>
    <t>Visiting NZ Delegation to UK/Ireland to investigate roading PPP delivery, infrastructure programmes - (approved by previous Board Chair) 
- Return flight to NZ</t>
  </si>
  <si>
    <t>Visiting NZ Delegation to UK/Ireland to investigate roading PPP delivery, infrastructure programmes - (approved by previous Board Chair) 
- Zettle Buns and Buns - Breakfast meeting with NZ Delegation</t>
  </si>
  <si>
    <t>Visiting NZ Delegation to UK/Ireland to investigate roading PPP delivery, infrastructure programmes - (approved by previous Board Chair) 
- Caffé Concerto - Breakfast meeting with NZ Delegation</t>
  </si>
  <si>
    <t>Visiting NZ Delegation to UK/Ireland to investigate roading PPP delivery, infrastructure programmes - (approved by previous Board Chair) 
- Battersea Chimney Lift - Gift for guides at Battersea site visit</t>
  </si>
  <si>
    <t>This document has been approved by Hon. Simon Bridges, NZTA Board Chair.  
International travel, hospitality and other expenses approved by relevant Board Chair at the time.</t>
  </si>
  <si>
    <t>Visiting NZ Delegation to UK/Ireland to investigate roading PPP delivery, infrastructure programmes - (approved by previous Board Chair) ) 
- 10 day Group Study Tour to London and Ireland where multiple stakeholders were visited and food provided by multiple agencies (UK Treasury, International Project Delivery Agency, Jacobs, Irish Transport and Roads, Irish Rail, Irish Land Development Agency and PWC Ireland.  PWC sponsored dinner with alcohol involving transport sector leaders.  Transport was also paid for.  Shared costs for other meals with other attendees.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</si>
</sst>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4"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
      <sz val="10"/>
      <color theme="1"/>
      <name val="Lucida Sans"/>
      <family val="2"/>
    </font>
    <font>
      <sz val="9"/>
      <name val="Arial"/>
      <family val="2"/>
    </font>
    <font>
      <sz val="9"/>
      <color theme="1"/>
      <name val="Arial"/>
      <family val="2"/>
    </font>
    <font>
      <sz val="12"/>
      <name val="Arial"/>
      <family val="2"/>
    </font>
  </fonts>
  <fills count="14">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
      <patternFill patternType="solid">
        <fgColor theme="6" tint="0.79998168889431442"/>
        <bgColor indexed="64"/>
      </patternFill>
    </fill>
    <fill>
      <patternFill patternType="solid">
        <fgColor theme="8" tint="0.79998168889431442"/>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4">
    <xf numFmtId="0" fontId="0" fillId="0" borderId="0"/>
    <xf numFmtId="0" fontId="10" fillId="0" borderId="0" applyNumberFormat="0" applyFill="0" applyBorder="0" applyAlignment="0" applyProtection="0"/>
    <xf numFmtId="165" fontId="23" fillId="0" borderId="0" applyFont="0" applyFill="0" applyBorder="0" applyAlignment="0" applyProtection="0"/>
    <xf numFmtId="0" fontId="40" fillId="0" borderId="0"/>
  </cellStyleXfs>
  <cellXfs count="165">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167" fontId="41" fillId="0" borderId="0" xfId="3" applyNumberFormat="1" applyFont="1" applyAlignment="1" applyProtection="1">
      <alignment horizontal="left"/>
      <protection locked="0"/>
    </xf>
    <xf numFmtId="166" fontId="41" fillId="12" borderId="0" xfId="3" applyNumberFormat="1" applyFont="1" applyFill="1" applyProtection="1">
      <protection locked="0"/>
    </xf>
    <xf numFmtId="0" fontId="42" fillId="13" borderId="0" xfId="3" applyFont="1" applyFill="1" applyProtection="1">
      <protection locked="0"/>
    </xf>
    <xf numFmtId="0" fontId="42" fillId="0" borderId="0" xfId="3" applyFont="1" applyProtection="1">
      <protection locked="0"/>
    </xf>
    <xf numFmtId="0" fontId="41" fillId="13" borderId="0" xfId="3" applyFont="1" applyFill="1" applyProtection="1">
      <protection locked="0"/>
    </xf>
    <xf numFmtId="0" fontId="41" fillId="0" borderId="0" xfId="0" applyFont="1" applyProtection="1">
      <protection locked="0"/>
    </xf>
    <xf numFmtId="0" fontId="41" fillId="0" borderId="0" xfId="3" applyFont="1" applyProtection="1">
      <protection locked="0"/>
    </xf>
    <xf numFmtId="167" fontId="42" fillId="0" borderId="0" xfId="3" applyNumberFormat="1" applyFont="1" applyAlignment="1" applyProtection="1">
      <alignment horizontal="left"/>
      <protection locked="0"/>
    </xf>
    <xf numFmtId="167" fontId="41" fillId="0" borderId="0" xfId="3" applyNumberFormat="1" applyFont="1" applyAlignment="1" applyProtection="1">
      <alignment horizontal="left" vertical="top"/>
      <protection locked="0"/>
    </xf>
    <xf numFmtId="166" fontId="42" fillId="0" borderId="0" xfId="3" applyNumberFormat="1" applyFont="1" applyAlignment="1" applyProtection="1">
      <alignment vertical="top" wrapText="1"/>
      <protection locked="0"/>
    </xf>
    <xf numFmtId="0" fontId="42" fillId="0" borderId="0" xfId="3" applyFont="1" applyAlignment="1" applyProtection="1">
      <alignment vertical="top"/>
      <protection locked="0"/>
    </xf>
    <xf numFmtId="166" fontId="41" fillId="0" borderId="0" xfId="3" applyNumberFormat="1" applyFont="1" applyAlignment="1" applyProtection="1">
      <alignment vertical="top"/>
      <protection locked="0"/>
    </xf>
    <xf numFmtId="166" fontId="41" fillId="0" borderId="0" xfId="3" applyNumberFormat="1" applyFont="1" applyAlignment="1" applyProtection="1">
      <alignment horizontal="left" vertical="top"/>
      <protection locked="0"/>
    </xf>
    <xf numFmtId="167" fontId="42" fillId="0" borderId="0" xfId="3" applyNumberFormat="1" applyFont="1" applyAlignment="1" applyProtection="1">
      <alignment horizontal="left" vertical="top"/>
      <protection locked="0"/>
    </xf>
    <xf numFmtId="167" fontId="41" fillId="0" borderId="0" xfId="3" applyNumberFormat="1" applyFont="1" applyAlignment="1" applyProtection="1">
      <alignment horizontal="left" vertical="top" wrapText="1"/>
      <protection locked="0"/>
    </xf>
    <xf numFmtId="166" fontId="41" fillId="12" borderId="0" xfId="3" applyNumberFormat="1" applyFont="1" applyFill="1" applyAlignment="1" applyProtection="1">
      <alignment vertical="top" wrapText="1"/>
      <protection locked="0"/>
    </xf>
    <xf numFmtId="0" fontId="42" fillId="13" borderId="0" xfId="3" applyFont="1" applyFill="1" applyAlignment="1" applyProtection="1">
      <alignment vertical="top" wrapText="1"/>
      <protection locked="0"/>
    </xf>
    <xf numFmtId="0" fontId="42" fillId="0" borderId="0" xfId="3" applyFont="1" applyAlignment="1" applyProtection="1">
      <alignment vertical="top" wrapText="1"/>
      <protection locked="0"/>
    </xf>
    <xf numFmtId="0" fontId="0" fillId="0" borderId="0" xfId="0" applyAlignment="1" applyProtection="1">
      <alignment vertical="top" wrapText="1"/>
      <protection locked="0"/>
    </xf>
    <xf numFmtId="0" fontId="41" fillId="13" borderId="0" xfId="3" applyFont="1" applyFill="1" applyAlignment="1" applyProtection="1">
      <alignment vertical="top" wrapText="1"/>
      <protection locked="0"/>
    </xf>
    <xf numFmtId="0" fontId="41" fillId="0" borderId="0" xfId="0" applyFont="1" applyAlignment="1" applyProtection="1">
      <alignment vertical="top" wrapText="1"/>
      <protection locked="0"/>
    </xf>
    <xf numFmtId="0" fontId="41" fillId="0" borderId="0" xfId="3" applyFont="1" applyAlignment="1" applyProtection="1">
      <alignment vertical="top" wrapText="1"/>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0" fontId="43" fillId="10" borderId="2" xfId="0"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4">
    <cellStyle name="Currency" xfId="2" builtinId="4"/>
    <cellStyle name="Hyperlink" xfId="1" builtinId="8"/>
    <cellStyle name="Normal" xfId="0" builtinId="0"/>
    <cellStyle name="Normal 2" xfId="3" xr:uid="{FDF8B2C4-3E80-40D3-9932-9A09E08F53C8}"/>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zoomScaleNormal="100" workbookViewId="0">
      <selection activeCell="A5" sqref="A5"/>
    </sheetView>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0</v>
      </c>
    </row>
    <row r="2" spans="1:2" ht="33" customHeight="1" x14ac:dyDescent="0.2">
      <c r="A2" s="103" t="s">
        <v>1</v>
      </c>
    </row>
    <row r="3" spans="1:2" ht="17.25" customHeight="1" x14ac:dyDescent="0.2"/>
    <row r="4" spans="1:2" ht="23.25" customHeight="1" x14ac:dyDescent="0.2">
      <c r="A4" s="118" t="s">
        <v>2</v>
      </c>
    </row>
    <row r="5" spans="1:2" ht="17.25" customHeight="1" x14ac:dyDescent="0.2"/>
    <row r="6" spans="1:2" ht="23.25" customHeight="1" x14ac:dyDescent="0.2">
      <c r="A6" s="42" t="s">
        <v>3</v>
      </c>
    </row>
    <row r="7" spans="1:2" ht="17.25" customHeight="1" x14ac:dyDescent="0.2">
      <c r="A7" s="43" t="s">
        <v>4</v>
      </c>
    </row>
    <row r="8" spans="1:2" ht="17.25" customHeight="1" x14ac:dyDescent="0.2">
      <c r="A8" s="43" t="s">
        <v>5</v>
      </c>
    </row>
    <row r="9" spans="1:2" ht="17.25" customHeight="1" x14ac:dyDescent="0.2">
      <c r="A9" s="43"/>
    </row>
    <row r="10" spans="1:2" ht="23.25" customHeight="1" x14ac:dyDescent="0.2">
      <c r="A10" s="42" t="s">
        <v>6</v>
      </c>
      <c r="B10" s="69" t="s">
        <v>7</v>
      </c>
    </row>
    <row r="11" spans="1:2" ht="17.25" customHeight="1" x14ac:dyDescent="0.2">
      <c r="A11" s="44" t="s">
        <v>8</v>
      </c>
    </row>
    <row r="12" spans="1:2" ht="17.25" customHeight="1" x14ac:dyDescent="0.2">
      <c r="A12" s="43" t="s">
        <v>9</v>
      </c>
    </row>
    <row r="13" spans="1:2" ht="17.25" customHeight="1" x14ac:dyDescent="0.2">
      <c r="A13" s="43" t="s">
        <v>10</v>
      </c>
    </row>
    <row r="14" spans="1:2" ht="17.25" customHeight="1" x14ac:dyDescent="0.2">
      <c r="A14" s="45" t="s">
        <v>11</v>
      </c>
    </row>
    <row r="15" spans="1:2" ht="17.25" customHeight="1" x14ac:dyDescent="0.2">
      <c r="A15" s="43" t="s">
        <v>12</v>
      </c>
    </row>
    <row r="16" spans="1:2" ht="17.25" customHeight="1" x14ac:dyDescent="0.2">
      <c r="A16" s="43"/>
    </row>
    <row r="17" spans="1:1" ht="23.25" customHeight="1" x14ac:dyDescent="0.2">
      <c r="A17" s="42" t="s">
        <v>13</v>
      </c>
    </row>
    <row r="18" spans="1:1" ht="17.25" customHeight="1" x14ac:dyDescent="0.2">
      <c r="A18" s="45" t="s">
        <v>14</v>
      </c>
    </row>
    <row r="19" spans="1:1" ht="17.25" customHeight="1" x14ac:dyDescent="0.2">
      <c r="A19" s="45" t="s">
        <v>15</v>
      </c>
    </row>
    <row r="20" spans="1:1" ht="17.25" customHeight="1" x14ac:dyDescent="0.2">
      <c r="A20" s="65" t="s">
        <v>16</v>
      </c>
    </row>
    <row r="21" spans="1:1" ht="17.25" customHeight="1" x14ac:dyDescent="0.2">
      <c r="A21" s="46"/>
    </row>
    <row r="22" spans="1:1" ht="23.25" customHeight="1" x14ac:dyDescent="0.2">
      <c r="A22" s="42" t="s">
        <v>17</v>
      </c>
    </row>
    <row r="23" spans="1:1" ht="17.25" customHeight="1" x14ac:dyDescent="0.2">
      <c r="A23" s="46" t="s">
        <v>18</v>
      </c>
    </row>
    <row r="24" spans="1:1" ht="17.25" customHeight="1" x14ac:dyDescent="0.2">
      <c r="A24" s="46"/>
    </row>
    <row r="25" spans="1:1" ht="23.25" customHeight="1" x14ac:dyDescent="0.2">
      <c r="A25" s="42" t="s">
        <v>19</v>
      </c>
    </row>
    <row r="26" spans="1:1" ht="17.25" customHeight="1" x14ac:dyDescent="0.2">
      <c r="A26" s="47" t="s">
        <v>20</v>
      </c>
    </row>
    <row r="27" spans="1:1" ht="32.25" customHeight="1" x14ac:dyDescent="0.2">
      <c r="A27" s="45" t="s">
        <v>21</v>
      </c>
    </row>
    <row r="28" spans="1:1" ht="17.25" customHeight="1" x14ac:dyDescent="0.2">
      <c r="A28" s="47" t="s">
        <v>22</v>
      </c>
    </row>
    <row r="29" spans="1:1" ht="32.25" customHeight="1" x14ac:dyDescent="0.2">
      <c r="A29" s="45" t="s">
        <v>23</v>
      </c>
    </row>
    <row r="30" spans="1:1" ht="17.25" customHeight="1" x14ac:dyDescent="0.2">
      <c r="A30" s="47" t="s">
        <v>24</v>
      </c>
    </row>
    <row r="31" spans="1:1" ht="17.25" customHeight="1" x14ac:dyDescent="0.2">
      <c r="A31" s="45" t="s">
        <v>25</v>
      </c>
    </row>
    <row r="32" spans="1:1" ht="17.25" customHeight="1" x14ac:dyDescent="0.2">
      <c r="A32" s="47" t="s">
        <v>26</v>
      </c>
    </row>
    <row r="33" spans="1:1" ht="32.25" customHeight="1" x14ac:dyDescent="0.2">
      <c r="A33" s="45" t="s">
        <v>27</v>
      </c>
    </row>
    <row r="34" spans="1:1" ht="32.25" customHeight="1" x14ac:dyDescent="0.2">
      <c r="A34" s="44" t="s">
        <v>28</v>
      </c>
    </row>
    <row r="35" spans="1:1" ht="17.25" customHeight="1" x14ac:dyDescent="0.2">
      <c r="A35" s="47" t="s">
        <v>29</v>
      </c>
    </row>
    <row r="36" spans="1:1" ht="32.25" customHeight="1" x14ac:dyDescent="0.2">
      <c r="A36" s="45" t="s">
        <v>30</v>
      </c>
    </row>
    <row r="37" spans="1:1" ht="32.25" customHeight="1" x14ac:dyDescent="0.2">
      <c r="A37" s="45" t="s">
        <v>31</v>
      </c>
    </row>
    <row r="38" spans="1:1" ht="32.25" customHeight="1" x14ac:dyDescent="0.2">
      <c r="A38" s="45" t="s">
        <v>32</v>
      </c>
    </row>
    <row r="39" spans="1:1" ht="17.25" customHeight="1" x14ac:dyDescent="0.2">
      <c r="A39" s="44"/>
    </row>
    <row r="40" spans="1:1" ht="22.5" customHeight="1" x14ac:dyDescent="0.2">
      <c r="A40" s="42" t="s">
        <v>33</v>
      </c>
    </row>
    <row r="41" spans="1:1" ht="17.25" customHeight="1" x14ac:dyDescent="0.2">
      <c r="A41" s="51" t="s">
        <v>34</v>
      </c>
    </row>
    <row r="42" spans="1:1" ht="17.25" customHeight="1" x14ac:dyDescent="0.2">
      <c r="A42" s="48" t="s">
        <v>35</v>
      </c>
    </row>
    <row r="43" spans="1:1" ht="17.25" customHeight="1" x14ac:dyDescent="0.2">
      <c r="A43" s="46" t="s">
        <v>36</v>
      </c>
    </row>
    <row r="44" spans="1:1" ht="32.25" customHeight="1" x14ac:dyDescent="0.2">
      <c r="A44" s="46" t="s">
        <v>37</v>
      </c>
    </row>
    <row r="45" spans="1:1" ht="32.25" customHeight="1" x14ac:dyDescent="0.2">
      <c r="A45" s="46" t="s">
        <v>38</v>
      </c>
    </row>
    <row r="46" spans="1:1" ht="17.25" customHeight="1" x14ac:dyDescent="0.2">
      <c r="A46" s="49" t="s">
        <v>39</v>
      </c>
    </row>
    <row r="47" spans="1:1" ht="32.25" customHeight="1" x14ac:dyDescent="0.2">
      <c r="A47" s="45" t="s">
        <v>40</v>
      </c>
    </row>
    <row r="48" spans="1:1" ht="32.25" customHeight="1" x14ac:dyDescent="0.2">
      <c r="A48" s="45" t="s">
        <v>41</v>
      </c>
    </row>
    <row r="49" spans="1:1" ht="32.25" customHeight="1" x14ac:dyDescent="0.2">
      <c r="A49" s="46" t="s">
        <v>42</v>
      </c>
    </row>
    <row r="50" spans="1:1" ht="17.25" customHeight="1" x14ac:dyDescent="0.2">
      <c r="A50" s="46" t="s">
        <v>43</v>
      </c>
    </row>
    <row r="51" spans="1:1" x14ac:dyDescent="0.2">
      <c r="A51" s="46" t="s">
        <v>44</v>
      </c>
    </row>
    <row r="52" spans="1:1" ht="17.25" customHeight="1" x14ac:dyDescent="0.2">
      <c r="A52" s="46"/>
    </row>
    <row r="53" spans="1:1" ht="22.5" customHeight="1" x14ac:dyDescent="0.2">
      <c r="A53" s="42" t="s">
        <v>45</v>
      </c>
    </row>
    <row r="54" spans="1:1" ht="32.25" customHeight="1" x14ac:dyDescent="0.2">
      <c r="A54" s="120" t="s">
        <v>46</v>
      </c>
    </row>
    <row r="55" spans="1:1" ht="17.25" customHeight="1" x14ac:dyDescent="0.2">
      <c r="A55" s="50" t="s">
        <v>47</v>
      </c>
    </row>
    <row r="56" spans="1:1" ht="17.25" customHeight="1" x14ac:dyDescent="0.2">
      <c r="A56" s="51" t="s">
        <v>48</v>
      </c>
    </row>
    <row r="57" spans="1:1" ht="17.25" customHeight="1" x14ac:dyDescent="0.2">
      <c r="A57" s="65" t="s">
        <v>49</v>
      </c>
    </row>
    <row r="58" spans="1:1" ht="17.25" customHeight="1" x14ac:dyDescent="0.2">
      <c r="A58" s="119" t="s">
        <v>50</v>
      </c>
    </row>
    <row r="59" spans="1:1" x14ac:dyDescent="0.2"/>
    <row r="61" spans="1:1" hidden="1" x14ac:dyDescent="0.2">
      <c r="A61" s="52"/>
    </row>
    <row r="62" spans="1:1" x14ac:dyDescent="0.2"/>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7"/>
  <sheetViews>
    <sheetView zoomScaleNormal="100" workbookViewId="0">
      <selection activeCell="G7" sqref="G7"/>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46" t="s">
        <v>51</v>
      </c>
      <c r="B1" s="146"/>
      <c r="C1" s="146"/>
      <c r="D1" s="146"/>
      <c r="E1" s="146"/>
      <c r="F1" s="146"/>
      <c r="G1" s="17"/>
      <c r="H1" s="17"/>
      <c r="I1" s="17"/>
      <c r="J1" s="17"/>
      <c r="K1" s="17"/>
    </row>
    <row r="2" spans="1:11" ht="21" customHeight="1" x14ac:dyDescent="0.2">
      <c r="A2" s="3" t="s">
        <v>52</v>
      </c>
      <c r="B2" s="147" t="s">
        <v>171</v>
      </c>
      <c r="C2" s="147"/>
      <c r="D2" s="147"/>
      <c r="E2" s="147"/>
      <c r="F2" s="147"/>
      <c r="G2" s="17"/>
      <c r="H2" s="17"/>
      <c r="I2" s="17"/>
      <c r="J2" s="17"/>
      <c r="K2" s="17"/>
    </row>
    <row r="3" spans="1:11" ht="15.75" x14ac:dyDescent="0.2">
      <c r="A3" s="3" t="s">
        <v>53</v>
      </c>
      <c r="B3" s="147" t="s">
        <v>172</v>
      </c>
      <c r="C3" s="147"/>
      <c r="D3" s="147"/>
      <c r="E3" s="147"/>
      <c r="F3" s="147"/>
      <c r="G3" s="17"/>
      <c r="H3" s="17"/>
      <c r="I3" s="17"/>
      <c r="J3" s="17"/>
      <c r="K3" s="17"/>
    </row>
    <row r="4" spans="1:11" ht="21" customHeight="1" x14ac:dyDescent="0.2">
      <c r="A4" s="3" t="s">
        <v>54</v>
      </c>
      <c r="B4" s="148">
        <v>45108</v>
      </c>
      <c r="C4" s="148"/>
      <c r="D4" s="148"/>
      <c r="E4" s="148"/>
      <c r="F4" s="148"/>
      <c r="G4" s="17"/>
      <c r="H4" s="17"/>
      <c r="I4" s="17"/>
      <c r="J4" s="17"/>
      <c r="K4" s="17"/>
    </row>
    <row r="5" spans="1:11" ht="21" customHeight="1" x14ac:dyDescent="0.2">
      <c r="A5" s="3" t="s">
        <v>55</v>
      </c>
      <c r="B5" s="148">
        <v>45473</v>
      </c>
      <c r="C5" s="148"/>
      <c r="D5" s="148"/>
      <c r="E5" s="148"/>
      <c r="F5" s="148"/>
      <c r="G5" s="17"/>
      <c r="H5" s="17"/>
      <c r="I5" s="17"/>
      <c r="J5" s="17"/>
      <c r="K5" s="17"/>
    </row>
    <row r="6" spans="1:11" ht="21" customHeight="1" x14ac:dyDescent="0.2">
      <c r="A6" s="3" t="s">
        <v>56</v>
      </c>
      <c r="B6" s="145" t="str">
        <f>IF(AND(Travel!B7&lt;&gt;A30,Hospitality!B7&lt;&gt;A30,'All other expenses'!B7&lt;&gt;A30,'Gifts and benefits'!B7&lt;&gt;A30),A31,IF(AND(Travel!B7=A30,Hospitality!B7=A30,'All other expenses'!B7=A30,'Gifts and benefits'!B7=A30),A33,A32))</f>
        <v>Data and totals checked on all sheets</v>
      </c>
      <c r="C6" s="145"/>
      <c r="D6" s="145"/>
      <c r="E6" s="145"/>
      <c r="F6" s="145"/>
      <c r="G6" s="23"/>
      <c r="H6" s="17"/>
      <c r="I6" s="17"/>
      <c r="J6" s="17"/>
      <c r="K6" s="17"/>
    </row>
    <row r="7" spans="1:11" ht="31.5" x14ac:dyDescent="0.2">
      <c r="A7" s="3" t="s">
        <v>57</v>
      </c>
      <c r="B7" s="144" t="s">
        <v>90</v>
      </c>
      <c r="C7" s="144"/>
      <c r="D7" s="144"/>
      <c r="E7" s="144"/>
      <c r="F7" s="144"/>
      <c r="G7" s="23"/>
      <c r="H7" s="17"/>
      <c r="I7" s="17"/>
      <c r="J7" s="17"/>
      <c r="K7" s="17"/>
    </row>
    <row r="8" spans="1:11" ht="33" customHeight="1" x14ac:dyDescent="0.2">
      <c r="A8" s="3" t="s">
        <v>59</v>
      </c>
      <c r="B8" s="149" t="s">
        <v>371</v>
      </c>
      <c r="C8" s="149"/>
      <c r="D8" s="149"/>
      <c r="E8" s="149"/>
      <c r="F8" s="149"/>
      <c r="G8" s="23"/>
      <c r="H8" s="17"/>
      <c r="I8" s="17"/>
      <c r="J8" s="17"/>
      <c r="K8" s="17"/>
    </row>
    <row r="9" spans="1:11" ht="66.75" customHeight="1" x14ac:dyDescent="0.2">
      <c r="A9" s="143" t="s">
        <v>61</v>
      </c>
      <c r="B9" s="143"/>
      <c r="C9" s="143"/>
      <c r="D9" s="143"/>
      <c r="E9" s="143"/>
      <c r="F9" s="143"/>
      <c r="G9" s="23"/>
      <c r="H9" s="17"/>
      <c r="I9" s="17"/>
      <c r="J9" s="17"/>
      <c r="K9" s="17"/>
    </row>
    <row r="10" spans="1:11" s="93" customFormat="1" ht="36" customHeight="1" x14ac:dyDescent="0.2">
      <c r="A10" s="87" t="s">
        <v>62</v>
      </c>
      <c r="B10" s="88" t="s">
        <v>63</v>
      </c>
      <c r="C10" s="88" t="s">
        <v>64</v>
      </c>
      <c r="D10" s="89"/>
      <c r="E10" s="90" t="s">
        <v>29</v>
      </c>
      <c r="F10" s="91" t="s">
        <v>65</v>
      </c>
      <c r="G10" s="92"/>
      <c r="H10" s="92"/>
      <c r="I10" s="92"/>
      <c r="J10" s="92"/>
      <c r="K10" s="92"/>
    </row>
    <row r="11" spans="1:11" ht="27.75" customHeight="1" x14ac:dyDescent="0.2">
      <c r="A11" s="8" t="s">
        <v>66</v>
      </c>
      <c r="B11" s="59">
        <f>B15+B16+B17</f>
        <v>36461.511826086964</v>
      </c>
      <c r="C11" s="66" t="str">
        <f>IF(Travel!B6="",A34,Travel!B6)</f>
        <v>Figures exclude GST</v>
      </c>
      <c r="D11" s="6"/>
      <c r="E11" s="8" t="s">
        <v>67</v>
      </c>
      <c r="F11" s="33">
        <f>'Gifts and benefits'!C53</f>
        <v>40</v>
      </c>
      <c r="G11" s="29"/>
      <c r="H11" s="29"/>
      <c r="I11" s="29"/>
      <c r="J11" s="29"/>
      <c r="K11" s="29"/>
    </row>
    <row r="12" spans="1:11" ht="27.75" customHeight="1" x14ac:dyDescent="0.2">
      <c r="A12" s="8" t="s">
        <v>24</v>
      </c>
      <c r="B12" s="59">
        <f>Hospitality!B31</f>
        <v>1686.55</v>
      </c>
      <c r="C12" s="66" t="str">
        <f>IF(Hospitality!B6="",A34,Hospitality!B6)</f>
        <v>Figures exclude GST</v>
      </c>
      <c r="D12" s="6"/>
      <c r="E12" s="8" t="s">
        <v>68</v>
      </c>
      <c r="F12" s="33">
        <f>'Gifts and benefits'!C54</f>
        <v>11</v>
      </c>
      <c r="G12" s="29"/>
      <c r="H12" s="29"/>
      <c r="I12" s="29"/>
      <c r="J12" s="29"/>
      <c r="K12" s="29"/>
    </row>
    <row r="13" spans="1:11" ht="27.75" customHeight="1" x14ac:dyDescent="0.2">
      <c r="A13" s="8" t="s">
        <v>69</v>
      </c>
      <c r="B13" s="59">
        <f>'All other expenses'!B32</f>
        <v>10722.779999999999</v>
      </c>
      <c r="C13" s="66" t="str">
        <f>IF('All other expenses'!B6="",A34,'All other expenses'!B6)</f>
        <v>Figures exclude GST</v>
      </c>
      <c r="D13" s="6"/>
      <c r="E13" s="8" t="s">
        <v>70</v>
      </c>
      <c r="F13" s="33">
        <f>'Gifts and benefits'!C55</f>
        <v>29</v>
      </c>
      <c r="G13" s="17"/>
      <c r="H13" s="17"/>
      <c r="I13" s="17"/>
      <c r="J13" s="17"/>
      <c r="K13" s="17"/>
    </row>
    <row r="14" spans="1:11" ht="12.75" customHeight="1" x14ac:dyDescent="0.2">
      <c r="A14" s="7"/>
      <c r="B14" s="60"/>
      <c r="C14" s="67"/>
      <c r="D14" s="34"/>
      <c r="E14" s="6"/>
      <c r="F14" s="35"/>
      <c r="G14" s="17"/>
      <c r="H14" s="17"/>
      <c r="I14" s="17"/>
      <c r="J14" s="17"/>
      <c r="K14" s="17"/>
    </row>
    <row r="15" spans="1:11" ht="27.75" customHeight="1" x14ac:dyDescent="0.2">
      <c r="A15" s="9" t="s">
        <v>71</v>
      </c>
      <c r="B15" s="61">
        <f>Travel!B30</f>
        <v>15881</v>
      </c>
      <c r="C15" s="68" t="str">
        <f>C11</f>
        <v>Figures exclude GST</v>
      </c>
      <c r="D15" s="6"/>
      <c r="E15" s="6"/>
      <c r="F15" s="35"/>
      <c r="G15" s="17"/>
      <c r="H15" s="17"/>
      <c r="I15" s="17"/>
      <c r="J15" s="17"/>
      <c r="K15" s="17"/>
    </row>
    <row r="16" spans="1:11" ht="27.75" customHeight="1" x14ac:dyDescent="0.2">
      <c r="A16" s="9" t="s">
        <v>72</v>
      </c>
      <c r="B16" s="61">
        <f>Travel!B175</f>
        <v>20517.201826086963</v>
      </c>
      <c r="C16" s="68" t="str">
        <f>C11</f>
        <v>Figures exclude GST</v>
      </c>
      <c r="D16" s="36"/>
      <c r="E16" s="6"/>
      <c r="F16" s="37"/>
      <c r="G16" s="17"/>
      <c r="H16" s="17"/>
      <c r="I16" s="17"/>
      <c r="J16" s="17"/>
      <c r="K16" s="17"/>
    </row>
    <row r="17" spans="1:11" ht="27.75" customHeight="1" x14ac:dyDescent="0.2">
      <c r="A17" s="9" t="s">
        <v>73</v>
      </c>
      <c r="B17" s="61">
        <f>Travel!B185</f>
        <v>63.31</v>
      </c>
      <c r="C17" s="68" t="str">
        <f>C11</f>
        <v>Figures exclude GST</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74</v>
      </c>
      <c r="B19" s="19"/>
      <c r="C19" s="17"/>
      <c r="D19" s="17"/>
      <c r="E19" s="17"/>
      <c r="F19" s="17"/>
      <c r="G19" s="17"/>
      <c r="H19" s="17"/>
      <c r="I19" s="17"/>
      <c r="J19" s="17"/>
      <c r="K19" s="17"/>
    </row>
    <row r="20" spans="1:11" x14ac:dyDescent="0.2">
      <c r="A20" s="20" t="s">
        <v>75</v>
      </c>
      <c r="D20" s="17"/>
      <c r="E20" s="17"/>
      <c r="F20" s="17"/>
      <c r="G20" s="17"/>
      <c r="H20" s="17"/>
      <c r="I20" s="17"/>
      <c r="J20" s="17"/>
      <c r="K20" s="17"/>
    </row>
    <row r="21" spans="1:11" ht="12.6" customHeight="1" x14ac:dyDescent="0.2">
      <c r="A21" s="20" t="s">
        <v>76</v>
      </c>
      <c r="D21" s="17"/>
      <c r="E21" s="17"/>
      <c r="F21" s="17"/>
      <c r="G21" s="17"/>
      <c r="H21" s="17"/>
      <c r="I21" s="17"/>
      <c r="J21" s="17"/>
      <c r="K21" s="17"/>
    </row>
    <row r="22" spans="1:11" ht="12.6" customHeight="1" x14ac:dyDescent="0.2">
      <c r="A22" s="20" t="s">
        <v>77</v>
      </c>
      <c r="D22" s="17"/>
      <c r="E22" s="17"/>
      <c r="F22" s="17"/>
      <c r="G22" s="17"/>
      <c r="H22" s="17"/>
      <c r="I22" s="17"/>
      <c r="J22" s="17"/>
      <c r="K22" s="17"/>
    </row>
    <row r="23" spans="1:11" ht="12.6" customHeight="1" x14ac:dyDescent="0.2">
      <c r="A23" s="20" t="s">
        <v>78</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79</v>
      </c>
      <c r="B25" s="13"/>
      <c r="C25" s="13"/>
      <c r="D25" s="13"/>
      <c r="E25" s="13"/>
      <c r="F25" s="13"/>
      <c r="G25" s="17"/>
      <c r="H25" s="17"/>
      <c r="I25" s="17"/>
      <c r="J25" s="17"/>
      <c r="K25" s="17"/>
    </row>
    <row r="26" spans="1:11" ht="12.75" hidden="1" customHeight="1" x14ac:dyDescent="0.2">
      <c r="A26" s="11" t="s">
        <v>80</v>
      </c>
      <c r="B26" s="4"/>
      <c r="C26" s="4"/>
      <c r="D26" s="11"/>
      <c r="E26" s="11"/>
      <c r="F26" s="11"/>
      <c r="G26" s="17"/>
      <c r="H26" s="17"/>
      <c r="I26" s="17"/>
      <c r="J26" s="17"/>
      <c r="K26" s="17"/>
    </row>
    <row r="27" spans="1:11" hidden="1" x14ac:dyDescent="0.2">
      <c r="A27" s="10" t="s">
        <v>81</v>
      </c>
      <c r="B27" s="10"/>
      <c r="C27" s="10"/>
      <c r="D27" s="10"/>
      <c r="E27" s="10"/>
      <c r="F27" s="10"/>
      <c r="G27" s="17"/>
      <c r="H27" s="17"/>
      <c r="I27" s="17"/>
      <c r="J27" s="17"/>
      <c r="K27" s="17"/>
    </row>
    <row r="28" spans="1:11" hidden="1" x14ac:dyDescent="0.2">
      <c r="A28" s="10" t="s">
        <v>82</v>
      </c>
      <c r="B28" s="10"/>
      <c r="C28" s="10"/>
      <c r="D28" s="10"/>
      <c r="E28" s="10"/>
      <c r="F28" s="10"/>
      <c r="G28" s="17"/>
      <c r="H28" s="17"/>
      <c r="I28" s="17"/>
      <c r="J28" s="17"/>
      <c r="K28" s="17"/>
    </row>
    <row r="29" spans="1:11" hidden="1" x14ac:dyDescent="0.2">
      <c r="A29" s="11" t="s">
        <v>83</v>
      </c>
      <c r="B29" s="11"/>
      <c r="C29" s="11"/>
      <c r="D29" s="11"/>
      <c r="E29" s="11"/>
      <c r="F29" s="11"/>
      <c r="G29" s="17"/>
      <c r="H29" s="17"/>
      <c r="I29" s="17"/>
      <c r="J29" s="17"/>
      <c r="K29" s="17"/>
    </row>
    <row r="30" spans="1:11" hidden="1" x14ac:dyDescent="0.2">
      <c r="A30" s="11" t="s">
        <v>84</v>
      </c>
      <c r="B30" s="11"/>
      <c r="C30" s="11"/>
      <c r="D30" s="11"/>
      <c r="E30" s="11"/>
      <c r="F30" s="11"/>
      <c r="G30" s="17"/>
      <c r="H30" s="17"/>
      <c r="I30" s="17"/>
      <c r="J30" s="17"/>
      <c r="K30" s="17"/>
    </row>
    <row r="31" spans="1:11" hidden="1" x14ac:dyDescent="0.2">
      <c r="A31" s="10" t="s">
        <v>85</v>
      </c>
      <c r="B31" s="10"/>
      <c r="C31" s="10"/>
      <c r="D31" s="10"/>
      <c r="E31" s="10"/>
      <c r="F31" s="10"/>
      <c r="G31" s="17"/>
      <c r="H31" s="17"/>
      <c r="I31" s="17"/>
      <c r="J31" s="17"/>
      <c r="K31" s="17"/>
    </row>
    <row r="32" spans="1:11" hidden="1" x14ac:dyDescent="0.2">
      <c r="A32" s="10" t="s">
        <v>86</v>
      </c>
      <c r="B32" s="10"/>
      <c r="C32" s="10"/>
      <c r="D32" s="10"/>
      <c r="E32" s="10"/>
      <c r="F32" s="10"/>
      <c r="G32" s="17"/>
      <c r="H32" s="17"/>
      <c r="I32" s="17"/>
      <c r="J32" s="17"/>
      <c r="K32" s="17"/>
    </row>
    <row r="33" spans="1:11" hidden="1" x14ac:dyDescent="0.2">
      <c r="A33" s="10" t="s">
        <v>87</v>
      </c>
      <c r="B33" s="10"/>
      <c r="C33" s="10"/>
      <c r="D33" s="10"/>
      <c r="E33" s="10"/>
      <c r="F33" s="10"/>
      <c r="G33" s="17"/>
      <c r="H33" s="17"/>
      <c r="I33" s="17"/>
      <c r="J33" s="17"/>
      <c r="K33" s="17"/>
    </row>
    <row r="34" spans="1:11" hidden="1" x14ac:dyDescent="0.2">
      <c r="A34" s="11" t="s">
        <v>88</v>
      </c>
      <c r="B34" s="11"/>
      <c r="C34" s="11"/>
      <c r="D34" s="11"/>
      <c r="E34" s="11"/>
      <c r="F34" s="11"/>
      <c r="G34" s="17"/>
      <c r="H34" s="17"/>
      <c r="I34" s="17"/>
      <c r="J34" s="17"/>
      <c r="K34" s="17"/>
    </row>
    <row r="35" spans="1:11" hidden="1" x14ac:dyDescent="0.2">
      <c r="A35" s="11" t="s">
        <v>89</v>
      </c>
      <c r="B35" s="11"/>
      <c r="C35" s="11"/>
      <c r="D35" s="11"/>
      <c r="E35" s="11"/>
      <c r="F35" s="11"/>
      <c r="G35" s="17"/>
      <c r="H35" s="17"/>
      <c r="I35" s="17"/>
      <c r="J35" s="17"/>
      <c r="K35" s="17"/>
    </row>
    <row r="36" spans="1:11" hidden="1" x14ac:dyDescent="0.2">
      <c r="A36" s="10" t="s">
        <v>58</v>
      </c>
      <c r="B36" s="63"/>
      <c r="C36" s="63"/>
      <c r="D36" s="63"/>
      <c r="E36" s="63"/>
      <c r="F36" s="63"/>
      <c r="G36" s="17"/>
      <c r="H36" s="17"/>
      <c r="I36" s="17"/>
      <c r="J36" s="17"/>
      <c r="K36" s="17"/>
    </row>
    <row r="37" spans="1:11" hidden="1" x14ac:dyDescent="0.2">
      <c r="A37" s="10" t="s">
        <v>90</v>
      </c>
      <c r="B37" s="63"/>
      <c r="C37" s="63"/>
      <c r="D37" s="63"/>
      <c r="E37" s="63"/>
      <c r="F37" s="63"/>
      <c r="G37" s="17"/>
      <c r="H37" s="17"/>
      <c r="I37" s="17"/>
      <c r="J37" s="17"/>
      <c r="K37" s="17"/>
    </row>
    <row r="38" spans="1:11" hidden="1" x14ac:dyDescent="0.2">
      <c r="A38" s="10" t="s">
        <v>60</v>
      </c>
      <c r="B38" s="63"/>
      <c r="C38" s="63"/>
      <c r="D38" s="63"/>
      <c r="E38" s="63"/>
      <c r="F38" s="63"/>
      <c r="G38" s="17"/>
      <c r="H38" s="17"/>
      <c r="I38" s="17"/>
      <c r="J38" s="17"/>
      <c r="K38" s="17"/>
    </row>
    <row r="39" spans="1:11" hidden="1" x14ac:dyDescent="0.2">
      <c r="A39" s="11" t="s">
        <v>91</v>
      </c>
      <c r="B39" s="4"/>
      <c r="C39" s="4"/>
      <c r="D39" s="4"/>
      <c r="E39" s="4"/>
      <c r="F39" s="4"/>
      <c r="G39" s="17"/>
      <c r="H39" s="17"/>
      <c r="I39" s="17"/>
      <c r="J39" s="17"/>
      <c r="K39" s="17"/>
    </row>
    <row r="40" spans="1:11" hidden="1" x14ac:dyDescent="0.2">
      <c r="A40" s="4" t="s">
        <v>92</v>
      </c>
      <c r="B40" s="4"/>
      <c r="C40" s="4"/>
      <c r="D40" s="4"/>
      <c r="E40" s="4"/>
      <c r="F40" s="4"/>
      <c r="G40" s="17"/>
      <c r="H40" s="17"/>
      <c r="I40" s="17"/>
      <c r="J40" s="17"/>
      <c r="K40" s="17"/>
    </row>
    <row r="41" spans="1:11" hidden="1" x14ac:dyDescent="0.2">
      <c r="A41" s="4" t="s">
        <v>93</v>
      </c>
      <c r="B41" s="4"/>
      <c r="C41" s="4"/>
      <c r="D41" s="4"/>
      <c r="E41" s="4"/>
      <c r="F41" s="4"/>
      <c r="G41" s="17"/>
      <c r="H41" s="17"/>
      <c r="I41" s="17"/>
      <c r="J41" s="17"/>
      <c r="K41" s="17"/>
    </row>
    <row r="42" spans="1:11" hidden="1" x14ac:dyDescent="0.2">
      <c r="A42" s="4" t="s">
        <v>94</v>
      </c>
      <c r="B42" s="4"/>
      <c r="C42" s="4"/>
      <c r="D42" s="4"/>
      <c r="E42" s="4"/>
      <c r="F42" s="4"/>
      <c r="G42" s="17"/>
      <c r="H42" s="17"/>
      <c r="I42" s="17"/>
      <c r="J42" s="17"/>
      <c r="K42" s="17"/>
    </row>
    <row r="43" spans="1:11" hidden="1" x14ac:dyDescent="0.2">
      <c r="A43" s="4" t="s">
        <v>95</v>
      </c>
      <c r="B43" s="4"/>
      <c r="C43" s="4"/>
      <c r="D43" s="4"/>
      <c r="E43" s="4"/>
      <c r="F43" s="4"/>
      <c r="G43" s="17"/>
      <c r="H43" s="17"/>
      <c r="I43" s="17"/>
      <c r="J43" s="17"/>
      <c r="K43" s="17"/>
    </row>
    <row r="44" spans="1:11" hidden="1" x14ac:dyDescent="0.2">
      <c r="A44" s="4" t="s">
        <v>96</v>
      </c>
      <c r="B44" s="4"/>
      <c r="C44" s="4"/>
      <c r="D44" s="4"/>
      <c r="E44" s="4"/>
      <c r="F44" s="4"/>
      <c r="G44" s="17"/>
      <c r="H44" s="17"/>
      <c r="I44" s="17"/>
      <c r="J44" s="17"/>
      <c r="K44" s="17"/>
    </row>
    <row r="45" spans="1:11" hidden="1" x14ac:dyDescent="0.2">
      <c r="A45" s="64" t="s">
        <v>97</v>
      </c>
      <c r="B45" s="63"/>
      <c r="C45" s="63"/>
      <c r="D45" s="63"/>
      <c r="E45" s="63"/>
      <c r="F45" s="63"/>
      <c r="G45" s="17"/>
      <c r="H45" s="17"/>
      <c r="I45" s="17"/>
      <c r="J45" s="17"/>
      <c r="K45" s="17"/>
    </row>
    <row r="46" spans="1:11" hidden="1" x14ac:dyDescent="0.2">
      <c r="A46" s="63" t="s">
        <v>98</v>
      </c>
      <c r="B46" s="63"/>
      <c r="C46" s="63"/>
      <c r="D46" s="63"/>
      <c r="E46" s="63"/>
      <c r="F46" s="63"/>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1" t="s">
        <v>99</v>
      </c>
      <c r="B48" s="63"/>
      <c r="C48" s="63"/>
      <c r="D48" s="63"/>
      <c r="E48" s="63"/>
      <c r="F48" s="63"/>
      <c r="G48" s="17"/>
      <c r="H48" s="17"/>
      <c r="I48" s="17"/>
      <c r="J48" s="17"/>
      <c r="K48" s="17"/>
    </row>
    <row r="49" spans="1:11" ht="25.5" hidden="1" x14ac:dyDescent="0.2">
      <c r="A49" s="81" t="s">
        <v>100</v>
      </c>
      <c r="B49" s="63"/>
      <c r="C49" s="63"/>
      <c r="D49" s="63"/>
      <c r="E49" s="63"/>
      <c r="F49" s="63"/>
      <c r="G49" s="17"/>
      <c r="H49" s="17"/>
      <c r="I49" s="17"/>
      <c r="J49" s="17"/>
      <c r="K49" s="17"/>
    </row>
    <row r="50" spans="1:11" ht="25.5" hidden="1" x14ac:dyDescent="0.2">
      <c r="A50" s="82" t="s">
        <v>101</v>
      </c>
      <c r="B50" s="4"/>
      <c r="C50" s="4"/>
      <c r="D50" s="4"/>
      <c r="E50" s="4"/>
      <c r="F50" s="4"/>
      <c r="G50" s="17"/>
      <c r="H50" s="17"/>
      <c r="I50" s="17"/>
      <c r="J50" s="17"/>
      <c r="K50" s="17"/>
    </row>
    <row r="51" spans="1:11" ht="25.5" hidden="1" x14ac:dyDescent="0.2">
      <c r="A51" s="82" t="s">
        <v>102</v>
      </c>
      <c r="B51" s="4"/>
      <c r="C51" s="4"/>
      <c r="D51" s="4"/>
      <c r="E51" s="4"/>
      <c r="F51" s="4"/>
      <c r="G51" s="17"/>
      <c r="H51" s="17"/>
      <c r="I51" s="17"/>
      <c r="J51" s="17"/>
      <c r="K51" s="17"/>
    </row>
    <row r="52" spans="1:11" ht="38.25" hidden="1" x14ac:dyDescent="0.2">
      <c r="A52" s="82" t="s">
        <v>103</v>
      </c>
      <c r="B52" s="74"/>
      <c r="C52" s="74"/>
      <c r="D52" s="74"/>
      <c r="E52" s="11"/>
      <c r="F52" s="11"/>
      <c r="G52" s="17"/>
      <c r="H52" s="17"/>
      <c r="I52" s="17"/>
      <c r="J52" s="17"/>
      <c r="K52" s="17"/>
    </row>
    <row r="53" spans="1:11" hidden="1" x14ac:dyDescent="0.2">
      <c r="A53" s="79" t="s">
        <v>104</v>
      </c>
      <c r="B53" s="73"/>
      <c r="C53" s="73"/>
      <c r="D53" s="73"/>
      <c r="E53" s="10"/>
      <c r="F53" s="10" t="b">
        <v>1</v>
      </c>
      <c r="G53" s="17"/>
      <c r="H53" s="17"/>
      <c r="I53" s="17"/>
      <c r="J53" s="17"/>
      <c r="K53" s="17"/>
    </row>
    <row r="54" spans="1:11" hidden="1" x14ac:dyDescent="0.2">
      <c r="A54" s="80" t="s">
        <v>105</v>
      </c>
      <c r="B54" s="79"/>
      <c r="C54" s="79"/>
      <c r="D54" s="79"/>
      <c r="E54" s="10"/>
      <c r="F54" s="10" t="b">
        <v>0</v>
      </c>
      <c r="G54" s="17"/>
      <c r="H54" s="17"/>
      <c r="I54" s="17"/>
      <c r="J54" s="17"/>
      <c r="K54" s="17"/>
    </row>
    <row r="55" spans="1:11" hidden="1" x14ac:dyDescent="0.2">
      <c r="A55" s="83"/>
      <c r="B55" s="75">
        <f>COUNT(Travel!B12:B29)</f>
        <v>17</v>
      </c>
      <c r="C55" s="75"/>
      <c r="D55" s="75">
        <f>COUNTIF(Travel!D12:D29,"*")</f>
        <v>17</v>
      </c>
      <c r="E55" s="76"/>
      <c r="F55" s="76" t="b">
        <f>MIN(B55,D55)=MAX(B55,D55)</f>
        <v>1</v>
      </c>
      <c r="G55" s="17"/>
      <c r="H55" s="17"/>
      <c r="I55" s="17"/>
      <c r="J55" s="17"/>
      <c r="K55" s="17"/>
    </row>
    <row r="56" spans="1:11" hidden="1" x14ac:dyDescent="0.2">
      <c r="A56" s="83" t="s">
        <v>106</v>
      </c>
      <c r="B56" s="75">
        <f>COUNT(Travel!B34:B174)</f>
        <v>140</v>
      </c>
      <c r="C56" s="75"/>
      <c r="D56" s="75">
        <f>COUNTIF(Travel!D34:D174,"*")</f>
        <v>140</v>
      </c>
      <c r="E56" s="76"/>
      <c r="F56" s="76" t="b">
        <f>MIN(B56,D56)=MAX(B56,D56)</f>
        <v>1</v>
      </c>
    </row>
    <row r="57" spans="1:11" hidden="1" x14ac:dyDescent="0.2">
      <c r="A57" s="84"/>
      <c r="B57" s="75">
        <f>COUNT(Travel!B179:B184)</f>
        <v>5</v>
      </c>
      <c r="C57" s="75"/>
      <c r="D57" s="75">
        <f>COUNTIF(Travel!D179:D184,"*")</f>
        <v>5</v>
      </c>
      <c r="E57" s="76"/>
      <c r="F57" s="76" t="b">
        <f>MIN(B57,D57)=MAX(B57,D57)</f>
        <v>1</v>
      </c>
    </row>
    <row r="58" spans="1:11" hidden="1" x14ac:dyDescent="0.2">
      <c r="A58" s="85" t="s">
        <v>107</v>
      </c>
      <c r="B58" s="77">
        <f>COUNT(Hospitality!B11:B30)</f>
        <v>19</v>
      </c>
      <c r="C58" s="77"/>
      <c r="D58" s="77">
        <f>COUNTIF(Hospitality!D11:D30,"*")</f>
        <v>19</v>
      </c>
      <c r="E58" s="78"/>
      <c r="F58" s="78" t="b">
        <f>MIN(B58,D58)=MAX(B58,D58)</f>
        <v>1</v>
      </c>
    </row>
    <row r="59" spans="1:11" hidden="1" x14ac:dyDescent="0.2">
      <c r="A59" s="86" t="s">
        <v>108</v>
      </c>
      <c r="B59" s="76">
        <f>COUNT('All other expenses'!B11:B31)</f>
        <v>19</v>
      </c>
      <c r="C59" s="76"/>
      <c r="D59" s="76">
        <f>COUNTIF('All other expenses'!D11:D31,"*")</f>
        <v>19</v>
      </c>
      <c r="E59" s="76"/>
      <c r="F59" s="76" t="b">
        <f>MIN(B59,D59)=MAX(B59,D59)</f>
        <v>1</v>
      </c>
    </row>
    <row r="60" spans="1:11" hidden="1" x14ac:dyDescent="0.2">
      <c r="A60" s="85" t="s">
        <v>109</v>
      </c>
      <c r="B60" s="77">
        <f>COUNTIF('Gifts and benefits'!B11:B52,"*")</f>
        <v>41</v>
      </c>
      <c r="C60" s="77">
        <f>COUNTIF('Gifts and benefits'!C11:C52,"*")</f>
        <v>41</v>
      </c>
      <c r="D60" s="77"/>
      <c r="E60" s="77">
        <f>COUNTA('Gifts and benefits'!E11:E52)</f>
        <v>41</v>
      </c>
      <c r="F60" s="78" t="b">
        <f>MIN(B60,C60,E60)=MAX(B60,C60,E60)</f>
        <v>1</v>
      </c>
    </row>
    <row r="61" spans="1:11" x14ac:dyDescent="0.2"/>
    <row r="65" customFormat="1" hidden="1" x14ac:dyDescent="0.2"/>
    <row r="66" customFormat="1" hidden="1" x14ac:dyDescent="0.2"/>
    <row r="67" customFormat="1" hidden="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214"/>
  <sheetViews>
    <sheetView topLeftCell="A39" zoomScaleNormal="100" workbookViewId="0">
      <selection activeCell="C14" sqref="C14"/>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52" t="s">
        <v>110</v>
      </c>
      <c r="B1" s="152"/>
      <c r="C1" s="152"/>
      <c r="D1" s="152"/>
      <c r="E1" s="152"/>
      <c r="F1" s="17"/>
    </row>
    <row r="2" spans="1:6" ht="21" customHeight="1" x14ac:dyDescent="0.2">
      <c r="A2" s="3" t="s">
        <v>111</v>
      </c>
      <c r="B2" s="150" t="str">
        <f>'Summary and sign-off'!B2:F2</f>
        <v>NZ Transport Agency Waka Kotahi</v>
      </c>
      <c r="C2" s="150"/>
      <c r="D2" s="150"/>
      <c r="E2" s="150"/>
      <c r="F2" s="17"/>
    </row>
    <row r="3" spans="1:6" ht="31.5" x14ac:dyDescent="0.2">
      <c r="A3" s="3" t="s">
        <v>112</v>
      </c>
      <c r="B3" s="150" t="str">
        <f>'Summary and sign-off'!B3:F3</f>
        <v>Nicole Rosie</v>
      </c>
      <c r="C3" s="150"/>
      <c r="D3" s="150"/>
      <c r="E3" s="150"/>
      <c r="F3" s="17"/>
    </row>
    <row r="4" spans="1:6" ht="21" customHeight="1" x14ac:dyDescent="0.2">
      <c r="A4" s="3" t="s">
        <v>113</v>
      </c>
      <c r="B4" s="150">
        <f>'Summary and sign-off'!B4:F4</f>
        <v>45108</v>
      </c>
      <c r="C4" s="150"/>
      <c r="D4" s="150"/>
      <c r="E4" s="150"/>
      <c r="F4" s="17"/>
    </row>
    <row r="5" spans="1:6" ht="21" customHeight="1" x14ac:dyDescent="0.2">
      <c r="A5" s="3" t="s">
        <v>114</v>
      </c>
      <c r="B5" s="150">
        <f>'Summary and sign-off'!B5:F5</f>
        <v>45473</v>
      </c>
      <c r="C5" s="150"/>
      <c r="D5" s="150"/>
      <c r="E5" s="150"/>
      <c r="F5" s="17"/>
    </row>
    <row r="6" spans="1:6" ht="21" customHeight="1" x14ac:dyDescent="0.2">
      <c r="A6" s="3" t="s">
        <v>115</v>
      </c>
      <c r="B6" s="144" t="s">
        <v>82</v>
      </c>
      <c r="C6" s="144"/>
      <c r="D6" s="144"/>
      <c r="E6" s="144"/>
      <c r="F6" s="17"/>
    </row>
    <row r="7" spans="1:6" ht="21" customHeight="1" x14ac:dyDescent="0.2">
      <c r="A7" s="3" t="s">
        <v>56</v>
      </c>
      <c r="B7" s="144" t="s">
        <v>84</v>
      </c>
      <c r="C7" s="144"/>
      <c r="D7" s="144"/>
      <c r="E7" s="144"/>
      <c r="F7" s="17"/>
    </row>
    <row r="8" spans="1:6" ht="36" customHeight="1" x14ac:dyDescent="0.2">
      <c r="A8" s="154" t="s">
        <v>116</v>
      </c>
      <c r="B8" s="155"/>
      <c r="C8" s="155"/>
      <c r="D8" s="155"/>
      <c r="E8" s="155"/>
      <c r="F8" s="19"/>
    </row>
    <row r="9" spans="1:6" ht="36" customHeight="1" x14ac:dyDescent="0.2">
      <c r="A9" s="156" t="s">
        <v>117</v>
      </c>
      <c r="B9" s="157"/>
      <c r="C9" s="157"/>
      <c r="D9" s="157"/>
      <c r="E9" s="157"/>
      <c r="F9" s="19"/>
    </row>
    <row r="10" spans="1:6" ht="24.75" customHeight="1" x14ac:dyDescent="0.2">
      <c r="A10" s="153" t="s">
        <v>118</v>
      </c>
      <c r="B10" s="158"/>
      <c r="C10" s="153"/>
      <c r="D10" s="153"/>
      <c r="E10" s="153"/>
      <c r="F10" s="29"/>
    </row>
    <row r="11" spans="1:6" ht="28.5" customHeight="1" x14ac:dyDescent="0.2">
      <c r="A11" s="24" t="s">
        <v>119</v>
      </c>
      <c r="B11" s="24" t="s">
        <v>120</v>
      </c>
      <c r="C11" s="24" t="s">
        <v>121</v>
      </c>
      <c r="D11" s="24" t="s">
        <v>122</v>
      </c>
      <c r="E11" s="24" t="s">
        <v>123</v>
      </c>
      <c r="F11" s="30"/>
    </row>
    <row r="12" spans="1:6" s="139" customFormat="1" x14ac:dyDescent="0.2">
      <c r="A12" s="135">
        <v>45191</v>
      </c>
      <c r="B12" s="136">
        <v>36.44</v>
      </c>
      <c r="C12" s="137" t="s">
        <v>173</v>
      </c>
      <c r="D12" s="138" t="s">
        <v>174</v>
      </c>
      <c r="E12" s="138" t="s">
        <v>175</v>
      </c>
    </row>
    <row r="13" spans="1:6" s="139" customFormat="1" ht="36" x14ac:dyDescent="0.2">
      <c r="A13" s="135">
        <v>45203</v>
      </c>
      <c r="B13" s="136">
        <f>1397.21+2645.1+528.6+50+3583.81+144</f>
        <v>8348.7199999999993</v>
      </c>
      <c r="C13" s="137" t="s">
        <v>356</v>
      </c>
      <c r="D13" s="138" t="s">
        <v>176</v>
      </c>
      <c r="E13" s="138" t="s">
        <v>177</v>
      </c>
    </row>
    <row r="14" spans="1:6" s="139" customFormat="1" ht="36" x14ac:dyDescent="0.2">
      <c r="A14" s="135">
        <v>45473</v>
      </c>
      <c r="B14" s="136">
        <v>-4230</v>
      </c>
      <c r="C14" s="140" t="s">
        <v>355</v>
      </c>
      <c r="D14" s="138" t="s">
        <v>176</v>
      </c>
      <c r="E14" s="138" t="s">
        <v>178</v>
      </c>
    </row>
    <row r="15" spans="1:6" s="139" customFormat="1" ht="36" x14ac:dyDescent="0.2">
      <c r="A15" s="135">
        <v>45203</v>
      </c>
      <c r="B15" s="136">
        <v>3775.93</v>
      </c>
      <c r="C15" s="137" t="s">
        <v>354</v>
      </c>
      <c r="D15" s="138" t="s">
        <v>179</v>
      </c>
      <c r="E15" s="138" t="s">
        <v>177</v>
      </c>
    </row>
    <row r="16" spans="1:6" s="139" customFormat="1" ht="36" x14ac:dyDescent="0.2">
      <c r="A16" s="135">
        <v>45204</v>
      </c>
      <c r="B16" s="136">
        <v>44.83</v>
      </c>
      <c r="C16" s="137" t="s">
        <v>353</v>
      </c>
      <c r="D16" s="138" t="s">
        <v>180</v>
      </c>
      <c r="E16" s="138" t="s">
        <v>177</v>
      </c>
    </row>
    <row r="17" spans="1:6" s="139" customFormat="1" ht="36" x14ac:dyDescent="0.2">
      <c r="A17" s="135">
        <v>45205</v>
      </c>
      <c r="B17" s="136">
        <v>27.06</v>
      </c>
      <c r="C17" s="137" t="s">
        <v>352</v>
      </c>
      <c r="D17" s="138" t="s">
        <v>181</v>
      </c>
      <c r="E17" s="138" t="s">
        <v>177</v>
      </c>
    </row>
    <row r="18" spans="1:6" s="139" customFormat="1" ht="36" x14ac:dyDescent="0.2">
      <c r="A18" s="135">
        <v>45208</v>
      </c>
      <c r="B18" s="136">
        <v>7.88</v>
      </c>
      <c r="C18" s="137" t="s">
        <v>357</v>
      </c>
      <c r="D18" s="138" t="s">
        <v>180</v>
      </c>
      <c r="E18" s="138" t="s">
        <v>177</v>
      </c>
    </row>
    <row r="19" spans="1:6" s="139" customFormat="1" ht="36" x14ac:dyDescent="0.2">
      <c r="A19" s="135">
        <v>45208</v>
      </c>
      <c r="B19" s="136">
        <v>63.54</v>
      </c>
      <c r="C19" s="137" t="s">
        <v>358</v>
      </c>
      <c r="D19" s="138" t="s">
        <v>182</v>
      </c>
      <c r="E19" s="138" t="s">
        <v>177</v>
      </c>
    </row>
    <row r="20" spans="1:6" s="139" customFormat="1" ht="36" x14ac:dyDescent="0.2">
      <c r="A20" s="135">
        <v>45209</v>
      </c>
      <c r="B20" s="136">
        <v>52.54</v>
      </c>
      <c r="C20" s="137" t="s">
        <v>359</v>
      </c>
      <c r="D20" s="138" t="s">
        <v>182</v>
      </c>
      <c r="E20" s="138" t="s">
        <v>177</v>
      </c>
    </row>
    <row r="21" spans="1:6" s="139" customFormat="1" ht="36" x14ac:dyDescent="0.2">
      <c r="A21" s="135">
        <v>45210</v>
      </c>
      <c r="B21" s="136">
        <v>1142.31</v>
      </c>
      <c r="C21" s="137" t="s">
        <v>360</v>
      </c>
      <c r="D21" s="138" t="s">
        <v>183</v>
      </c>
      <c r="E21" s="138" t="s">
        <v>184</v>
      </c>
    </row>
    <row r="22" spans="1:6" s="139" customFormat="1" ht="36" x14ac:dyDescent="0.2">
      <c r="A22" s="135">
        <v>45210</v>
      </c>
      <c r="B22" s="136">
        <v>14.68</v>
      </c>
      <c r="C22" s="137" t="s">
        <v>361</v>
      </c>
      <c r="D22" s="138" t="s">
        <v>180</v>
      </c>
      <c r="E22" s="138" t="s">
        <v>177</v>
      </c>
    </row>
    <row r="23" spans="1:6" s="139" customFormat="1" ht="36" x14ac:dyDescent="0.2">
      <c r="A23" s="135">
        <v>45210</v>
      </c>
      <c r="B23" s="136">
        <v>380.6</v>
      </c>
      <c r="C23" s="137" t="s">
        <v>362</v>
      </c>
      <c r="D23" s="138" t="s">
        <v>176</v>
      </c>
      <c r="E23" s="138" t="s">
        <v>184</v>
      </c>
    </row>
    <row r="24" spans="1:6" s="139" customFormat="1" ht="36" x14ac:dyDescent="0.2">
      <c r="A24" s="135">
        <v>45211</v>
      </c>
      <c r="B24" s="136">
        <v>10.5</v>
      </c>
      <c r="C24" s="137" t="s">
        <v>363</v>
      </c>
      <c r="D24" s="138" t="s">
        <v>185</v>
      </c>
      <c r="E24" s="138" t="s">
        <v>184</v>
      </c>
    </row>
    <row r="25" spans="1:6" s="139" customFormat="1" ht="36" x14ac:dyDescent="0.2">
      <c r="A25" s="135">
        <v>45212</v>
      </c>
      <c r="B25" s="136">
        <v>36.200000000000003</v>
      </c>
      <c r="C25" s="137" t="s">
        <v>364</v>
      </c>
      <c r="D25" s="138" t="s">
        <v>180</v>
      </c>
      <c r="E25" s="138" t="s">
        <v>184</v>
      </c>
    </row>
    <row r="26" spans="1:6" s="139" customFormat="1" ht="36" x14ac:dyDescent="0.2">
      <c r="A26" s="135">
        <v>45212</v>
      </c>
      <c r="B26" s="136">
        <v>106.55</v>
      </c>
      <c r="C26" s="137" t="s">
        <v>365</v>
      </c>
      <c r="D26" s="138" t="s">
        <v>181</v>
      </c>
      <c r="E26" s="138" t="s">
        <v>184</v>
      </c>
    </row>
    <row r="27" spans="1:6" s="139" customFormat="1" ht="36" x14ac:dyDescent="0.2">
      <c r="A27" s="135">
        <v>45213</v>
      </c>
      <c r="B27" s="136">
        <v>363.8</v>
      </c>
      <c r="C27" s="137" t="s">
        <v>366</v>
      </c>
      <c r="D27" s="138" t="s">
        <v>186</v>
      </c>
      <c r="E27" s="138" t="s">
        <v>177</v>
      </c>
    </row>
    <row r="28" spans="1:6" s="139" customFormat="1" ht="36" x14ac:dyDescent="0.2">
      <c r="A28" s="135">
        <v>45213</v>
      </c>
      <c r="B28" s="136">
        <v>5699.42</v>
      </c>
      <c r="C28" s="137" t="s">
        <v>367</v>
      </c>
      <c r="D28" s="138" t="s">
        <v>176</v>
      </c>
      <c r="E28" s="138" t="s">
        <v>187</v>
      </c>
    </row>
    <row r="29" spans="1:6" s="2" customFormat="1" hidden="1" x14ac:dyDescent="0.2">
      <c r="A29" s="104"/>
      <c r="B29" s="105"/>
      <c r="C29" s="106"/>
      <c r="D29" s="106"/>
      <c r="E29" s="107"/>
      <c r="F29" s="1"/>
    </row>
    <row r="30" spans="1:6" ht="19.5" customHeight="1" x14ac:dyDescent="0.2">
      <c r="A30" s="71" t="s">
        <v>124</v>
      </c>
      <c r="B30" s="72">
        <f>SUM(B12:B29)</f>
        <v>15881</v>
      </c>
      <c r="C30" s="117" t="str">
        <f>IF(SUBTOTAL(3,B12:B29)=SUBTOTAL(103,B12:B29),'Summary and sign-off'!$A$48,'Summary and sign-off'!$A$49)</f>
        <v>Check - there are no hidden rows with data</v>
      </c>
      <c r="D30" s="151" t="str">
        <f>IF('Summary and sign-off'!F55='Summary and sign-off'!F54,'Summary and sign-off'!A51,'Summary and sign-off'!A50)</f>
        <v>Check - each entry provides sufficient information</v>
      </c>
      <c r="E30" s="151"/>
      <c r="F30" s="17"/>
    </row>
    <row r="31" spans="1:6" ht="10.5" customHeight="1" x14ac:dyDescent="0.2">
      <c r="A31" s="17"/>
      <c r="B31" s="19"/>
      <c r="C31" s="17"/>
      <c r="D31" s="17"/>
      <c r="E31" s="17"/>
      <c r="F31" s="17"/>
    </row>
    <row r="32" spans="1:6" ht="24.75" customHeight="1" x14ac:dyDescent="0.2">
      <c r="A32" s="153" t="s">
        <v>125</v>
      </c>
      <c r="B32" s="153"/>
      <c r="C32" s="153"/>
      <c r="D32" s="153"/>
      <c r="E32" s="153"/>
      <c r="F32" s="29"/>
    </row>
    <row r="33" spans="1:6" ht="32.450000000000003" customHeight="1" x14ac:dyDescent="0.2">
      <c r="A33" s="24" t="s">
        <v>119</v>
      </c>
      <c r="B33" s="24" t="s">
        <v>63</v>
      </c>
      <c r="C33" s="24" t="s">
        <v>126</v>
      </c>
      <c r="D33" s="24" t="s">
        <v>122</v>
      </c>
      <c r="E33" s="24" t="s">
        <v>123</v>
      </c>
      <c r="F33" s="30"/>
    </row>
    <row r="34" spans="1:6" s="2" customFormat="1" x14ac:dyDescent="0.2">
      <c r="A34" s="121">
        <v>45126</v>
      </c>
      <c r="B34" s="122">
        <v>44.35</v>
      </c>
      <c r="C34" s="125" t="s">
        <v>188</v>
      </c>
      <c r="D34" s="124" t="s">
        <v>189</v>
      </c>
      <c r="E34" s="126" t="s">
        <v>190</v>
      </c>
      <c r="F34" s="1"/>
    </row>
    <row r="35" spans="1:6" s="2" customFormat="1" x14ac:dyDescent="0.2">
      <c r="A35" s="121">
        <v>45132</v>
      </c>
      <c r="B35" s="122">
        <f>493.21+167.04</f>
        <v>660.25</v>
      </c>
      <c r="C35" s="125" t="s">
        <v>191</v>
      </c>
      <c r="D35" s="124" t="s">
        <v>176</v>
      </c>
      <c r="E35" s="126" t="s">
        <v>192</v>
      </c>
      <c r="F35" s="1"/>
    </row>
    <row r="36" spans="1:6" s="2" customFormat="1" x14ac:dyDescent="0.2">
      <c r="A36" s="121">
        <v>45133</v>
      </c>
      <c r="B36" s="122">
        <f>397.57+5</f>
        <v>402.57</v>
      </c>
      <c r="C36" s="125" t="s">
        <v>191</v>
      </c>
      <c r="D36" s="124" t="s">
        <v>193</v>
      </c>
      <c r="E36" s="126" t="s">
        <v>192</v>
      </c>
      <c r="F36" s="1"/>
    </row>
    <row r="37" spans="1:6" s="2" customFormat="1" x14ac:dyDescent="0.2">
      <c r="A37" s="121">
        <v>45133</v>
      </c>
      <c r="B37" s="122">
        <v>56.19</v>
      </c>
      <c r="C37" s="125" t="s">
        <v>191</v>
      </c>
      <c r="D37" s="124" t="s">
        <v>181</v>
      </c>
      <c r="E37" s="126" t="s">
        <v>192</v>
      </c>
      <c r="F37" s="1"/>
    </row>
    <row r="38" spans="1:6" s="2" customFormat="1" x14ac:dyDescent="0.2">
      <c r="A38" s="121">
        <v>45134</v>
      </c>
      <c r="B38" s="122">
        <v>27.64</v>
      </c>
      <c r="C38" s="125" t="s">
        <v>191</v>
      </c>
      <c r="D38" s="124" t="s">
        <v>181</v>
      </c>
      <c r="E38" s="126" t="s">
        <v>192</v>
      </c>
      <c r="F38" s="1"/>
    </row>
    <row r="39" spans="1:6" s="2" customFormat="1" x14ac:dyDescent="0.2">
      <c r="A39" s="121">
        <v>45135</v>
      </c>
      <c r="B39" s="122">
        <v>4.3499999999999996</v>
      </c>
      <c r="C39" s="125" t="s">
        <v>191</v>
      </c>
      <c r="D39" s="124" t="s">
        <v>194</v>
      </c>
      <c r="E39" s="126" t="s">
        <v>190</v>
      </c>
      <c r="F39" s="1"/>
    </row>
    <row r="40" spans="1:6" s="2" customFormat="1" x14ac:dyDescent="0.2">
      <c r="A40" s="121">
        <v>45135</v>
      </c>
      <c r="B40" s="122">
        <v>21.57</v>
      </c>
      <c r="C40" s="125" t="s">
        <v>191</v>
      </c>
      <c r="D40" s="124" t="s">
        <v>195</v>
      </c>
      <c r="E40" s="126" t="s">
        <v>192</v>
      </c>
      <c r="F40" s="1"/>
    </row>
    <row r="41" spans="1:6" s="2" customFormat="1" x14ac:dyDescent="0.2">
      <c r="A41" s="121">
        <v>45145</v>
      </c>
      <c r="B41" s="122">
        <v>266</v>
      </c>
      <c r="C41" s="123" t="s">
        <v>196</v>
      </c>
      <c r="D41" s="124" t="s">
        <v>197</v>
      </c>
      <c r="E41" s="126" t="s">
        <v>198</v>
      </c>
      <c r="F41" s="1"/>
    </row>
    <row r="42" spans="1:6" s="2" customFormat="1" x14ac:dyDescent="0.2">
      <c r="A42" s="121">
        <v>45160</v>
      </c>
      <c r="B42" s="122">
        <v>169.35</v>
      </c>
      <c r="C42" s="125" t="s">
        <v>199</v>
      </c>
      <c r="D42" s="124" t="s">
        <v>200</v>
      </c>
      <c r="E42" s="126" t="s">
        <v>198</v>
      </c>
      <c r="F42" s="1"/>
    </row>
    <row r="43" spans="1:6" s="2" customFormat="1" x14ac:dyDescent="0.2">
      <c r="A43" s="121">
        <v>45160</v>
      </c>
      <c r="B43" s="122">
        <v>316.52</v>
      </c>
      <c r="C43" s="125" t="s">
        <v>199</v>
      </c>
      <c r="D43" s="124" t="s">
        <v>201</v>
      </c>
      <c r="E43" s="126" t="s">
        <v>198</v>
      </c>
      <c r="F43" s="1"/>
    </row>
    <row r="44" spans="1:6" s="2" customFormat="1" x14ac:dyDescent="0.2">
      <c r="A44" s="121">
        <v>45166</v>
      </c>
      <c r="B44" s="122">
        <v>178.04</v>
      </c>
      <c r="C44" s="125" t="s">
        <v>202</v>
      </c>
      <c r="D44" s="124" t="s">
        <v>203</v>
      </c>
      <c r="E44" s="126" t="s">
        <v>204</v>
      </c>
      <c r="F44" s="1"/>
    </row>
    <row r="45" spans="1:6" s="2" customFormat="1" x14ac:dyDescent="0.2">
      <c r="A45" s="121">
        <v>45166</v>
      </c>
      <c r="B45" s="122">
        <v>275.26</v>
      </c>
      <c r="C45" s="125" t="s">
        <v>202</v>
      </c>
      <c r="D45" s="124" t="s">
        <v>176</v>
      </c>
      <c r="E45" s="126" t="s">
        <v>204</v>
      </c>
      <c r="F45" s="1"/>
    </row>
    <row r="46" spans="1:6" s="2" customFormat="1" x14ac:dyDescent="0.2">
      <c r="A46" s="121">
        <v>45166</v>
      </c>
      <c r="B46" s="122">
        <v>20.87</v>
      </c>
      <c r="C46" s="125" t="s">
        <v>202</v>
      </c>
      <c r="D46" s="124" t="s">
        <v>195</v>
      </c>
      <c r="E46" s="126" t="s">
        <v>204</v>
      </c>
      <c r="F46" s="1"/>
    </row>
    <row r="47" spans="1:6" s="2" customFormat="1" x14ac:dyDescent="0.2">
      <c r="A47" s="121">
        <v>45166</v>
      </c>
      <c r="B47" s="122">
        <v>84.78</v>
      </c>
      <c r="C47" s="125" t="s">
        <v>202</v>
      </c>
      <c r="D47" s="124" t="s">
        <v>181</v>
      </c>
      <c r="E47" s="126" t="s">
        <v>204</v>
      </c>
      <c r="F47" s="1"/>
    </row>
    <row r="48" spans="1:6" s="2" customFormat="1" x14ac:dyDescent="0.2">
      <c r="A48" s="121">
        <v>45166</v>
      </c>
      <c r="B48" s="122">
        <v>36.770000000000003</v>
      </c>
      <c r="C48" s="125" t="s">
        <v>202</v>
      </c>
      <c r="D48" s="124" t="s">
        <v>181</v>
      </c>
      <c r="E48" s="126" t="s">
        <v>190</v>
      </c>
      <c r="F48" s="1"/>
    </row>
    <row r="49" spans="1:6" s="2" customFormat="1" x14ac:dyDescent="0.2">
      <c r="A49" s="121">
        <v>45167</v>
      </c>
      <c r="B49" s="122">
        <f>233.78+72.69</f>
        <v>306.47000000000003</v>
      </c>
      <c r="C49" s="125" t="s">
        <v>202</v>
      </c>
      <c r="D49" s="124" t="s">
        <v>176</v>
      </c>
      <c r="E49" s="126" t="s">
        <v>204</v>
      </c>
      <c r="F49" s="1"/>
    </row>
    <row r="50" spans="1:6" s="2" customFormat="1" x14ac:dyDescent="0.2">
      <c r="A50" s="121">
        <v>45167</v>
      </c>
      <c r="B50" s="122">
        <v>77.11</v>
      </c>
      <c r="C50" s="125" t="s">
        <v>202</v>
      </c>
      <c r="D50" s="124" t="s">
        <v>181</v>
      </c>
      <c r="E50" s="126" t="s">
        <v>204</v>
      </c>
      <c r="F50" s="1"/>
    </row>
    <row r="51" spans="1:6" s="2" customFormat="1" x14ac:dyDescent="0.2">
      <c r="A51" s="121">
        <v>45167</v>
      </c>
      <c r="B51" s="122">
        <v>60.92</v>
      </c>
      <c r="C51" s="125" t="s">
        <v>202</v>
      </c>
      <c r="D51" s="124" t="s">
        <v>181</v>
      </c>
      <c r="E51" s="126" t="s">
        <v>190</v>
      </c>
      <c r="F51" s="1"/>
    </row>
    <row r="52" spans="1:6" s="2" customFormat="1" x14ac:dyDescent="0.2">
      <c r="A52" s="121">
        <v>45183</v>
      </c>
      <c r="B52" s="122">
        <v>173.7</v>
      </c>
      <c r="C52" s="125" t="s">
        <v>205</v>
      </c>
      <c r="D52" s="124" t="s">
        <v>203</v>
      </c>
      <c r="E52" s="126" t="s">
        <v>204</v>
      </c>
      <c r="F52" s="1"/>
    </row>
    <row r="53" spans="1:6" s="2" customFormat="1" x14ac:dyDescent="0.2">
      <c r="A53" s="121">
        <v>45183</v>
      </c>
      <c r="B53" s="122">
        <v>694.9</v>
      </c>
      <c r="C53" s="125" t="s">
        <v>205</v>
      </c>
      <c r="D53" s="124" t="s">
        <v>176</v>
      </c>
      <c r="E53" s="126" t="s">
        <v>204</v>
      </c>
      <c r="F53" s="1"/>
    </row>
    <row r="54" spans="1:6" s="2" customFormat="1" x14ac:dyDescent="0.2">
      <c r="A54" s="121">
        <v>45183</v>
      </c>
      <c r="B54" s="122">
        <v>18.96</v>
      </c>
      <c r="C54" s="125" t="s">
        <v>205</v>
      </c>
      <c r="D54" s="124" t="s">
        <v>195</v>
      </c>
      <c r="E54" s="126" t="s">
        <v>204</v>
      </c>
      <c r="F54" s="1"/>
    </row>
    <row r="55" spans="1:6" s="2" customFormat="1" x14ac:dyDescent="0.2">
      <c r="A55" s="121">
        <v>45183</v>
      </c>
      <c r="B55" s="122">
        <v>93.28</v>
      </c>
      <c r="C55" s="125" t="s">
        <v>205</v>
      </c>
      <c r="D55" s="124" t="s">
        <v>181</v>
      </c>
      <c r="E55" s="126" t="s">
        <v>204</v>
      </c>
      <c r="F55" s="1"/>
    </row>
    <row r="56" spans="1:6" s="2" customFormat="1" x14ac:dyDescent="0.2">
      <c r="A56" s="121">
        <v>45184</v>
      </c>
      <c r="B56" s="122">
        <v>69.569999999999993</v>
      </c>
      <c r="C56" s="125" t="s">
        <v>205</v>
      </c>
      <c r="D56" s="124" t="s">
        <v>189</v>
      </c>
      <c r="E56" s="126" t="s">
        <v>190</v>
      </c>
      <c r="F56" s="1"/>
    </row>
    <row r="57" spans="1:6" s="2" customFormat="1" x14ac:dyDescent="0.2">
      <c r="A57" s="121">
        <v>45184</v>
      </c>
      <c r="B57" s="122">
        <v>79.430000000000007</v>
      </c>
      <c r="C57" s="125" t="s">
        <v>205</v>
      </c>
      <c r="D57" s="124" t="s">
        <v>181</v>
      </c>
      <c r="E57" s="126" t="s">
        <v>204</v>
      </c>
      <c r="F57" s="1"/>
    </row>
    <row r="58" spans="1:6" s="2" customFormat="1" x14ac:dyDescent="0.2">
      <c r="A58" s="121">
        <v>45187</v>
      </c>
      <c r="B58" s="122">
        <v>211.22</v>
      </c>
      <c r="C58" s="125" t="s">
        <v>206</v>
      </c>
      <c r="D58" s="124" t="s">
        <v>207</v>
      </c>
      <c r="E58" s="126" t="s">
        <v>208</v>
      </c>
      <c r="F58" s="1"/>
    </row>
    <row r="59" spans="1:6" s="2" customFormat="1" x14ac:dyDescent="0.2">
      <c r="A59" s="121">
        <v>45187</v>
      </c>
      <c r="B59" s="122">
        <v>399.79</v>
      </c>
      <c r="C59" s="125" t="s">
        <v>206</v>
      </c>
      <c r="D59" s="124" t="s">
        <v>176</v>
      </c>
      <c r="E59" s="126" t="s">
        <v>208</v>
      </c>
      <c r="F59" s="1"/>
    </row>
    <row r="60" spans="1:6" s="2" customFormat="1" x14ac:dyDescent="0.2">
      <c r="A60" s="121">
        <v>45187</v>
      </c>
      <c r="B60" s="122">
        <v>32.69</v>
      </c>
      <c r="C60" s="125" t="s">
        <v>206</v>
      </c>
      <c r="D60" s="124" t="s">
        <v>195</v>
      </c>
      <c r="E60" s="126" t="s">
        <v>208</v>
      </c>
      <c r="F60" s="1"/>
    </row>
    <row r="61" spans="1:6" s="2" customFormat="1" x14ac:dyDescent="0.2">
      <c r="A61" s="121">
        <v>45187</v>
      </c>
      <c r="B61" s="122">
        <v>49.91</v>
      </c>
      <c r="C61" s="125" t="s">
        <v>206</v>
      </c>
      <c r="D61" s="124" t="s">
        <v>181</v>
      </c>
      <c r="E61" s="126" t="s">
        <v>208</v>
      </c>
      <c r="F61" s="1"/>
    </row>
    <row r="62" spans="1:6" s="2" customFormat="1" x14ac:dyDescent="0.2">
      <c r="A62" s="121">
        <v>45188</v>
      </c>
      <c r="B62" s="122">
        <v>22.61</v>
      </c>
      <c r="C62" s="125" t="s">
        <v>206</v>
      </c>
      <c r="D62" s="124" t="s">
        <v>195</v>
      </c>
      <c r="E62" s="126" t="s">
        <v>208</v>
      </c>
      <c r="F62" s="1"/>
    </row>
    <row r="63" spans="1:6" s="2" customFormat="1" x14ac:dyDescent="0.2">
      <c r="A63" s="121">
        <v>45188</v>
      </c>
      <c r="B63" s="122">
        <v>78.260000000000005</v>
      </c>
      <c r="C63" s="125" t="s">
        <v>206</v>
      </c>
      <c r="D63" s="124" t="s">
        <v>189</v>
      </c>
      <c r="E63" s="126" t="s">
        <v>190</v>
      </c>
      <c r="F63" s="1"/>
    </row>
    <row r="64" spans="1:6" s="2" customFormat="1" x14ac:dyDescent="0.2">
      <c r="A64" s="121">
        <v>45193</v>
      </c>
      <c r="B64" s="122">
        <v>338.91</v>
      </c>
      <c r="C64" s="125" t="s">
        <v>209</v>
      </c>
      <c r="D64" s="124" t="s">
        <v>203</v>
      </c>
      <c r="E64" s="126" t="s">
        <v>204</v>
      </c>
      <c r="F64" s="1"/>
    </row>
    <row r="65" spans="1:6" s="2" customFormat="1" x14ac:dyDescent="0.2">
      <c r="A65" s="121">
        <v>45193</v>
      </c>
      <c r="B65" s="122">
        <v>526.22</v>
      </c>
      <c r="C65" s="125" t="s">
        <v>209</v>
      </c>
      <c r="D65" s="124" t="s">
        <v>176</v>
      </c>
      <c r="E65" s="126" t="s">
        <v>204</v>
      </c>
      <c r="F65" s="1"/>
    </row>
    <row r="66" spans="1:6" s="2" customFormat="1" x14ac:dyDescent="0.2">
      <c r="A66" s="121">
        <v>45193</v>
      </c>
      <c r="B66" s="122">
        <v>24.87</v>
      </c>
      <c r="C66" s="125" t="s">
        <v>209</v>
      </c>
      <c r="D66" s="124" t="s">
        <v>195</v>
      </c>
      <c r="E66" s="126" t="s">
        <v>204</v>
      </c>
      <c r="F66" s="1"/>
    </row>
    <row r="67" spans="1:6" s="2" customFormat="1" x14ac:dyDescent="0.2">
      <c r="A67" s="121">
        <v>45193</v>
      </c>
      <c r="B67" s="122">
        <v>28.7</v>
      </c>
      <c r="C67" s="125" t="s">
        <v>209</v>
      </c>
      <c r="D67" s="124" t="s">
        <v>181</v>
      </c>
      <c r="E67" s="126" t="s">
        <v>204</v>
      </c>
      <c r="F67" s="1"/>
    </row>
    <row r="68" spans="1:6" s="2" customFormat="1" x14ac:dyDescent="0.2">
      <c r="A68" s="121">
        <v>45193</v>
      </c>
      <c r="B68" s="122">
        <v>33.68</v>
      </c>
      <c r="C68" s="125" t="s">
        <v>209</v>
      </c>
      <c r="D68" s="124" t="s">
        <v>181</v>
      </c>
      <c r="E68" s="126" t="s">
        <v>190</v>
      </c>
      <c r="F68" s="1"/>
    </row>
    <row r="69" spans="1:6" s="2" customFormat="1" x14ac:dyDescent="0.2">
      <c r="A69" s="121">
        <v>45194</v>
      </c>
      <c r="B69" s="122">
        <v>24.35</v>
      </c>
      <c r="C69" s="125" t="s">
        <v>209</v>
      </c>
      <c r="D69" s="124" t="s">
        <v>195</v>
      </c>
      <c r="E69" s="126" t="s">
        <v>204</v>
      </c>
      <c r="F69" s="1"/>
    </row>
    <row r="70" spans="1:6" s="2" customFormat="1" x14ac:dyDescent="0.2">
      <c r="A70" s="121">
        <v>45194</v>
      </c>
      <c r="B70" s="122">
        <v>25.85</v>
      </c>
      <c r="C70" s="125" t="s">
        <v>209</v>
      </c>
      <c r="D70" s="124" t="s">
        <v>195</v>
      </c>
      <c r="E70" s="126" t="s">
        <v>204</v>
      </c>
      <c r="F70" s="1"/>
    </row>
    <row r="71" spans="1:6" s="2" customFormat="1" x14ac:dyDescent="0.2">
      <c r="A71" s="121">
        <v>45195</v>
      </c>
      <c r="B71" s="122">
        <v>255.26</v>
      </c>
      <c r="C71" s="125" t="s">
        <v>202</v>
      </c>
      <c r="D71" s="124" t="s">
        <v>176</v>
      </c>
      <c r="E71" s="126" t="s">
        <v>204</v>
      </c>
      <c r="F71" s="1"/>
    </row>
    <row r="72" spans="1:6" s="2" customFormat="1" x14ac:dyDescent="0.2">
      <c r="A72" s="121">
        <v>45195</v>
      </c>
      <c r="B72" s="122">
        <v>11.74</v>
      </c>
      <c r="C72" s="125" t="s">
        <v>202</v>
      </c>
      <c r="D72" s="124" t="s">
        <v>195</v>
      </c>
      <c r="E72" s="126" t="s">
        <v>204</v>
      </c>
      <c r="F72" s="1"/>
    </row>
    <row r="73" spans="1:6" s="2" customFormat="1" x14ac:dyDescent="0.2">
      <c r="A73" s="121">
        <v>45195</v>
      </c>
      <c r="B73" s="122">
        <v>84.48</v>
      </c>
      <c r="C73" s="125" t="s">
        <v>202</v>
      </c>
      <c r="D73" s="124" t="s">
        <v>181</v>
      </c>
      <c r="E73" s="126" t="s">
        <v>204</v>
      </c>
      <c r="F73" s="1"/>
    </row>
    <row r="74" spans="1:6" s="2" customFormat="1" x14ac:dyDescent="0.2">
      <c r="A74" s="121">
        <v>45195</v>
      </c>
      <c r="B74" s="122">
        <v>60.24</v>
      </c>
      <c r="C74" s="125" t="s">
        <v>202</v>
      </c>
      <c r="D74" s="124" t="s">
        <v>181</v>
      </c>
      <c r="E74" s="126" t="s">
        <v>190</v>
      </c>
      <c r="F74" s="1"/>
    </row>
    <row r="75" spans="1:6" s="2" customFormat="1" x14ac:dyDescent="0.2">
      <c r="A75" s="121">
        <v>45202</v>
      </c>
      <c r="B75" s="122">
        <v>35.229999999999997</v>
      </c>
      <c r="C75" s="123" t="s">
        <v>210</v>
      </c>
      <c r="D75" s="124" t="s">
        <v>181</v>
      </c>
      <c r="E75" s="126" t="s">
        <v>190</v>
      </c>
      <c r="F75" s="1"/>
    </row>
    <row r="76" spans="1:6" s="2" customFormat="1" x14ac:dyDescent="0.2">
      <c r="A76" s="121">
        <v>45229</v>
      </c>
      <c r="B76" s="122">
        <f>195.65+5</f>
        <v>200.65</v>
      </c>
      <c r="C76" s="125" t="s">
        <v>202</v>
      </c>
      <c r="D76" s="124" t="s">
        <v>203</v>
      </c>
      <c r="E76" s="126" t="s">
        <v>204</v>
      </c>
      <c r="F76" s="1"/>
    </row>
    <row r="77" spans="1:6" s="2" customFormat="1" x14ac:dyDescent="0.2">
      <c r="A77" s="121">
        <v>45229</v>
      </c>
      <c r="B77" s="122">
        <f>729.6+179.35</f>
        <v>908.95</v>
      </c>
      <c r="C77" s="125" t="s">
        <v>202</v>
      </c>
      <c r="D77" s="124" t="s">
        <v>176</v>
      </c>
      <c r="E77" s="126" t="s">
        <v>204</v>
      </c>
      <c r="F77" s="1"/>
    </row>
    <row r="78" spans="1:6" s="2" customFormat="1" x14ac:dyDescent="0.2">
      <c r="A78" s="121">
        <v>45229</v>
      </c>
      <c r="B78" s="122">
        <v>81.95</v>
      </c>
      <c r="C78" s="125" t="s">
        <v>202</v>
      </c>
      <c r="D78" s="124" t="s">
        <v>181</v>
      </c>
      <c r="E78" s="126" t="s">
        <v>204</v>
      </c>
      <c r="F78" s="1"/>
    </row>
    <row r="79" spans="1:6" s="2" customFormat="1" x14ac:dyDescent="0.2">
      <c r="A79" s="121">
        <v>45235</v>
      </c>
      <c r="B79" s="122">
        <f>194.12+127.23+20+15-152.83+333.16</f>
        <v>536.68000000000006</v>
      </c>
      <c r="C79" s="125" t="s">
        <v>211</v>
      </c>
      <c r="D79" s="124" t="s">
        <v>176</v>
      </c>
      <c r="E79" s="126" t="s">
        <v>204</v>
      </c>
      <c r="F79" s="1"/>
    </row>
    <row r="80" spans="1:6" s="2" customFormat="1" x14ac:dyDescent="0.2">
      <c r="A80" s="121">
        <v>45236</v>
      </c>
      <c r="B80" s="122">
        <v>585.87</v>
      </c>
      <c r="C80" s="125" t="s">
        <v>211</v>
      </c>
      <c r="D80" s="124" t="s">
        <v>212</v>
      </c>
      <c r="E80" s="126" t="s">
        <v>204</v>
      </c>
      <c r="F80" s="1"/>
    </row>
    <row r="81" spans="1:6" s="2" customFormat="1" x14ac:dyDescent="0.2">
      <c r="A81" s="121">
        <v>45236</v>
      </c>
      <c r="B81" s="122">
        <v>15.36</v>
      </c>
      <c r="C81" s="125" t="s">
        <v>211</v>
      </c>
      <c r="D81" s="124" t="s">
        <v>195</v>
      </c>
      <c r="E81" s="126" t="s">
        <v>204</v>
      </c>
      <c r="F81" s="1"/>
    </row>
    <row r="82" spans="1:6" s="2" customFormat="1" x14ac:dyDescent="0.2">
      <c r="A82" s="121">
        <v>45236</v>
      </c>
      <c r="B82" s="122">
        <v>84.2</v>
      </c>
      <c r="C82" s="125" t="s">
        <v>211</v>
      </c>
      <c r="D82" s="124" t="s">
        <v>181</v>
      </c>
      <c r="E82" s="126" t="s">
        <v>204</v>
      </c>
      <c r="F82" s="1"/>
    </row>
    <row r="83" spans="1:6" s="2" customFormat="1" x14ac:dyDescent="0.2">
      <c r="A83" s="121">
        <v>45237</v>
      </c>
      <c r="B83" s="122">
        <v>25.57</v>
      </c>
      <c r="C83" s="125" t="s">
        <v>211</v>
      </c>
      <c r="D83" s="124" t="s">
        <v>195</v>
      </c>
      <c r="E83" s="126" t="s">
        <v>204</v>
      </c>
      <c r="F83" s="1"/>
    </row>
    <row r="84" spans="1:6" s="2" customFormat="1" x14ac:dyDescent="0.2">
      <c r="A84" s="121">
        <v>45237</v>
      </c>
      <c r="B84" s="122">
        <v>24.35</v>
      </c>
      <c r="C84" s="125" t="s">
        <v>211</v>
      </c>
      <c r="D84" s="124" t="s">
        <v>195</v>
      </c>
      <c r="E84" s="126" t="s">
        <v>204</v>
      </c>
      <c r="F84" s="1"/>
    </row>
    <row r="85" spans="1:6" s="2" customFormat="1" x14ac:dyDescent="0.2">
      <c r="A85" s="121">
        <v>45238</v>
      </c>
      <c r="B85" s="122">
        <v>5.73</v>
      </c>
      <c r="C85" s="125" t="s">
        <v>211</v>
      </c>
      <c r="D85" s="124" t="s">
        <v>195</v>
      </c>
      <c r="E85" s="126" t="s">
        <v>204</v>
      </c>
      <c r="F85" s="1"/>
    </row>
    <row r="86" spans="1:6" s="2" customFormat="1" x14ac:dyDescent="0.2">
      <c r="A86" s="121">
        <v>45239</v>
      </c>
      <c r="B86" s="122">
        <v>83.11</v>
      </c>
      <c r="C86" s="125" t="s">
        <v>211</v>
      </c>
      <c r="D86" s="124" t="s">
        <v>181</v>
      </c>
      <c r="E86" s="126" t="s">
        <v>204</v>
      </c>
      <c r="F86" s="1"/>
    </row>
    <row r="87" spans="1:6" s="2" customFormat="1" x14ac:dyDescent="0.2">
      <c r="A87" s="121">
        <v>45239</v>
      </c>
      <c r="B87" s="122">
        <v>58.43</v>
      </c>
      <c r="C87" s="125" t="s">
        <v>211</v>
      </c>
      <c r="D87" s="124" t="s">
        <v>181</v>
      </c>
      <c r="E87" s="126" t="s">
        <v>190</v>
      </c>
      <c r="F87" s="1"/>
    </row>
    <row r="88" spans="1:6" s="2" customFormat="1" x14ac:dyDescent="0.2">
      <c r="A88" s="121">
        <v>45246</v>
      </c>
      <c r="B88" s="122">
        <f>10+5-262.84+10+1094.8</f>
        <v>856.96</v>
      </c>
      <c r="C88" s="125" t="s">
        <v>213</v>
      </c>
      <c r="D88" s="124" t="s">
        <v>176</v>
      </c>
      <c r="E88" s="126" t="s">
        <v>214</v>
      </c>
      <c r="F88" s="1"/>
    </row>
    <row r="89" spans="1:6" s="2" customFormat="1" x14ac:dyDescent="0.2">
      <c r="A89" s="121">
        <v>45246</v>
      </c>
      <c r="B89" s="122">
        <v>20.7</v>
      </c>
      <c r="C89" s="125" t="s">
        <v>213</v>
      </c>
      <c r="D89" s="124" t="s">
        <v>195</v>
      </c>
      <c r="E89" s="126" t="s">
        <v>215</v>
      </c>
      <c r="F89" s="1"/>
    </row>
    <row r="90" spans="1:6" s="2" customFormat="1" x14ac:dyDescent="0.2">
      <c r="A90" s="121">
        <v>45246</v>
      </c>
      <c r="B90" s="122">
        <v>146.9</v>
      </c>
      <c r="C90" s="125" t="s">
        <v>213</v>
      </c>
      <c r="D90" s="124" t="s">
        <v>216</v>
      </c>
      <c r="E90" s="126" t="s">
        <v>214</v>
      </c>
      <c r="F90" s="1"/>
    </row>
    <row r="91" spans="1:6" s="2" customFormat="1" x14ac:dyDescent="0.2">
      <c r="A91" s="121">
        <v>45247</v>
      </c>
      <c r="B91" s="122">
        <v>25.39</v>
      </c>
      <c r="C91" s="125" t="s">
        <v>213</v>
      </c>
      <c r="D91" s="124" t="s">
        <v>195</v>
      </c>
      <c r="E91" s="126" t="s">
        <v>217</v>
      </c>
      <c r="F91" s="1"/>
    </row>
    <row r="92" spans="1:6" s="2" customFormat="1" x14ac:dyDescent="0.2">
      <c r="A92" s="121">
        <v>45247</v>
      </c>
      <c r="B92" s="122">
        <v>88.7</v>
      </c>
      <c r="C92" s="125" t="s">
        <v>213</v>
      </c>
      <c r="D92" s="124" t="s">
        <v>189</v>
      </c>
      <c r="E92" s="126" t="s">
        <v>190</v>
      </c>
      <c r="F92" s="1"/>
    </row>
    <row r="93" spans="1:6" s="2" customFormat="1" x14ac:dyDescent="0.2">
      <c r="A93" s="121">
        <v>45247</v>
      </c>
      <c r="B93" s="122">
        <v>94.77</v>
      </c>
      <c r="C93" s="125" t="s">
        <v>213</v>
      </c>
      <c r="D93" s="124" t="s">
        <v>216</v>
      </c>
      <c r="E93" s="126" t="s">
        <v>190</v>
      </c>
      <c r="F93" s="1"/>
    </row>
    <row r="94" spans="1:6" s="2" customFormat="1" x14ac:dyDescent="0.2">
      <c r="A94" s="121">
        <v>45251</v>
      </c>
      <c r="B94" s="122">
        <f>-630.99+299.29+15</f>
        <v>-316.7</v>
      </c>
      <c r="C94" s="125" t="s">
        <v>218</v>
      </c>
      <c r="D94" s="124" t="s">
        <v>176</v>
      </c>
      <c r="E94" s="126" t="s">
        <v>204</v>
      </c>
      <c r="F94" s="1"/>
    </row>
    <row r="95" spans="1:6" s="2" customFormat="1" x14ac:dyDescent="0.2">
      <c r="A95" s="121">
        <v>45257</v>
      </c>
      <c r="B95" s="122">
        <v>548.51</v>
      </c>
      <c r="C95" s="125" t="s">
        <v>202</v>
      </c>
      <c r="D95" s="124" t="s">
        <v>176</v>
      </c>
      <c r="E95" s="126" t="s">
        <v>204</v>
      </c>
      <c r="F95" s="1"/>
    </row>
    <row r="96" spans="1:6" s="2" customFormat="1" x14ac:dyDescent="0.2">
      <c r="A96" s="121">
        <v>45257</v>
      </c>
      <c r="B96" s="122">
        <v>8.6999999999999993</v>
      </c>
      <c r="C96" s="125" t="s">
        <v>202</v>
      </c>
      <c r="D96" s="124" t="s">
        <v>194</v>
      </c>
      <c r="E96" s="126" t="s">
        <v>190</v>
      </c>
      <c r="F96" s="1"/>
    </row>
    <row r="97" spans="1:6" s="2" customFormat="1" x14ac:dyDescent="0.2">
      <c r="A97" s="121">
        <v>45257</v>
      </c>
      <c r="B97" s="122">
        <v>22.83</v>
      </c>
      <c r="C97" s="125" t="s">
        <v>202</v>
      </c>
      <c r="D97" s="124" t="s">
        <v>219</v>
      </c>
      <c r="E97" s="126" t="s">
        <v>204</v>
      </c>
      <c r="F97" s="1"/>
    </row>
    <row r="98" spans="1:6" s="2" customFormat="1" x14ac:dyDescent="0.2">
      <c r="A98" s="121">
        <v>45257</v>
      </c>
      <c r="B98" s="122">
        <v>84.84</v>
      </c>
      <c r="C98" s="125" t="s">
        <v>202</v>
      </c>
      <c r="D98" s="124" t="s">
        <v>181</v>
      </c>
      <c r="E98" s="126" t="s">
        <v>204</v>
      </c>
      <c r="F98" s="1"/>
    </row>
    <row r="99" spans="1:6" s="2" customFormat="1" x14ac:dyDescent="0.2">
      <c r="A99" s="121">
        <v>45258</v>
      </c>
      <c r="B99" s="122">
        <v>9.0399999999999991</v>
      </c>
      <c r="C99" s="125" t="s">
        <v>202</v>
      </c>
      <c r="D99" s="124" t="s">
        <v>195</v>
      </c>
      <c r="E99" s="126" t="s">
        <v>204</v>
      </c>
      <c r="F99" s="1"/>
    </row>
    <row r="100" spans="1:6" s="2" customFormat="1" x14ac:dyDescent="0.2">
      <c r="A100" s="121">
        <v>45259</v>
      </c>
      <c r="B100" s="122">
        <v>8.6999999999999993</v>
      </c>
      <c r="C100" s="125" t="s">
        <v>202</v>
      </c>
      <c r="D100" s="124" t="s">
        <v>194</v>
      </c>
      <c r="E100" s="126" t="s">
        <v>190</v>
      </c>
      <c r="F100" s="1"/>
    </row>
    <row r="101" spans="1:6" s="2" customFormat="1" x14ac:dyDescent="0.2">
      <c r="A101" s="121">
        <v>45259</v>
      </c>
      <c r="B101" s="122">
        <v>89.39</v>
      </c>
      <c r="C101" s="125" t="s">
        <v>202</v>
      </c>
      <c r="D101" s="124" t="s">
        <v>181</v>
      </c>
      <c r="E101" s="126" t="s">
        <v>204</v>
      </c>
      <c r="F101" s="1"/>
    </row>
    <row r="102" spans="1:6" s="2" customFormat="1" x14ac:dyDescent="0.2">
      <c r="A102" s="121">
        <v>45260</v>
      </c>
      <c r="B102" s="122">
        <v>86.96</v>
      </c>
      <c r="C102" s="125" t="s">
        <v>202</v>
      </c>
      <c r="D102" s="124" t="s">
        <v>189</v>
      </c>
      <c r="E102" s="126" t="s">
        <v>190</v>
      </c>
      <c r="F102" s="1"/>
    </row>
    <row r="103" spans="1:6" s="2" customFormat="1" x14ac:dyDescent="0.2">
      <c r="A103" s="121">
        <v>45640</v>
      </c>
      <c r="B103" s="122">
        <f>189.17+5</f>
        <v>194.17</v>
      </c>
      <c r="C103" s="125" t="s">
        <v>220</v>
      </c>
      <c r="D103" s="124" t="s">
        <v>221</v>
      </c>
      <c r="E103" s="126" t="s">
        <v>208</v>
      </c>
      <c r="F103" s="1"/>
    </row>
    <row r="104" spans="1:6" s="2" customFormat="1" x14ac:dyDescent="0.2">
      <c r="A104" s="121">
        <v>45274</v>
      </c>
      <c r="B104" s="122">
        <v>463.9</v>
      </c>
      <c r="C104" s="125" t="s">
        <v>220</v>
      </c>
      <c r="D104" s="124" t="s">
        <v>176</v>
      </c>
      <c r="E104" s="126" t="s">
        <v>208</v>
      </c>
      <c r="F104" s="1"/>
    </row>
    <row r="105" spans="1:6" s="2" customFormat="1" x14ac:dyDescent="0.2">
      <c r="A105" s="121">
        <v>45274</v>
      </c>
      <c r="B105" s="122">
        <v>25.97</v>
      </c>
      <c r="C105" s="125" t="s">
        <v>220</v>
      </c>
      <c r="D105" s="124" t="s">
        <v>180</v>
      </c>
      <c r="E105" s="126" t="s">
        <v>208</v>
      </c>
      <c r="F105" s="1"/>
    </row>
    <row r="106" spans="1:6" s="2" customFormat="1" x14ac:dyDescent="0.2">
      <c r="A106" s="121">
        <v>45274</v>
      </c>
      <c r="B106" s="122">
        <v>52.3</v>
      </c>
      <c r="C106" s="125" t="s">
        <v>220</v>
      </c>
      <c r="D106" s="124" t="s">
        <v>181</v>
      </c>
      <c r="E106" s="126" t="s">
        <v>208</v>
      </c>
      <c r="F106" s="1"/>
    </row>
    <row r="107" spans="1:6" s="2" customFormat="1" x14ac:dyDescent="0.2">
      <c r="A107" s="121">
        <v>45275</v>
      </c>
      <c r="B107" s="122">
        <v>51.74</v>
      </c>
      <c r="C107" s="125" t="s">
        <v>220</v>
      </c>
      <c r="D107" s="124" t="s">
        <v>189</v>
      </c>
      <c r="E107" s="126" t="s">
        <v>190</v>
      </c>
      <c r="F107" s="1"/>
    </row>
    <row r="108" spans="1:6" s="2" customFormat="1" x14ac:dyDescent="0.2">
      <c r="A108" s="121">
        <v>45348</v>
      </c>
      <c r="B108" s="122">
        <f>4+64.44+247.82+20+20+30+810.38+10-532.82</f>
        <v>673.81999999999982</v>
      </c>
      <c r="C108" s="125" t="s">
        <v>202</v>
      </c>
      <c r="D108" s="124" t="s">
        <v>176</v>
      </c>
      <c r="E108" s="126" t="s">
        <v>204</v>
      </c>
      <c r="F108" s="1"/>
    </row>
    <row r="109" spans="1:6" s="2" customFormat="1" x14ac:dyDescent="0.2">
      <c r="A109" s="121">
        <v>45348</v>
      </c>
      <c r="B109" s="122">
        <v>106.58</v>
      </c>
      <c r="C109" s="125" t="s">
        <v>202</v>
      </c>
      <c r="D109" s="124" t="s">
        <v>181</v>
      </c>
      <c r="E109" s="126" t="s">
        <v>204</v>
      </c>
      <c r="F109" s="1"/>
    </row>
    <row r="110" spans="1:6" s="2" customFormat="1" x14ac:dyDescent="0.2">
      <c r="A110" s="121">
        <v>45349</v>
      </c>
      <c r="B110" s="122">
        <v>26.27</v>
      </c>
      <c r="C110" s="125" t="s">
        <v>222</v>
      </c>
      <c r="D110" s="124" t="s">
        <v>180</v>
      </c>
      <c r="E110" s="126" t="s">
        <v>204</v>
      </c>
      <c r="F110" s="1"/>
    </row>
    <row r="111" spans="1:6" s="2" customFormat="1" x14ac:dyDescent="0.2">
      <c r="A111" s="121">
        <v>45349</v>
      </c>
      <c r="B111" s="122">
        <v>55.65</v>
      </c>
      <c r="C111" s="125" t="s">
        <v>202</v>
      </c>
      <c r="D111" s="124" t="s">
        <v>189</v>
      </c>
      <c r="E111" s="126" t="s">
        <v>190</v>
      </c>
      <c r="F111" s="1"/>
    </row>
    <row r="112" spans="1:6" s="2" customFormat="1" x14ac:dyDescent="0.2">
      <c r="A112" s="121">
        <v>45349</v>
      </c>
      <c r="B112" s="122">
        <v>77.11</v>
      </c>
      <c r="C112" s="125" t="s">
        <v>202</v>
      </c>
      <c r="D112" s="124" t="s">
        <v>181</v>
      </c>
      <c r="E112" s="126" t="s">
        <v>204</v>
      </c>
      <c r="F112" s="1"/>
    </row>
    <row r="113" spans="1:6" s="2" customFormat="1" x14ac:dyDescent="0.2">
      <c r="A113" s="121">
        <v>45356</v>
      </c>
      <c r="B113" s="122">
        <f>147.83+10</f>
        <v>157.83000000000001</v>
      </c>
      <c r="C113" s="125" t="s">
        <v>223</v>
      </c>
      <c r="D113" s="124" t="s">
        <v>224</v>
      </c>
      <c r="E113" s="126" t="s">
        <v>225</v>
      </c>
      <c r="F113" s="1"/>
    </row>
    <row r="114" spans="1:6" s="2" customFormat="1" x14ac:dyDescent="0.2">
      <c r="A114" s="121">
        <v>45356</v>
      </c>
      <c r="B114" s="122">
        <v>191.3</v>
      </c>
      <c r="C114" s="125" t="s">
        <v>223</v>
      </c>
      <c r="D114" s="124" t="s">
        <v>212</v>
      </c>
      <c r="E114" s="126" t="s">
        <v>204</v>
      </c>
      <c r="F114" s="1"/>
    </row>
    <row r="115" spans="1:6" s="2" customFormat="1" x14ac:dyDescent="0.2">
      <c r="A115" s="121">
        <v>45356</v>
      </c>
      <c r="B115" s="122">
        <f>511.27+10</f>
        <v>521.27</v>
      </c>
      <c r="C115" s="125" t="s">
        <v>223</v>
      </c>
      <c r="D115" s="124" t="s">
        <v>176</v>
      </c>
      <c r="E115" s="126" t="s">
        <v>225</v>
      </c>
      <c r="F115" s="1"/>
    </row>
    <row r="116" spans="1:6" s="2" customFormat="1" x14ac:dyDescent="0.2">
      <c r="A116" s="121">
        <v>45356</v>
      </c>
      <c r="B116" s="122">
        <f>37.94/1.15</f>
        <v>32.991304347826087</v>
      </c>
      <c r="C116" s="125" t="s">
        <v>223</v>
      </c>
      <c r="D116" s="124" t="s">
        <v>180</v>
      </c>
      <c r="E116" s="126" t="s">
        <v>204</v>
      </c>
      <c r="F116" s="1"/>
    </row>
    <row r="117" spans="1:6" s="2" customFormat="1" x14ac:dyDescent="0.2">
      <c r="A117" s="121">
        <v>45357</v>
      </c>
      <c r="B117" s="122">
        <f>34.91/1.15</f>
        <v>30.356521739130436</v>
      </c>
      <c r="C117" s="125" t="s">
        <v>223</v>
      </c>
      <c r="D117" s="124" t="s">
        <v>180</v>
      </c>
      <c r="E117" s="126" t="s">
        <v>225</v>
      </c>
      <c r="F117" s="1"/>
    </row>
    <row r="118" spans="1:6" s="2" customFormat="1" x14ac:dyDescent="0.2">
      <c r="A118" s="121">
        <v>45358</v>
      </c>
      <c r="B118" s="122">
        <v>56</v>
      </c>
      <c r="C118" s="125" t="s">
        <v>223</v>
      </c>
      <c r="D118" s="124" t="s">
        <v>181</v>
      </c>
      <c r="E118" s="126" t="s">
        <v>190</v>
      </c>
      <c r="F118" s="1"/>
    </row>
    <row r="119" spans="1:6" s="2" customFormat="1" x14ac:dyDescent="0.2">
      <c r="A119" s="121">
        <v>45363</v>
      </c>
      <c r="B119" s="122">
        <f>191.3+5</f>
        <v>196.3</v>
      </c>
      <c r="C119" s="125" t="s">
        <v>226</v>
      </c>
      <c r="D119" s="124" t="s">
        <v>203</v>
      </c>
      <c r="E119" s="126" t="s">
        <v>204</v>
      </c>
      <c r="F119" s="1"/>
    </row>
    <row r="120" spans="1:6" s="2" customFormat="1" x14ac:dyDescent="0.2">
      <c r="A120" s="121">
        <v>45363</v>
      </c>
      <c r="B120" s="122">
        <v>403.13</v>
      </c>
      <c r="C120" s="125" t="s">
        <v>226</v>
      </c>
      <c r="D120" s="124" t="s">
        <v>176</v>
      </c>
      <c r="E120" s="126" t="s">
        <v>204</v>
      </c>
      <c r="F120" s="1"/>
    </row>
    <row r="121" spans="1:6" s="2" customFormat="1" x14ac:dyDescent="0.2">
      <c r="A121" s="121">
        <v>45363</v>
      </c>
      <c r="B121" s="122">
        <v>15.65</v>
      </c>
      <c r="C121" s="125" t="s">
        <v>226</v>
      </c>
      <c r="D121" s="124" t="s">
        <v>194</v>
      </c>
      <c r="E121" s="126" t="s">
        <v>204</v>
      </c>
      <c r="F121" s="1"/>
    </row>
    <row r="122" spans="1:6" s="2" customFormat="1" x14ac:dyDescent="0.2">
      <c r="A122" s="121">
        <v>45363</v>
      </c>
      <c r="B122" s="122">
        <v>22.03</v>
      </c>
      <c r="C122" s="125" t="s">
        <v>226</v>
      </c>
      <c r="D122" s="124" t="s">
        <v>180</v>
      </c>
      <c r="E122" s="126" t="s">
        <v>204</v>
      </c>
      <c r="F122" s="1"/>
    </row>
    <row r="123" spans="1:6" s="2" customFormat="1" x14ac:dyDescent="0.2">
      <c r="A123" s="121">
        <v>45363</v>
      </c>
      <c r="B123" s="122">
        <v>13.3</v>
      </c>
      <c r="C123" s="125" t="s">
        <v>226</v>
      </c>
      <c r="D123" s="124" t="s">
        <v>181</v>
      </c>
      <c r="E123" s="126" t="s">
        <v>204</v>
      </c>
      <c r="F123" s="1"/>
    </row>
    <row r="124" spans="1:6" s="2" customFormat="1" x14ac:dyDescent="0.2">
      <c r="A124" s="121">
        <v>45364</v>
      </c>
      <c r="B124" s="122">
        <v>95.653999999999996</v>
      </c>
      <c r="C124" s="125" t="s">
        <v>226</v>
      </c>
      <c r="D124" s="124" t="s">
        <v>189</v>
      </c>
      <c r="E124" s="126" t="s">
        <v>190</v>
      </c>
      <c r="F124" s="1"/>
    </row>
    <row r="125" spans="1:6" s="2" customFormat="1" x14ac:dyDescent="0.2">
      <c r="A125" s="121">
        <v>45364</v>
      </c>
      <c r="B125" s="122">
        <v>156.52000000000001</v>
      </c>
      <c r="C125" s="125" t="s">
        <v>226</v>
      </c>
      <c r="D125" s="124" t="s">
        <v>181</v>
      </c>
      <c r="E125" s="126" t="s">
        <v>204</v>
      </c>
      <c r="F125" s="1"/>
    </row>
    <row r="126" spans="1:6" s="2" customFormat="1" x14ac:dyDescent="0.2">
      <c r="A126" s="121">
        <v>45376</v>
      </c>
      <c r="B126" s="122">
        <f>191.3+5</f>
        <v>196.3</v>
      </c>
      <c r="C126" s="125" t="s">
        <v>202</v>
      </c>
      <c r="D126" s="124" t="s">
        <v>203</v>
      </c>
      <c r="E126" s="126" t="s">
        <v>204</v>
      </c>
      <c r="F126" s="1"/>
    </row>
    <row r="127" spans="1:6" s="2" customFormat="1" x14ac:dyDescent="0.2">
      <c r="A127" s="121">
        <v>45376</v>
      </c>
      <c r="B127" s="122">
        <f>4+443.61+20+61.95</f>
        <v>529.56000000000006</v>
      </c>
      <c r="C127" s="125" t="s">
        <v>202</v>
      </c>
      <c r="D127" s="124" t="s">
        <v>176</v>
      </c>
      <c r="E127" s="126" t="s">
        <v>204</v>
      </c>
      <c r="F127" s="1"/>
    </row>
    <row r="128" spans="1:6" s="2" customFormat="1" x14ac:dyDescent="0.2">
      <c r="A128" s="121">
        <v>45376</v>
      </c>
      <c r="B128" s="122">
        <v>8.6999999999999993</v>
      </c>
      <c r="C128" s="125" t="s">
        <v>202</v>
      </c>
      <c r="D128" s="124" t="s">
        <v>194</v>
      </c>
      <c r="E128" s="127" t="s">
        <v>190</v>
      </c>
      <c r="F128" s="1"/>
    </row>
    <row r="129" spans="1:6" s="2" customFormat="1" x14ac:dyDescent="0.2">
      <c r="A129" s="121">
        <v>45376</v>
      </c>
      <c r="B129" s="122">
        <v>22.61</v>
      </c>
      <c r="C129" s="125" t="s">
        <v>202</v>
      </c>
      <c r="D129" s="124" t="s">
        <v>180</v>
      </c>
      <c r="E129" s="127" t="s">
        <v>204</v>
      </c>
      <c r="F129" s="1"/>
    </row>
    <row r="130" spans="1:6" s="2" customFormat="1" x14ac:dyDescent="0.2">
      <c r="A130" s="121">
        <v>45377</v>
      </c>
      <c r="B130" s="122">
        <v>15.65</v>
      </c>
      <c r="C130" s="125" t="s">
        <v>202</v>
      </c>
      <c r="D130" s="124" t="s">
        <v>194</v>
      </c>
      <c r="E130" s="127" t="s">
        <v>204</v>
      </c>
      <c r="F130" s="1"/>
    </row>
    <row r="131" spans="1:6" s="2" customFormat="1" x14ac:dyDescent="0.2">
      <c r="A131" s="121">
        <v>45377</v>
      </c>
      <c r="B131" s="122">
        <f>26.96-1</f>
        <v>25.96</v>
      </c>
      <c r="C131" s="125" t="s">
        <v>202</v>
      </c>
      <c r="D131" s="124" t="s">
        <v>180</v>
      </c>
      <c r="E131" s="127" t="s">
        <v>204</v>
      </c>
      <c r="F131" s="1"/>
    </row>
    <row r="132" spans="1:6" s="2" customFormat="1" x14ac:dyDescent="0.2">
      <c r="A132" s="121">
        <v>45377</v>
      </c>
      <c r="B132" s="122">
        <v>77.11</v>
      </c>
      <c r="C132" s="125" t="s">
        <v>202</v>
      </c>
      <c r="D132" s="124" t="s">
        <v>181</v>
      </c>
      <c r="E132" s="127" t="s">
        <v>204</v>
      </c>
      <c r="F132" s="1"/>
    </row>
    <row r="133" spans="1:6" s="2" customFormat="1" x14ac:dyDescent="0.2">
      <c r="A133" s="121">
        <v>45377</v>
      </c>
      <c r="B133" s="122">
        <v>55.76</v>
      </c>
      <c r="C133" s="125" t="s">
        <v>202</v>
      </c>
      <c r="D133" s="124" t="s">
        <v>181</v>
      </c>
      <c r="E133" s="127" t="s">
        <v>190</v>
      </c>
      <c r="F133" s="1"/>
    </row>
    <row r="134" spans="1:6" s="2" customFormat="1" x14ac:dyDescent="0.2">
      <c r="A134" s="121">
        <v>45420</v>
      </c>
      <c r="B134" s="122">
        <f>182.61+10</f>
        <v>192.61</v>
      </c>
      <c r="C134" s="125" t="s">
        <v>227</v>
      </c>
      <c r="D134" s="124" t="s">
        <v>228</v>
      </c>
      <c r="E134" s="126" t="s">
        <v>214</v>
      </c>
      <c r="F134" s="1"/>
    </row>
    <row r="135" spans="1:6" s="2" customFormat="1" x14ac:dyDescent="0.2">
      <c r="A135" s="121">
        <v>45420</v>
      </c>
      <c r="B135" s="122">
        <v>191.3</v>
      </c>
      <c r="C135" s="125" t="s">
        <v>229</v>
      </c>
      <c r="D135" s="124" t="s">
        <v>230</v>
      </c>
      <c r="E135" s="126" t="s">
        <v>231</v>
      </c>
      <c r="F135" s="1"/>
    </row>
    <row r="136" spans="1:6" s="2" customFormat="1" x14ac:dyDescent="0.2">
      <c r="A136" s="121">
        <v>45420</v>
      </c>
      <c r="B136" s="122">
        <f>355.93+10+4</f>
        <v>369.93</v>
      </c>
      <c r="C136" s="125" t="s">
        <v>232</v>
      </c>
      <c r="D136" s="124" t="s">
        <v>176</v>
      </c>
      <c r="E136" s="126" t="s">
        <v>231</v>
      </c>
      <c r="F136" s="1"/>
    </row>
    <row r="137" spans="1:6" s="2" customFormat="1" x14ac:dyDescent="0.2">
      <c r="A137" s="121">
        <v>45420</v>
      </c>
      <c r="B137" s="122">
        <v>57.43</v>
      </c>
      <c r="C137" s="125" t="s">
        <v>232</v>
      </c>
      <c r="D137" s="124" t="s">
        <v>181</v>
      </c>
      <c r="E137" s="126" t="s">
        <v>190</v>
      </c>
      <c r="F137" s="1"/>
    </row>
    <row r="138" spans="1:6" s="2" customFormat="1" x14ac:dyDescent="0.2">
      <c r="A138" s="121">
        <v>45422</v>
      </c>
      <c r="B138" s="122">
        <v>40.869999999999997</v>
      </c>
      <c r="C138" s="125" t="s">
        <v>232</v>
      </c>
      <c r="D138" s="124" t="s">
        <v>180</v>
      </c>
      <c r="E138" s="126" t="s">
        <v>231</v>
      </c>
      <c r="F138" s="1"/>
    </row>
    <row r="139" spans="1:6" s="2" customFormat="1" x14ac:dyDescent="0.2">
      <c r="A139" s="121">
        <v>45422</v>
      </c>
      <c r="B139" s="122">
        <v>10.64</v>
      </c>
      <c r="C139" s="125" t="s">
        <v>232</v>
      </c>
      <c r="D139" s="124" t="s">
        <v>180</v>
      </c>
      <c r="E139" s="126" t="s">
        <v>214</v>
      </c>
      <c r="F139" s="1"/>
    </row>
    <row r="140" spans="1:6" s="2" customFormat="1" x14ac:dyDescent="0.2">
      <c r="A140" s="121">
        <v>45422</v>
      </c>
      <c r="B140" s="122">
        <v>57.89</v>
      </c>
      <c r="C140" s="125" t="s">
        <v>232</v>
      </c>
      <c r="D140" s="124" t="s">
        <v>181</v>
      </c>
      <c r="E140" s="126" t="s">
        <v>190</v>
      </c>
      <c r="F140" s="1"/>
    </row>
    <row r="141" spans="1:6" s="2" customFormat="1" x14ac:dyDescent="0.2">
      <c r="A141" s="121">
        <v>45426</v>
      </c>
      <c r="B141" s="122">
        <f>339.13+5</f>
        <v>344.13</v>
      </c>
      <c r="C141" s="125" t="s">
        <v>211</v>
      </c>
      <c r="D141" s="124" t="s">
        <v>203</v>
      </c>
      <c r="E141" s="126" t="s">
        <v>204</v>
      </c>
      <c r="F141" s="1"/>
    </row>
    <row r="142" spans="1:6" s="2" customFormat="1" x14ac:dyDescent="0.2">
      <c r="A142" s="121">
        <v>45426</v>
      </c>
      <c r="B142" s="122">
        <v>3.48</v>
      </c>
      <c r="C142" s="125" t="s">
        <v>211</v>
      </c>
      <c r="D142" s="124" t="s">
        <v>233</v>
      </c>
      <c r="E142" s="126" t="s">
        <v>204</v>
      </c>
      <c r="F142" s="1"/>
    </row>
    <row r="143" spans="1:6" s="2" customFormat="1" x14ac:dyDescent="0.2">
      <c r="A143" s="121">
        <v>45427</v>
      </c>
      <c r="B143" s="122">
        <f>484.08+10+15-459.08</f>
        <v>50</v>
      </c>
      <c r="C143" s="125" t="s">
        <v>211</v>
      </c>
      <c r="D143" s="124" t="s">
        <v>176</v>
      </c>
      <c r="E143" s="126" t="s">
        <v>204</v>
      </c>
      <c r="F143" s="1"/>
    </row>
    <row r="144" spans="1:6" s="2" customFormat="1" x14ac:dyDescent="0.2">
      <c r="A144" s="121">
        <v>45427</v>
      </c>
      <c r="B144" s="122">
        <v>21.65</v>
      </c>
      <c r="C144" s="125" t="s">
        <v>211</v>
      </c>
      <c r="D144" s="124" t="s">
        <v>180</v>
      </c>
      <c r="E144" s="126" t="s">
        <v>204</v>
      </c>
      <c r="F144" s="1"/>
    </row>
    <row r="145" spans="1:6" s="2" customFormat="1" x14ac:dyDescent="0.2">
      <c r="A145" s="121">
        <v>45427</v>
      </c>
      <c r="B145" s="122">
        <v>28.43</v>
      </c>
      <c r="C145" s="125" t="s">
        <v>211</v>
      </c>
      <c r="D145" s="124" t="s">
        <v>180</v>
      </c>
      <c r="E145" s="126" t="s">
        <v>204</v>
      </c>
      <c r="F145" s="1"/>
    </row>
    <row r="146" spans="1:6" s="2" customFormat="1" x14ac:dyDescent="0.2">
      <c r="A146" s="121">
        <v>45428</v>
      </c>
      <c r="B146" s="122">
        <v>303.17</v>
      </c>
      <c r="C146" s="125" t="s">
        <v>211</v>
      </c>
      <c r="D146" s="124" t="s">
        <v>176</v>
      </c>
      <c r="E146" s="126" t="s">
        <v>204</v>
      </c>
      <c r="F146" s="1"/>
    </row>
    <row r="147" spans="1:6" s="2" customFormat="1" x14ac:dyDescent="0.2">
      <c r="A147" s="121">
        <v>45439</v>
      </c>
      <c r="B147" s="122">
        <f>382.87+5</f>
        <v>387.87</v>
      </c>
      <c r="C147" s="125" t="s">
        <v>202</v>
      </c>
      <c r="D147" s="124" t="s">
        <v>212</v>
      </c>
      <c r="E147" s="126" t="s">
        <v>204</v>
      </c>
      <c r="F147" s="1"/>
    </row>
    <row r="148" spans="1:6" s="2" customFormat="1" x14ac:dyDescent="0.2">
      <c r="A148" s="121">
        <v>45439</v>
      </c>
      <c r="B148" s="122">
        <f>338.68+15+20-177.28</f>
        <v>196.4</v>
      </c>
      <c r="C148" s="125" t="s">
        <v>202</v>
      </c>
      <c r="D148" s="124" t="s">
        <v>176</v>
      </c>
      <c r="E148" s="126" t="s">
        <v>204</v>
      </c>
      <c r="F148" s="1"/>
    </row>
    <row r="149" spans="1:6" s="2" customFormat="1" x14ac:dyDescent="0.2">
      <c r="A149" s="121">
        <v>45439</v>
      </c>
      <c r="B149" s="122">
        <v>84.68</v>
      </c>
      <c r="C149" s="125" t="s">
        <v>202</v>
      </c>
      <c r="D149" s="124" t="s">
        <v>181</v>
      </c>
      <c r="E149" s="126" t="s">
        <v>204</v>
      </c>
      <c r="F149" s="1"/>
    </row>
    <row r="150" spans="1:6" s="2" customFormat="1" x14ac:dyDescent="0.2">
      <c r="A150" s="121">
        <v>45440</v>
      </c>
      <c r="B150" s="122">
        <v>20.350000000000001</v>
      </c>
      <c r="C150" s="125" t="s">
        <v>202</v>
      </c>
      <c r="D150" s="124" t="s">
        <v>180</v>
      </c>
      <c r="E150" s="126" t="s">
        <v>204</v>
      </c>
      <c r="F150" s="1"/>
    </row>
    <row r="151" spans="1:6" s="2" customFormat="1" x14ac:dyDescent="0.2">
      <c r="A151" s="121">
        <v>45440</v>
      </c>
      <c r="B151" s="122">
        <v>20.87</v>
      </c>
      <c r="C151" s="125" t="s">
        <v>202</v>
      </c>
      <c r="D151" s="124" t="s">
        <v>180</v>
      </c>
      <c r="E151" s="126" t="s">
        <v>204</v>
      </c>
      <c r="F151" s="1"/>
    </row>
    <row r="152" spans="1:6" s="2" customFormat="1" x14ac:dyDescent="0.2">
      <c r="A152" s="121">
        <v>45441</v>
      </c>
      <c r="B152" s="122">
        <f>191.3+5</f>
        <v>196.3</v>
      </c>
      <c r="C152" s="125" t="s">
        <v>234</v>
      </c>
      <c r="D152" s="124" t="s">
        <v>235</v>
      </c>
      <c r="E152" s="126" t="s">
        <v>208</v>
      </c>
      <c r="F152" s="1"/>
    </row>
    <row r="153" spans="1:6" s="2" customFormat="1" x14ac:dyDescent="0.2">
      <c r="A153" s="121">
        <v>45441</v>
      </c>
      <c r="B153" s="122">
        <f>261.47+20+15</f>
        <v>296.47000000000003</v>
      </c>
      <c r="C153" s="125" t="s">
        <v>234</v>
      </c>
      <c r="D153" s="124" t="s">
        <v>176</v>
      </c>
      <c r="E153" s="126" t="s">
        <v>208</v>
      </c>
      <c r="F153" s="1"/>
    </row>
    <row r="154" spans="1:6" s="2" customFormat="1" x14ac:dyDescent="0.2">
      <c r="A154" s="121">
        <v>45441</v>
      </c>
      <c r="B154" s="122">
        <f>87.64/2</f>
        <v>43.82</v>
      </c>
      <c r="C154" s="125" t="s">
        <v>234</v>
      </c>
      <c r="D154" s="124" t="s">
        <v>180</v>
      </c>
      <c r="E154" s="126" t="s">
        <v>192</v>
      </c>
      <c r="F154" s="1"/>
    </row>
    <row r="155" spans="1:6" s="2" customFormat="1" x14ac:dyDescent="0.2">
      <c r="A155" s="121">
        <v>45442</v>
      </c>
      <c r="B155" s="122">
        <v>10.47</v>
      </c>
      <c r="C155" s="125" t="s">
        <v>234</v>
      </c>
      <c r="D155" s="124" t="s">
        <v>180</v>
      </c>
      <c r="E155" s="126" t="s">
        <v>208</v>
      </c>
      <c r="F155" s="1"/>
    </row>
    <row r="156" spans="1:6" s="2" customFormat="1" x14ac:dyDescent="0.2">
      <c r="A156" s="121">
        <v>45442</v>
      </c>
      <c r="B156" s="122">
        <v>56.75</v>
      </c>
      <c r="C156" s="125" t="s">
        <v>234</v>
      </c>
      <c r="D156" s="124" t="s">
        <v>181</v>
      </c>
      <c r="E156" s="126" t="s">
        <v>190</v>
      </c>
      <c r="F156" s="1"/>
    </row>
    <row r="157" spans="1:6" s="2" customFormat="1" x14ac:dyDescent="0.2">
      <c r="A157" s="121">
        <v>45448</v>
      </c>
      <c r="B157" s="122">
        <v>509.45</v>
      </c>
      <c r="C157" s="125" t="s">
        <v>236</v>
      </c>
      <c r="D157" s="124" t="s">
        <v>176</v>
      </c>
      <c r="E157" s="126" t="s">
        <v>214</v>
      </c>
      <c r="F157" s="1"/>
    </row>
    <row r="158" spans="1:6" s="2" customFormat="1" x14ac:dyDescent="0.2">
      <c r="A158" s="121">
        <v>45448</v>
      </c>
      <c r="B158" s="122">
        <v>34.049999999999997</v>
      </c>
      <c r="C158" s="125" t="s">
        <v>236</v>
      </c>
      <c r="D158" s="124" t="s">
        <v>181</v>
      </c>
      <c r="E158" s="126" t="s">
        <v>214</v>
      </c>
      <c r="F158" s="1"/>
    </row>
    <row r="159" spans="1:6" s="2" customFormat="1" x14ac:dyDescent="0.2">
      <c r="A159" s="121">
        <v>45448</v>
      </c>
      <c r="B159" s="122">
        <v>23.25</v>
      </c>
      <c r="C159" s="125" t="s">
        <v>236</v>
      </c>
      <c r="D159" s="124" t="s">
        <v>181</v>
      </c>
      <c r="E159" s="126" t="s">
        <v>214</v>
      </c>
      <c r="F159" s="1"/>
    </row>
    <row r="160" spans="1:6" s="2" customFormat="1" x14ac:dyDescent="0.2">
      <c r="A160" s="121">
        <v>45449</v>
      </c>
      <c r="B160" s="122">
        <v>25.22</v>
      </c>
      <c r="C160" s="125" t="s">
        <v>236</v>
      </c>
      <c r="D160" s="124" t="s">
        <v>180</v>
      </c>
      <c r="E160" s="126" t="s">
        <v>214</v>
      </c>
      <c r="F160" s="1"/>
    </row>
    <row r="161" spans="1:6" s="2" customFormat="1" x14ac:dyDescent="0.2">
      <c r="A161" s="121">
        <v>45449</v>
      </c>
      <c r="B161" s="122">
        <v>47.83</v>
      </c>
      <c r="C161" s="125" t="s">
        <v>236</v>
      </c>
      <c r="D161" s="124" t="s">
        <v>189</v>
      </c>
      <c r="E161" s="126" t="s">
        <v>190</v>
      </c>
      <c r="F161" s="1"/>
    </row>
    <row r="162" spans="1:6" s="2" customFormat="1" x14ac:dyDescent="0.2">
      <c r="A162" s="121">
        <v>45459</v>
      </c>
      <c r="B162" s="122">
        <v>40.9</v>
      </c>
      <c r="C162" s="125" t="s">
        <v>211</v>
      </c>
      <c r="D162" s="124" t="s">
        <v>181</v>
      </c>
      <c r="E162" s="126" t="s">
        <v>190</v>
      </c>
      <c r="F162" s="1"/>
    </row>
    <row r="163" spans="1:6" s="2" customFormat="1" x14ac:dyDescent="0.2">
      <c r="A163" s="121">
        <v>45460</v>
      </c>
      <c r="B163" s="122">
        <f>382.87+5</f>
        <v>387.87</v>
      </c>
      <c r="C163" s="125" t="s">
        <v>211</v>
      </c>
      <c r="D163" s="124" t="s">
        <v>212</v>
      </c>
      <c r="E163" s="126" t="s">
        <v>204</v>
      </c>
      <c r="F163" s="1"/>
    </row>
    <row r="164" spans="1:6" s="2" customFormat="1" x14ac:dyDescent="0.2">
      <c r="A164" s="121">
        <v>45460</v>
      </c>
      <c r="B164" s="122">
        <f>200.74+163.56+20</f>
        <v>384.3</v>
      </c>
      <c r="C164" s="125" t="s">
        <v>211</v>
      </c>
      <c r="D164" s="124" t="s">
        <v>176</v>
      </c>
      <c r="E164" s="126" t="s">
        <v>204</v>
      </c>
      <c r="F164" s="1"/>
    </row>
    <row r="165" spans="1:6" s="2" customFormat="1" x14ac:dyDescent="0.2">
      <c r="A165" s="121">
        <v>45460</v>
      </c>
      <c r="B165" s="122">
        <v>15.57</v>
      </c>
      <c r="C165" s="125" t="s">
        <v>211</v>
      </c>
      <c r="D165" s="124" t="s">
        <v>180</v>
      </c>
      <c r="E165" s="126" t="s">
        <v>204</v>
      </c>
      <c r="F165" s="1"/>
    </row>
    <row r="166" spans="1:6" s="2" customFormat="1" x14ac:dyDescent="0.2">
      <c r="A166" s="121">
        <v>45461</v>
      </c>
      <c r="B166" s="122">
        <v>14.96</v>
      </c>
      <c r="C166" s="125" t="s">
        <v>211</v>
      </c>
      <c r="D166" s="124" t="s">
        <v>180</v>
      </c>
      <c r="E166" s="126" t="s">
        <v>204</v>
      </c>
      <c r="F166" s="1"/>
    </row>
    <row r="167" spans="1:6" s="2" customFormat="1" x14ac:dyDescent="0.2">
      <c r="A167" s="121">
        <v>45461</v>
      </c>
      <c r="B167" s="122">
        <v>8.4499999999999993</v>
      </c>
      <c r="C167" s="125" t="s">
        <v>237</v>
      </c>
      <c r="D167" s="124" t="s">
        <v>181</v>
      </c>
      <c r="E167" s="126" t="s">
        <v>204</v>
      </c>
      <c r="F167" s="1"/>
    </row>
    <row r="168" spans="1:6" s="2" customFormat="1" x14ac:dyDescent="0.2">
      <c r="A168" s="121">
        <v>45462</v>
      </c>
      <c r="B168" s="122">
        <v>84.7</v>
      </c>
      <c r="C168" s="125" t="s">
        <v>211</v>
      </c>
      <c r="D168" s="124" t="s">
        <v>181</v>
      </c>
      <c r="E168" s="126" t="s">
        <v>190</v>
      </c>
      <c r="F168" s="1"/>
    </row>
    <row r="169" spans="1:6" s="2" customFormat="1" x14ac:dyDescent="0.2">
      <c r="A169" s="121">
        <v>45467</v>
      </c>
      <c r="B169" s="122">
        <f>187.04+5</f>
        <v>192.04</v>
      </c>
      <c r="C169" s="125" t="s">
        <v>202</v>
      </c>
      <c r="D169" s="124" t="s">
        <v>212</v>
      </c>
      <c r="E169" s="126" t="s">
        <v>204</v>
      </c>
      <c r="F169" s="1"/>
    </row>
    <row r="170" spans="1:6" s="2" customFormat="1" x14ac:dyDescent="0.2">
      <c r="A170" s="121">
        <v>45467</v>
      </c>
      <c r="B170" s="122">
        <f>306.47+4</f>
        <v>310.47000000000003</v>
      </c>
      <c r="C170" s="125" t="s">
        <v>202</v>
      </c>
      <c r="D170" s="124" t="s">
        <v>176</v>
      </c>
      <c r="E170" s="126" t="s">
        <v>204</v>
      </c>
      <c r="F170" s="1"/>
    </row>
    <row r="171" spans="1:6" s="2" customFormat="1" x14ac:dyDescent="0.2">
      <c r="A171" s="121">
        <v>45468</v>
      </c>
      <c r="B171" s="122">
        <v>81.739999999999995</v>
      </c>
      <c r="C171" s="125" t="s">
        <v>202</v>
      </c>
      <c r="D171" s="124" t="s">
        <v>189</v>
      </c>
      <c r="E171" s="126" t="s">
        <v>190</v>
      </c>
      <c r="F171" s="1"/>
    </row>
    <row r="172" spans="1:6" s="2" customFormat="1" x14ac:dyDescent="0.2">
      <c r="A172" s="121">
        <v>45468</v>
      </c>
      <c r="B172" s="122">
        <v>19.57</v>
      </c>
      <c r="C172" s="125" t="s">
        <v>238</v>
      </c>
      <c r="D172" s="124" t="s">
        <v>181</v>
      </c>
      <c r="E172" s="126" t="s">
        <v>204</v>
      </c>
      <c r="F172" s="1"/>
    </row>
    <row r="173" spans="1:6" s="2" customFormat="1" x14ac:dyDescent="0.2">
      <c r="A173" s="121">
        <v>45468</v>
      </c>
      <c r="B173" s="122">
        <v>30.43</v>
      </c>
      <c r="C173" s="125" t="s">
        <v>238</v>
      </c>
      <c r="D173" s="124" t="s">
        <v>181</v>
      </c>
      <c r="E173" s="126" t="s">
        <v>204</v>
      </c>
      <c r="F173" s="1"/>
    </row>
    <row r="174" spans="1:6" s="2" customFormat="1" hidden="1" x14ac:dyDescent="0.2">
      <c r="A174" s="108"/>
      <c r="B174" s="109"/>
      <c r="C174" s="110"/>
      <c r="D174" s="110"/>
      <c r="E174" s="111"/>
      <c r="F174" s="1"/>
    </row>
    <row r="175" spans="1:6" ht="19.5" customHeight="1" x14ac:dyDescent="0.2">
      <c r="A175" s="71" t="s">
        <v>127</v>
      </c>
      <c r="B175" s="72">
        <f>SUM(B34:B174)</f>
        <v>20517.201826086963</v>
      </c>
      <c r="C175" s="117" t="str">
        <f>IF(SUBTOTAL(3,B34:B174)=SUBTOTAL(103,B34:B174),'Summary and sign-off'!$A$48,'Summary and sign-off'!$A$49)</f>
        <v>Check - there are no hidden rows with data</v>
      </c>
      <c r="D175" s="151" t="str">
        <f>IF('Summary and sign-off'!F56='Summary and sign-off'!F54,'Summary and sign-off'!A51,'Summary and sign-off'!A50)</f>
        <v>Check - each entry provides sufficient information</v>
      </c>
      <c r="E175" s="151"/>
      <c r="F175" s="17"/>
    </row>
    <row r="176" spans="1:6" ht="10.5" customHeight="1" x14ac:dyDescent="0.2">
      <c r="A176" s="17"/>
      <c r="B176" s="19"/>
      <c r="C176" s="17"/>
      <c r="D176" s="17"/>
      <c r="E176" s="17"/>
      <c r="F176" s="17"/>
    </row>
    <row r="177" spans="1:6" ht="24.75" customHeight="1" x14ac:dyDescent="0.2">
      <c r="A177" s="153" t="s">
        <v>128</v>
      </c>
      <c r="B177" s="153"/>
      <c r="C177" s="153"/>
      <c r="D177" s="153"/>
      <c r="E177" s="153"/>
      <c r="F177" s="17"/>
    </row>
    <row r="178" spans="1:6" ht="27" customHeight="1" x14ac:dyDescent="0.2">
      <c r="A178" s="24" t="s">
        <v>119</v>
      </c>
      <c r="B178" s="24" t="s">
        <v>63</v>
      </c>
      <c r="C178" s="24" t="s">
        <v>129</v>
      </c>
      <c r="D178" s="24" t="s">
        <v>130</v>
      </c>
      <c r="E178" s="24" t="s">
        <v>123</v>
      </c>
      <c r="F178" s="28"/>
    </row>
    <row r="179" spans="1:6" s="2" customFormat="1" x14ac:dyDescent="0.2">
      <c r="A179" s="121">
        <v>45196</v>
      </c>
      <c r="B179" s="122">
        <v>8.35</v>
      </c>
      <c r="C179" s="125" t="s">
        <v>239</v>
      </c>
      <c r="D179" s="124" t="s">
        <v>189</v>
      </c>
      <c r="E179" s="126" t="s">
        <v>190</v>
      </c>
      <c r="F179" s="1"/>
    </row>
    <row r="180" spans="1:6" s="2" customFormat="1" x14ac:dyDescent="0.2">
      <c r="A180" s="121">
        <v>45226</v>
      </c>
      <c r="B180" s="122">
        <v>17.39</v>
      </c>
      <c r="C180" s="125" t="s">
        <v>240</v>
      </c>
      <c r="D180" s="124" t="s">
        <v>189</v>
      </c>
      <c r="E180" s="126" t="s">
        <v>190</v>
      </c>
      <c r="F180" s="1"/>
    </row>
    <row r="181" spans="1:6" s="2" customFormat="1" x14ac:dyDescent="0.2">
      <c r="A181" s="121">
        <v>45393</v>
      </c>
      <c r="B181" s="122">
        <v>12.7</v>
      </c>
      <c r="C181" s="125" t="s">
        <v>241</v>
      </c>
      <c r="D181" s="124" t="s">
        <v>181</v>
      </c>
      <c r="E181" s="127" t="s">
        <v>190</v>
      </c>
      <c r="F181" s="1"/>
    </row>
    <row r="182" spans="1:6" s="2" customFormat="1" x14ac:dyDescent="0.2">
      <c r="A182" s="121">
        <v>45457</v>
      </c>
      <c r="B182" s="122">
        <v>8.6999999999999993</v>
      </c>
      <c r="C182" s="125" t="s">
        <v>242</v>
      </c>
      <c r="D182" s="124" t="s">
        <v>189</v>
      </c>
      <c r="E182" s="126" t="s">
        <v>190</v>
      </c>
      <c r="F182" s="1"/>
    </row>
    <row r="183" spans="1:6" s="2" customFormat="1" x14ac:dyDescent="0.2">
      <c r="A183" s="121">
        <v>45457</v>
      </c>
      <c r="B183" s="122">
        <v>16.170000000000002</v>
      </c>
      <c r="C183" s="125" t="s">
        <v>242</v>
      </c>
      <c r="D183" s="124" t="s">
        <v>189</v>
      </c>
      <c r="E183" s="126" t="s">
        <v>190</v>
      </c>
      <c r="F183" s="1"/>
    </row>
    <row r="184" spans="1:6" s="2" customFormat="1" hidden="1" x14ac:dyDescent="0.2">
      <c r="A184" s="94"/>
      <c r="B184" s="95"/>
      <c r="C184" s="96"/>
      <c r="D184" s="96"/>
      <c r="E184" s="97"/>
      <c r="F184" s="1"/>
    </row>
    <row r="185" spans="1:6" ht="19.5" customHeight="1" x14ac:dyDescent="0.2">
      <c r="A185" s="71" t="s">
        <v>131</v>
      </c>
      <c r="B185" s="72">
        <f>SUM(B179:B184)</f>
        <v>63.31</v>
      </c>
      <c r="C185" s="117" t="str">
        <f>IF(SUBTOTAL(3,B179:B184)=SUBTOTAL(103,B179:B184),'Summary and sign-off'!$A$48,'Summary and sign-off'!$A$49)</f>
        <v>Check - there are no hidden rows with data</v>
      </c>
      <c r="D185" s="151" t="str">
        <f>IF('Summary and sign-off'!F57='Summary and sign-off'!F54,'Summary and sign-off'!A51,'Summary and sign-off'!A50)</f>
        <v>Check - each entry provides sufficient information</v>
      </c>
      <c r="E185" s="151"/>
      <c r="F185" s="17"/>
    </row>
    <row r="186" spans="1:6" ht="10.5" customHeight="1" x14ac:dyDescent="0.2">
      <c r="A186" s="17"/>
      <c r="B186" s="57"/>
      <c r="C186" s="19"/>
      <c r="D186" s="17"/>
      <c r="E186" s="17"/>
      <c r="F186" s="17"/>
    </row>
    <row r="187" spans="1:6" ht="34.5" customHeight="1" x14ac:dyDescent="0.2">
      <c r="A187" s="31" t="s">
        <v>132</v>
      </c>
      <c r="B187" s="58">
        <f>B30+B175+B185</f>
        <v>36461.511826086964</v>
      </c>
      <c r="C187" s="32"/>
      <c r="D187" s="32"/>
      <c r="E187" s="32"/>
      <c r="F187" s="17"/>
    </row>
    <row r="188" spans="1:6" x14ac:dyDescent="0.2">
      <c r="A188" s="17"/>
      <c r="B188" s="19"/>
      <c r="C188" s="17"/>
      <c r="D188" s="17"/>
      <c r="E188" s="17"/>
      <c r="F188" s="17"/>
    </row>
    <row r="189" spans="1:6" x14ac:dyDescent="0.2">
      <c r="A189" s="18" t="s">
        <v>74</v>
      </c>
      <c r="B189" s="19"/>
      <c r="C189" s="17"/>
      <c r="D189" s="17"/>
      <c r="E189" s="17"/>
      <c r="F189" s="17"/>
    </row>
    <row r="190" spans="1:6" ht="12.6" customHeight="1" x14ac:dyDescent="0.2">
      <c r="A190" s="20" t="s">
        <v>133</v>
      </c>
      <c r="F190" s="17"/>
    </row>
    <row r="191" spans="1:6" ht="12.95" customHeight="1" x14ac:dyDescent="0.2">
      <c r="A191" s="20" t="s">
        <v>134</v>
      </c>
      <c r="B191" s="17"/>
      <c r="D191" s="17"/>
      <c r="F191" s="17"/>
    </row>
    <row r="192" spans="1:6" x14ac:dyDescent="0.2">
      <c r="A192" s="20" t="s">
        <v>135</v>
      </c>
      <c r="F192" s="17"/>
    </row>
    <row r="193" spans="1:6" x14ac:dyDescent="0.2">
      <c r="A193" s="20" t="s">
        <v>80</v>
      </c>
      <c r="B193" s="19"/>
      <c r="C193" s="17"/>
      <c r="D193" s="17"/>
      <c r="E193" s="17"/>
      <c r="F193" s="17"/>
    </row>
    <row r="194" spans="1:6" ht="12.95" customHeight="1" x14ac:dyDescent="0.2">
      <c r="A194" s="20" t="s">
        <v>136</v>
      </c>
      <c r="B194" s="17"/>
      <c r="D194" s="17"/>
      <c r="F194" s="17"/>
    </row>
    <row r="195" spans="1:6" x14ac:dyDescent="0.2">
      <c r="A195" s="20" t="s">
        <v>137</v>
      </c>
      <c r="F195" s="17"/>
    </row>
    <row r="196" spans="1:6" x14ac:dyDescent="0.2">
      <c r="A196" s="20" t="s">
        <v>138</v>
      </c>
      <c r="B196" s="20"/>
      <c r="C196" s="20"/>
      <c r="D196" s="20"/>
      <c r="F196" s="17"/>
    </row>
    <row r="197" spans="1:6" x14ac:dyDescent="0.2">
      <c r="A197" s="26"/>
      <c r="B197" s="17"/>
      <c r="C197" s="17"/>
      <c r="D197" s="17"/>
      <c r="E197" s="17"/>
      <c r="F197" s="17"/>
    </row>
    <row r="198" spans="1:6" hidden="1" x14ac:dyDescent="0.2">
      <c r="A198" s="26"/>
      <c r="B198" s="17"/>
      <c r="C198" s="17"/>
      <c r="D198" s="17"/>
      <c r="E198" s="17"/>
      <c r="F198" s="17"/>
    </row>
    <row r="200" spans="1:6" x14ac:dyDescent="0.2"/>
    <row r="203" spans="1:6" ht="12.75" hidden="1" customHeight="1" x14ac:dyDescent="0.2"/>
    <row r="205" spans="1:6" x14ac:dyDescent="0.2"/>
    <row r="206" spans="1:6" hidden="1" x14ac:dyDescent="0.2">
      <c r="A206" s="26"/>
      <c r="B206" s="17"/>
      <c r="C206" s="17"/>
      <c r="D206" s="17"/>
      <c r="E206" s="17"/>
      <c r="F206" s="17"/>
    </row>
    <row r="207" spans="1:6" hidden="1" x14ac:dyDescent="0.2">
      <c r="A207" s="26"/>
      <c r="B207" s="17"/>
      <c r="C207" s="17"/>
      <c r="D207" s="17"/>
      <c r="E207" s="17"/>
      <c r="F207" s="17"/>
    </row>
    <row r="208" spans="1:6" hidden="1" x14ac:dyDescent="0.2">
      <c r="A208" s="26"/>
      <c r="B208" s="17"/>
      <c r="C208" s="17"/>
      <c r="D208" s="17"/>
      <c r="E208" s="17"/>
      <c r="F208" s="17"/>
    </row>
    <row r="209" spans="1:6" hidden="1" x14ac:dyDescent="0.2">
      <c r="A209" s="26"/>
      <c r="B209" s="17"/>
      <c r="C209" s="17"/>
      <c r="D209" s="17"/>
      <c r="E209" s="17"/>
      <c r="F209" s="17"/>
    </row>
    <row r="210" spans="1:6" hidden="1" x14ac:dyDescent="0.2">
      <c r="A210" s="26"/>
      <c r="B210" s="17"/>
      <c r="C210" s="17"/>
      <c r="D210" s="17"/>
      <c r="E210" s="17"/>
      <c r="F210" s="17"/>
    </row>
    <row r="212" spans="1:6" x14ac:dyDescent="0.2"/>
    <row r="213" spans="1:6" x14ac:dyDescent="0.2"/>
    <row r="214" spans="1:6" x14ac:dyDescent="0.2"/>
  </sheetData>
  <sheetProtection sheet="1" formatCells="0" formatRows="0" insertColumns="0" insertRows="0" deleteRows="0"/>
  <mergeCells count="15">
    <mergeCell ref="B7:E7"/>
    <mergeCell ref="B5:E5"/>
    <mergeCell ref="D185:E185"/>
    <mergeCell ref="A1:E1"/>
    <mergeCell ref="A32:E32"/>
    <mergeCell ref="A177:E177"/>
    <mergeCell ref="B2:E2"/>
    <mergeCell ref="B3:E3"/>
    <mergeCell ref="B4:E4"/>
    <mergeCell ref="A8:E8"/>
    <mergeCell ref="A9:E9"/>
    <mergeCell ref="B6:E6"/>
    <mergeCell ref="D30:E30"/>
    <mergeCell ref="D175:E175"/>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34:A165 A173:A174 A12:A20 A29 A179 A184"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78 A33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2 A168 A24 A21 A23 A25 A26 A27 A28 A166 A167 A169 A170 A171 A172 A180 A181 A182 A183"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16"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B34:B174 B12:B29 B179:B184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1"/>
  <sheetViews>
    <sheetView zoomScaleNormal="100" workbookViewId="0">
      <selection activeCell="C20" sqref="C20"/>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52" t="s">
        <v>110</v>
      </c>
      <c r="B1" s="152"/>
      <c r="C1" s="152"/>
      <c r="D1" s="152"/>
      <c r="E1" s="152"/>
    </row>
    <row r="2" spans="1:6" ht="21" customHeight="1" x14ac:dyDescent="0.2">
      <c r="A2" s="3" t="s">
        <v>111</v>
      </c>
      <c r="B2" s="150" t="str">
        <f>'Summary and sign-off'!B2:F2</f>
        <v>NZ Transport Agency Waka Kotahi</v>
      </c>
      <c r="C2" s="150"/>
      <c r="D2" s="150"/>
      <c r="E2" s="150"/>
    </row>
    <row r="3" spans="1:6" ht="31.5" x14ac:dyDescent="0.2">
      <c r="A3" s="3" t="s">
        <v>112</v>
      </c>
      <c r="B3" s="150" t="str">
        <f>'Summary and sign-off'!B3:F3</f>
        <v>Nicole Rosie</v>
      </c>
      <c r="C3" s="150"/>
      <c r="D3" s="150"/>
      <c r="E3" s="150"/>
    </row>
    <row r="4" spans="1:6" ht="21" customHeight="1" x14ac:dyDescent="0.2">
      <c r="A4" s="3" t="s">
        <v>113</v>
      </c>
      <c r="B4" s="150">
        <f>'Summary and sign-off'!B4:F4</f>
        <v>45108</v>
      </c>
      <c r="C4" s="150"/>
      <c r="D4" s="150"/>
      <c r="E4" s="150"/>
    </row>
    <row r="5" spans="1:6" ht="21" customHeight="1" x14ac:dyDescent="0.2">
      <c r="A5" s="3" t="s">
        <v>114</v>
      </c>
      <c r="B5" s="150">
        <f>'Summary and sign-off'!B5:F5</f>
        <v>45473</v>
      </c>
      <c r="C5" s="150"/>
      <c r="D5" s="150"/>
      <c r="E5" s="150"/>
    </row>
    <row r="6" spans="1:6" ht="21" customHeight="1" x14ac:dyDescent="0.2">
      <c r="A6" s="3" t="s">
        <v>115</v>
      </c>
      <c r="B6" s="144" t="s">
        <v>82</v>
      </c>
      <c r="C6" s="144"/>
      <c r="D6" s="144"/>
      <c r="E6" s="144"/>
    </row>
    <row r="7" spans="1:6" ht="21" customHeight="1" x14ac:dyDescent="0.2">
      <c r="A7" s="3" t="s">
        <v>56</v>
      </c>
      <c r="B7" s="144" t="s">
        <v>84</v>
      </c>
      <c r="C7" s="144"/>
      <c r="D7" s="144"/>
      <c r="E7" s="144"/>
    </row>
    <row r="8" spans="1:6" ht="35.25" customHeight="1" x14ac:dyDescent="0.25">
      <c r="A8" s="161" t="s">
        <v>139</v>
      </c>
      <c r="B8" s="161"/>
      <c r="C8" s="162"/>
      <c r="D8" s="162"/>
      <c r="E8" s="162"/>
      <c r="F8" s="27"/>
    </row>
    <row r="9" spans="1:6" ht="35.25" customHeight="1" x14ac:dyDescent="0.25">
      <c r="A9" s="159" t="s">
        <v>140</v>
      </c>
      <c r="B9" s="160"/>
      <c r="C9" s="160"/>
      <c r="D9" s="160"/>
      <c r="E9" s="160"/>
      <c r="F9" s="27"/>
    </row>
    <row r="10" spans="1:6" ht="27" customHeight="1" x14ac:dyDescent="0.2">
      <c r="A10" s="24" t="s">
        <v>141</v>
      </c>
      <c r="B10" s="24" t="s">
        <v>63</v>
      </c>
      <c r="C10" s="24" t="s">
        <v>142</v>
      </c>
      <c r="D10" s="24" t="s">
        <v>143</v>
      </c>
      <c r="E10" s="24" t="s">
        <v>123</v>
      </c>
      <c r="F10" s="20"/>
    </row>
    <row r="11" spans="1:6" s="139" customFormat="1" x14ac:dyDescent="0.2">
      <c r="A11" s="135">
        <v>45111</v>
      </c>
      <c r="B11" s="136">
        <v>75.83</v>
      </c>
      <c r="C11" s="137" t="s">
        <v>243</v>
      </c>
      <c r="D11" s="138" t="s">
        <v>244</v>
      </c>
      <c r="E11" s="138" t="s">
        <v>190</v>
      </c>
    </row>
    <row r="12" spans="1:6" s="139" customFormat="1" x14ac:dyDescent="0.2">
      <c r="A12" s="135">
        <v>45133</v>
      </c>
      <c r="B12" s="136">
        <v>48.1</v>
      </c>
      <c r="C12" s="140" t="s">
        <v>245</v>
      </c>
      <c r="D12" s="138" t="s">
        <v>246</v>
      </c>
      <c r="E12" s="141" t="s">
        <v>192</v>
      </c>
    </row>
    <row r="13" spans="1:6" s="139" customFormat="1" x14ac:dyDescent="0.2">
      <c r="A13" s="135">
        <v>45133</v>
      </c>
      <c r="B13" s="136">
        <v>9.2200000000000006</v>
      </c>
      <c r="C13" s="137" t="s">
        <v>247</v>
      </c>
      <c r="D13" s="138" t="s">
        <v>248</v>
      </c>
      <c r="E13" s="138" t="s">
        <v>190</v>
      </c>
    </row>
    <row r="14" spans="1:6" s="139" customFormat="1" x14ac:dyDescent="0.2">
      <c r="A14" s="135">
        <v>45159</v>
      </c>
      <c r="B14" s="136">
        <v>25.64</v>
      </c>
      <c r="C14" s="137" t="s">
        <v>249</v>
      </c>
      <c r="D14" s="138" t="s">
        <v>246</v>
      </c>
      <c r="E14" s="138" t="s">
        <v>190</v>
      </c>
    </row>
    <row r="15" spans="1:6" s="139" customFormat="1" x14ac:dyDescent="0.2">
      <c r="A15" s="135">
        <v>45161</v>
      </c>
      <c r="B15" s="136">
        <v>12.96</v>
      </c>
      <c r="C15" s="137" t="s">
        <v>250</v>
      </c>
      <c r="D15" s="138" t="s">
        <v>251</v>
      </c>
      <c r="E15" s="138" t="s">
        <v>198</v>
      </c>
    </row>
    <row r="16" spans="1:6" s="139" customFormat="1" x14ac:dyDescent="0.2">
      <c r="A16" s="135">
        <v>45161</v>
      </c>
      <c r="B16" s="136">
        <v>43.04</v>
      </c>
      <c r="C16" s="137" t="s">
        <v>252</v>
      </c>
      <c r="D16" s="138" t="s">
        <v>244</v>
      </c>
      <c r="E16" s="138" t="s">
        <v>198</v>
      </c>
    </row>
    <row r="17" spans="1:6" s="139" customFormat="1" x14ac:dyDescent="0.2">
      <c r="A17" s="135">
        <v>45173</v>
      </c>
      <c r="B17" s="136">
        <v>36.18</v>
      </c>
      <c r="C17" s="137" t="s">
        <v>253</v>
      </c>
      <c r="D17" s="138" t="s">
        <v>246</v>
      </c>
      <c r="E17" s="138" t="s">
        <v>190</v>
      </c>
    </row>
    <row r="18" spans="1:6" s="139" customFormat="1" ht="36" x14ac:dyDescent="0.2">
      <c r="A18" s="135">
        <v>45207</v>
      </c>
      <c r="B18" s="136">
        <v>272.77999999999997</v>
      </c>
      <c r="C18" s="137" t="s">
        <v>368</v>
      </c>
      <c r="D18" s="138" t="s">
        <v>254</v>
      </c>
      <c r="E18" s="138" t="s">
        <v>177</v>
      </c>
    </row>
    <row r="19" spans="1:6" s="139" customFormat="1" ht="36" x14ac:dyDescent="0.2">
      <c r="A19" s="135">
        <v>45209</v>
      </c>
      <c r="B19" s="136">
        <v>173.55</v>
      </c>
      <c r="C19" s="137" t="s">
        <v>369</v>
      </c>
      <c r="D19" s="138" t="s">
        <v>254</v>
      </c>
      <c r="E19" s="138" t="s">
        <v>177</v>
      </c>
    </row>
    <row r="20" spans="1:6" s="139" customFormat="1" ht="36" x14ac:dyDescent="0.2">
      <c r="A20" s="135">
        <v>45209</v>
      </c>
      <c r="B20" s="136">
        <v>148.79</v>
      </c>
      <c r="C20" s="137" t="s">
        <v>370</v>
      </c>
      <c r="D20" s="138" t="s">
        <v>255</v>
      </c>
      <c r="E20" s="138" t="s">
        <v>177</v>
      </c>
    </row>
    <row r="21" spans="1:6" s="139" customFormat="1" x14ac:dyDescent="0.2">
      <c r="A21" s="135">
        <v>45224</v>
      </c>
      <c r="B21" s="136">
        <v>33.1</v>
      </c>
      <c r="C21" s="137" t="s">
        <v>253</v>
      </c>
      <c r="D21" s="138" t="s">
        <v>246</v>
      </c>
      <c r="E21" s="141" t="s">
        <v>190</v>
      </c>
    </row>
    <row r="22" spans="1:6" s="139" customFormat="1" x14ac:dyDescent="0.2">
      <c r="A22" s="135">
        <v>45230</v>
      </c>
      <c r="B22" s="136">
        <v>60.87</v>
      </c>
      <c r="C22" s="140" t="s">
        <v>256</v>
      </c>
      <c r="D22" s="138" t="s">
        <v>244</v>
      </c>
      <c r="E22" s="141" t="s">
        <v>204</v>
      </c>
    </row>
    <row r="23" spans="1:6" s="139" customFormat="1" x14ac:dyDescent="0.2">
      <c r="A23" s="135">
        <v>45271</v>
      </c>
      <c r="B23" s="136">
        <v>14.02</v>
      </c>
      <c r="C23" s="140" t="s">
        <v>257</v>
      </c>
      <c r="D23" s="138" t="s">
        <v>248</v>
      </c>
      <c r="E23" s="138" t="s">
        <v>190</v>
      </c>
    </row>
    <row r="24" spans="1:6" s="139" customFormat="1" x14ac:dyDescent="0.2">
      <c r="A24" s="135">
        <v>45271</v>
      </c>
      <c r="B24" s="136">
        <v>435.65</v>
      </c>
      <c r="C24" s="140" t="s">
        <v>258</v>
      </c>
      <c r="D24" s="138" t="s">
        <v>259</v>
      </c>
      <c r="E24" s="141" t="s">
        <v>190</v>
      </c>
    </row>
    <row r="25" spans="1:6" s="139" customFormat="1" x14ac:dyDescent="0.2">
      <c r="A25" s="135">
        <v>45342</v>
      </c>
      <c r="B25" s="136">
        <v>42.57</v>
      </c>
      <c r="C25" s="140" t="s">
        <v>260</v>
      </c>
      <c r="D25" s="138" t="s">
        <v>261</v>
      </c>
      <c r="E25" s="141" t="s">
        <v>190</v>
      </c>
    </row>
    <row r="26" spans="1:6" s="139" customFormat="1" x14ac:dyDescent="0.2">
      <c r="A26" s="135">
        <v>45369</v>
      </c>
      <c r="B26" s="136">
        <v>60.87</v>
      </c>
      <c r="C26" s="137" t="s">
        <v>262</v>
      </c>
      <c r="D26" s="142" t="s">
        <v>263</v>
      </c>
      <c r="E26" s="142" t="s">
        <v>190</v>
      </c>
    </row>
    <row r="27" spans="1:6" s="139" customFormat="1" x14ac:dyDescent="0.2">
      <c r="A27" s="135">
        <v>45428</v>
      </c>
      <c r="B27" s="136">
        <v>48.17</v>
      </c>
      <c r="C27" s="137" t="s">
        <v>264</v>
      </c>
      <c r="D27" s="138" t="s">
        <v>246</v>
      </c>
      <c r="E27" s="141" t="s">
        <v>204</v>
      </c>
    </row>
    <row r="28" spans="1:6" s="139" customFormat="1" x14ac:dyDescent="0.2">
      <c r="A28" s="135">
        <v>45432</v>
      </c>
      <c r="B28" s="136">
        <v>8.9600000000000009</v>
      </c>
      <c r="C28" s="140" t="s">
        <v>265</v>
      </c>
      <c r="D28" s="138" t="s">
        <v>248</v>
      </c>
      <c r="E28" s="141" t="s">
        <v>190</v>
      </c>
    </row>
    <row r="29" spans="1:6" s="139" customFormat="1" x14ac:dyDescent="0.2">
      <c r="A29" s="135">
        <v>45467</v>
      </c>
      <c r="B29" s="136">
        <v>136.25</v>
      </c>
      <c r="C29" s="140" t="s">
        <v>202</v>
      </c>
      <c r="D29" s="138" t="s">
        <v>244</v>
      </c>
      <c r="E29" s="141" t="s">
        <v>204</v>
      </c>
    </row>
    <row r="30" spans="1:6" s="2" customFormat="1" ht="11.25" hidden="1" customHeight="1" x14ac:dyDescent="0.2">
      <c r="A30" s="98"/>
      <c r="B30" s="95"/>
      <c r="C30" s="99"/>
      <c r="D30" s="99"/>
      <c r="E30" s="100"/>
    </row>
    <row r="31" spans="1:6" ht="34.5" customHeight="1" x14ac:dyDescent="0.2">
      <c r="A31" s="53" t="s">
        <v>144</v>
      </c>
      <c r="B31" s="62">
        <f>SUM(B11:B30)</f>
        <v>1686.55</v>
      </c>
      <c r="C31" s="70" t="str">
        <f>IF(SUBTOTAL(3,B11:B30)=SUBTOTAL(103,B11:B30),'Summary and sign-off'!$A$48,'Summary and sign-off'!$A$49)</f>
        <v>Check - there are no hidden rows with data</v>
      </c>
      <c r="D31" s="151" t="str">
        <f>IF('Summary and sign-off'!F58='Summary and sign-off'!F54,'Summary and sign-off'!A51,'Summary and sign-off'!A50)</f>
        <v>Check - each entry provides sufficient information</v>
      </c>
      <c r="E31" s="151"/>
      <c r="F31" s="2"/>
    </row>
    <row r="32" spans="1:6" x14ac:dyDescent="0.2">
      <c r="A32" s="18"/>
      <c r="B32" s="17"/>
      <c r="C32" s="17"/>
      <c r="D32" s="17"/>
      <c r="E32" s="17"/>
    </row>
    <row r="33" spans="1:6" x14ac:dyDescent="0.2">
      <c r="A33" s="18" t="s">
        <v>74</v>
      </c>
      <c r="B33" s="19"/>
      <c r="C33" s="17"/>
      <c r="D33" s="17"/>
      <c r="E33" s="17"/>
    </row>
    <row r="34" spans="1:6" ht="12.75" customHeight="1" x14ac:dyDescent="0.2">
      <c r="A34" s="20" t="s">
        <v>145</v>
      </c>
      <c r="B34" s="20"/>
      <c r="C34" s="20"/>
      <c r="D34" s="20"/>
      <c r="E34" s="20"/>
    </row>
    <row r="35" spans="1:6" x14ac:dyDescent="0.2">
      <c r="A35" s="20" t="s">
        <v>146</v>
      </c>
      <c r="B35" s="20"/>
      <c r="C35" s="28"/>
      <c r="D35" s="28"/>
      <c r="E35" s="28"/>
    </row>
    <row r="36" spans="1:6" x14ac:dyDescent="0.2">
      <c r="A36" s="20" t="s">
        <v>80</v>
      </c>
      <c r="B36" s="19"/>
      <c r="C36" s="17"/>
      <c r="D36" s="17"/>
      <c r="E36" s="17"/>
      <c r="F36" s="17"/>
    </row>
    <row r="37" spans="1:6" x14ac:dyDescent="0.2">
      <c r="A37" s="20" t="s">
        <v>147</v>
      </c>
      <c r="B37" s="20"/>
      <c r="C37" s="28"/>
      <c r="D37" s="28"/>
      <c r="E37" s="28"/>
    </row>
    <row r="38" spans="1:6" ht="12.75" customHeight="1" x14ac:dyDescent="0.2">
      <c r="A38" s="20" t="s">
        <v>148</v>
      </c>
      <c r="B38" s="20"/>
      <c r="C38" s="22"/>
      <c r="D38" s="22"/>
      <c r="E38" s="22"/>
    </row>
    <row r="39" spans="1:6" x14ac:dyDescent="0.2">
      <c r="A39" s="17"/>
      <c r="B39" s="17"/>
      <c r="C39" s="17"/>
      <c r="D39" s="17"/>
      <c r="E39" s="17"/>
    </row>
    <row r="40" spans="1:6" x14ac:dyDescent="0.2"/>
    <row r="41" spans="1:6" x14ac:dyDescent="0.2"/>
    <row r="42" spans="1:6" x14ac:dyDescent="0.2"/>
    <row r="43" spans="1:6" x14ac:dyDescent="0.2"/>
    <row r="44" spans="1:6" x14ac:dyDescent="0.2"/>
    <row r="45" spans="1:6" x14ac:dyDescent="0.2"/>
    <row r="46" spans="1:6" x14ac:dyDescent="0.2"/>
    <row r="47" spans="1:6" x14ac:dyDescent="0.2"/>
    <row r="48" spans="1:6" x14ac:dyDescent="0.2"/>
    <row r="49" x14ac:dyDescent="0.2"/>
    <row r="50" x14ac:dyDescent="0.2"/>
    <row r="51" x14ac:dyDescent="0.2"/>
  </sheetData>
  <sheetProtection sheet="1" formatCells="0" insertRows="0" deleteRows="0"/>
  <mergeCells count="10">
    <mergeCell ref="D31:E31"/>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30"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9"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B11:B30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9"/>
  <sheetViews>
    <sheetView topLeftCell="A5" zoomScaleNormal="100" workbookViewId="0">
      <selection activeCell="C20" sqref="C20"/>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52" t="s">
        <v>110</v>
      </c>
      <c r="B1" s="152"/>
      <c r="C1" s="152"/>
      <c r="D1" s="152"/>
      <c r="E1" s="152"/>
    </row>
    <row r="2" spans="1:6" ht="21" customHeight="1" x14ac:dyDescent="0.2">
      <c r="A2" s="3" t="s">
        <v>111</v>
      </c>
      <c r="B2" s="150" t="str">
        <f>'Summary and sign-off'!B2:F2</f>
        <v>NZ Transport Agency Waka Kotahi</v>
      </c>
      <c r="C2" s="150"/>
      <c r="D2" s="150"/>
      <c r="E2" s="150"/>
    </row>
    <row r="3" spans="1:6" ht="31.5" x14ac:dyDescent="0.2">
      <c r="A3" s="3" t="s">
        <v>149</v>
      </c>
      <c r="B3" s="150" t="str">
        <f>'Summary and sign-off'!B3:F3</f>
        <v>Nicole Rosie</v>
      </c>
      <c r="C3" s="150"/>
      <c r="D3" s="150"/>
      <c r="E3" s="150"/>
    </row>
    <row r="4" spans="1:6" ht="21" customHeight="1" x14ac:dyDescent="0.2">
      <c r="A4" s="3" t="s">
        <v>113</v>
      </c>
      <c r="B4" s="150">
        <f>'Summary and sign-off'!B4:F4</f>
        <v>45108</v>
      </c>
      <c r="C4" s="150"/>
      <c r="D4" s="150"/>
      <c r="E4" s="150"/>
    </row>
    <row r="5" spans="1:6" ht="21" customHeight="1" x14ac:dyDescent="0.2">
      <c r="A5" s="3" t="s">
        <v>114</v>
      </c>
      <c r="B5" s="150">
        <f>'Summary and sign-off'!B5:F5</f>
        <v>45473</v>
      </c>
      <c r="C5" s="150"/>
      <c r="D5" s="150"/>
      <c r="E5" s="150"/>
    </row>
    <row r="6" spans="1:6" ht="21" customHeight="1" x14ac:dyDescent="0.2">
      <c r="A6" s="3" t="s">
        <v>115</v>
      </c>
      <c r="B6" s="144" t="s">
        <v>82</v>
      </c>
      <c r="C6" s="144"/>
      <c r="D6" s="144"/>
      <c r="E6" s="144"/>
      <c r="F6" s="23"/>
    </row>
    <row r="7" spans="1:6" ht="21" customHeight="1" x14ac:dyDescent="0.2">
      <c r="A7" s="3" t="s">
        <v>56</v>
      </c>
      <c r="B7" s="144" t="s">
        <v>84</v>
      </c>
      <c r="C7" s="144"/>
      <c r="D7" s="144"/>
      <c r="E7" s="144"/>
      <c r="F7" s="23"/>
    </row>
    <row r="8" spans="1:6" ht="35.25" customHeight="1" x14ac:dyDescent="0.2">
      <c r="A8" s="155" t="s">
        <v>150</v>
      </c>
      <c r="B8" s="155"/>
      <c r="C8" s="162"/>
      <c r="D8" s="162"/>
      <c r="E8" s="162"/>
    </row>
    <row r="9" spans="1:6" ht="35.25" customHeight="1" x14ac:dyDescent="0.2">
      <c r="A9" s="163" t="s">
        <v>151</v>
      </c>
      <c r="B9" s="164"/>
      <c r="C9" s="164"/>
      <c r="D9" s="164"/>
      <c r="E9" s="164"/>
    </row>
    <row r="10" spans="1:6" ht="27" customHeight="1" x14ac:dyDescent="0.2">
      <c r="A10" s="24" t="s">
        <v>119</v>
      </c>
      <c r="B10" s="24" t="s">
        <v>63</v>
      </c>
      <c r="C10" s="24" t="s">
        <v>152</v>
      </c>
      <c r="D10" s="24" t="s">
        <v>153</v>
      </c>
      <c r="E10" s="24" t="s">
        <v>123</v>
      </c>
      <c r="F10" s="20"/>
    </row>
    <row r="11" spans="1:6" s="2" customFormat="1" hidden="1" x14ac:dyDescent="0.2">
      <c r="A11" s="98"/>
      <c r="B11" s="95"/>
      <c r="C11" s="99"/>
      <c r="D11" s="99"/>
      <c r="E11" s="100"/>
    </row>
    <row r="12" spans="1:6" s="2" customFormat="1" x14ac:dyDescent="0.2">
      <c r="A12" s="121">
        <v>45113</v>
      </c>
      <c r="B12" s="122">
        <f>1050+1050</f>
        <v>2100</v>
      </c>
      <c r="C12" s="123" t="s">
        <v>266</v>
      </c>
      <c r="D12" s="127" t="s">
        <v>267</v>
      </c>
      <c r="E12" s="124" t="s">
        <v>190</v>
      </c>
    </row>
    <row r="13" spans="1:6" s="2" customFormat="1" x14ac:dyDescent="0.2">
      <c r="A13" s="121">
        <v>45135</v>
      </c>
      <c r="B13" s="122">
        <v>34.630000000000003</v>
      </c>
      <c r="C13" s="123" t="s">
        <v>268</v>
      </c>
      <c r="D13" s="124" t="s">
        <v>269</v>
      </c>
      <c r="E13" s="127" t="s">
        <v>190</v>
      </c>
    </row>
    <row r="14" spans="1:6" s="2" customFormat="1" x14ac:dyDescent="0.2">
      <c r="A14" s="121">
        <v>45166</v>
      </c>
      <c r="B14" s="122">
        <v>27.35</v>
      </c>
      <c r="C14" s="123" t="s">
        <v>268</v>
      </c>
      <c r="D14" s="124" t="s">
        <v>269</v>
      </c>
      <c r="E14" s="127" t="s">
        <v>190</v>
      </c>
    </row>
    <row r="15" spans="1:6" s="2" customFormat="1" x14ac:dyDescent="0.2">
      <c r="A15" s="121">
        <v>45197</v>
      </c>
      <c r="B15" s="122">
        <v>27.53</v>
      </c>
      <c r="C15" s="123" t="s">
        <v>268</v>
      </c>
      <c r="D15" s="124" t="s">
        <v>269</v>
      </c>
      <c r="E15" s="127" t="s">
        <v>190</v>
      </c>
    </row>
    <row r="16" spans="1:6" s="2" customFormat="1" x14ac:dyDescent="0.2">
      <c r="A16" s="128">
        <v>45217</v>
      </c>
      <c r="B16" s="122">
        <v>900</v>
      </c>
      <c r="C16" s="123" t="s">
        <v>266</v>
      </c>
      <c r="D16" s="124" t="s">
        <v>267</v>
      </c>
      <c r="E16" s="124" t="s">
        <v>190</v>
      </c>
    </row>
    <row r="17" spans="1:5" s="2" customFormat="1" x14ac:dyDescent="0.2">
      <c r="A17" s="121">
        <v>45227</v>
      </c>
      <c r="B17" s="122">
        <v>119.85</v>
      </c>
      <c r="C17" s="123" t="s">
        <v>268</v>
      </c>
      <c r="D17" s="124" t="s">
        <v>269</v>
      </c>
      <c r="E17" s="127" t="s">
        <v>190</v>
      </c>
    </row>
    <row r="18" spans="1:5" s="2" customFormat="1" x14ac:dyDescent="0.2">
      <c r="A18" s="128">
        <v>45244</v>
      </c>
      <c r="B18" s="122">
        <v>1800</v>
      </c>
      <c r="C18" s="123" t="s">
        <v>266</v>
      </c>
      <c r="D18" s="124" t="s">
        <v>267</v>
      </c>
      <c r="E18" s="124" t="s">
        <v>190</v>
      </c>
    </row>
    <row r="19" spans="1:5" s="2" customFormat="1" x14ac:dyDescent="0.2">
      <c r="A19" s="121">
        <v>45258</v>
      </c>
      <c r="B19" s="122">
        <v>27.22</v>
      </c>
      <c r="C19" s="123" t="s">
        <v>268</v>
      </c>
      <c r="D19" s="124" t="s">
        <v>269</v>
      </c>
      <c r="E19" s="127" t="s">
        <v>190</v>
      </c>
    </row>
    <row r="20" spans="1:5" s="2" customFormat="1" x14ac:dyDescent="0.2">
      <c r="A20" s="121">
        <v>45274</v>
      </c>
      <c r="B20" s="122">
        <v>1800</v>
      </c>
      <c r="C20" s="123" t="s">
        <v>266</v>
      </c>
      <c r="D20" s="127" t="s">
        <v>267</v>
      </c>
      <c r="E20" s="127" t="s">
        <v>190</v>
      </c>
    </row>
    <row r="21" spans="1:5" s="2" customFormat="1" x14ac:dyDescent="0.2">
      <c r="A21" s="121">
        <v>45288</v>
      </c>
      <c r="B21" s="122">
        <v>26.37</v>
      </c>
      <c r="C21" s="123" t="s">
        <v>268</v>
      </c>
      <c r="D21" s="124" t="s">
        <v>269</v>
      </c>
      <c r="E21" s="127" t="s">
        <v>190</v>
      </c>
    </row>
    <row r="22" spans="1:5" s="2" customFormat="1" x14ac:dyDescent="0.2">
      <c r="A22" s="121">
        <v>45299</v>
      </c>
      <c r="B22" s="122">
        <v>534.78</v>
      </c>
      <c r="C22" s="123" t="s">
        <v>270</v>
      </c>
      <c r="D22" s="127" t="s">
        <v>271</v>
      </c>
      <c r="E22" s="124" t="s">
        <v>190</v>
      </c>
    </row>
    <row r="23" spans="1:5" s="2" customFormat="1" x14ac:dyDescent="0.2">
      <c r="A23" s="121">
        <v>45319</v>
      </c>
      <c r="B23" s="122">
        <v>26.57</v>
      </c>
      <c r="C23" s="123" t="s">
        <v>268</v>
      </c>
      <c r="D23" s="124" t="s">
        <v>269</v>
      </c>
      <c r="E23" s="127" t="s">
        <v>190</v>
      </c>
    </row>
    <row r="24" spans="1:5" s="2" customFormat="1" x14ac:dyDescent="0.2">
      <c r="A24" s="121">
        <v>45322</v>
      </c>
      <c r="B24" s="122">
        <v>1800</v>
      </c>
      <c r="C24" s="123" t="s">
        <v>266</v>
      </c>
      <c r="D24" s="127" t="s">
        <v>267</v>
      </c>
      <c r="E24" s="127" t="s">
        <v>190</v>
      </c>
    </row>
    <row r="25" spans="1:5" s="2" customFormat="1" x14ac:dyDescent="0.2">
      <c r="A25" s="121">
        <v>45350</v>
      </c>
      <c r="B25" s="122">
        <v>23.73</v>
      </c>
      <c r="C25" s="123" t="s">
        <v>268</v>
      </c>
      <c r="D25" s="124" t="s">
        <v>269</v>
      </c>
      <c r="E25" s="127" t="s">
        <v>190</v>
      </c>
    </row>
    <row r="26" spans="1:5" s="2" customFormat="1" x14ac:dyDescent="0.2">
      <c r="A26" s="121">
        <v>45379</v>
      </c>
      <c r="B26" s="122">
        <v>25.93</v>
      </c>
      <c r="C26" s="123" t="s">
        <v>268</v>
      </c>
      <c r="D26" s="124" t="s">
        <v>269</v>
      </c>
      <c r="E26" s="127" t="s">
        <v>190</v>
      </c>
    </row>
    <row r="27" spans="1:5" s="2" customFormat="1" x14ac:dyDescent="0.2">
      <c r="A27" s="121">
        <v>45393</v>
      </c>
      <c r="B27" s="122">
        <v>1350</v>
      </c>
      <c r="C27" s="123" t="s">
        <v>266</v>
      </c>
      <c r="D27" s="127" t="s">
        <v>267</v>
      </c>
      <c r="E27" s="127" t="s">
        <v>190</v>
      </c>
    </row>
    <row r="28" spans="1:5" s="2" customFormat="1" x14ac:dyDescent="0.2">
      <c r="A28" s="121">
        <v>45410</v>
      </c>
      <c r="B28" s="122">
        <v>44.19</v>
      </c>
      <c r="C28" s="123" t="s">
        <v>268</v>
      </c>
      <c r="D28" s="124" t="s">
        <v>269</v>
      </c>
      <c r="E28" s="127" t="s">
        <v>190</v>
      </c>
    </row>
    <row r="29" spans="1:5" s="2" customFormat="1" x14ac:dyDescent="0.2">
      <c r="A29" s="121">
        <v>45440</v>
      </c>
      <c r="B29" s="122">
        <v>28.33</v>
      </c>
      <c r="C29" s="123" t="s">
        <v>268</v>
      </c>
      <c r="D29" s="124" t="s">
        <v>269</v>
      </c>
      <c r="E29" s="127" t="s">
        <v>190</v>
      </c>
    </row>
    <row r="30" spans="1:5" s="2" customFormat="1" x14ac:dyDescent="0.2">
      <c r="A30" s="121">
        <v>45471</v>
      </c>
      <c r="B30" s="122">
        <v>26.3</v>
      </c>
      <c r="C30" s="123" t="s">
        <v>268</v>
      </c>
      <c r="D30" s="124" t="s">
        <v>269</v>
      </c>
      <c r="E30" s="127" t="s">
        <v>190</v>
      </c>
    </row>
    <row r="31" spans="1:5" s="2" customFormat="1" hidden="1" x14ac:dyDescent="0.2">
      <c r="A31" s="98"/>
      <c r="B31" s="95"/>
      <c r="C31" s="99"/>
      <c r="D31" s="99"/>
      <c r="E31" s="100"/>
    </row>
    <row r="32" spans="1:5" ht="34.5" customHeight="1" x14ac:dyDescent="0.2">
      <c r="A32" s="53" t="s">
        <v>154</v>
      </c>
      <c r="B32" s="62">
        <f>SUM(B11:B31)</f>
        <v>10722.779999999999</v>
      </c>
      <c r="C32" s="70" t="str">
        <f>IF(SUBTOTAL(3,B11:B31)=SUBTOTAL(103,B11:B31),'Summary and sign-off'!$A$48,'Summary and sign-off'!$A$49)</f>
        <v>Check - there are no hidden rows with data</v>
      </c>
      <c r="D32" s="151" t="str">
        <f>IF('Summary and sign-off'!F59='Summary and sign-off'!F54,'Summary and sign-off'!A51,'Summary and sign-off'!A50)</f>
        <v>Check - each entry provides sufficient information</v>
      </c>
      <c r="E32" s="151"/>
    </row>
    <row r="33" spans="1:6" ht="14.1" customHeight="1" x14ac:dyDescent="0.2">
      <c r="B33" s="17"/>
      <c r="C33" s="17"/>
      <c r="D33" s="17"/>
      <c r="E33" s="17"/>
    </row>
    <row r="34" spans="1:6" x14ac:dyDescent="0.2">
      <c r="A34" s="18" t="s">
        <v>155</v>
      </c>
      <c r="B34" s="17"/>
      <c r="C34" s="17"/>
      <c r="D34" s="17"/>
      <c r="E34" s="17"/>
    </row>
    <row r="35" spans="1:6" ht="12.6" customHeight="1" x14ac:dyDescent="0.2">
      <c r="A35" s="20" t="s">
        <v>133</v>
      </c>
      <c r="B35" s="17"/>
      <c r="C35" s="17"/>
      <c r="D35" s="17"/>
      <c r="E35" s="17"/>
    </row>
    <row r="36" spans="1:6" x14ac:dyDescent="0.2">
      <c r="A36" s="20" t="s">
        <v>80</v>
      </c>
      <c r="B36" s="19"/>
      <c r="C36" s="17"/>
      <c r="D36" s="17"/>
      <c r="E36" s="17"/>
      <c r="F36" s="17"/>
    </row>
    <row r="37" spans="1:6" x14ac:dyDescent="0.2">
      <c r="A37" s="20" t="s">
        <v>147</v>
      </c>
      <c r="C37" s="17"/>
      <c r="D37" s="17"/>
      <c r="E37" s="17"/>
      <c r="F37" s="17"/>
    </row>
    <row r="38" spans="1:6" ht="12.75" customHeight="1" x14ac:dyDescent="0.2">
      <c r="A38" s="20" t="s">
        <v>148</v>
      </c>
      <c r="B38" s="25"/>
      <c r="C38" s="22"/>
      <c r="D38" s="22"/>
      <c r="E38" s="22"/>
      <c r="F38" s="22"/>
    </row>
    <row r="39" spans="1:6" x14ac:dyDescent="0.2">
      <c r="B39" s="26"/>
      <c r="C39" s="17"/>
      <c r="D39" s="17"/>
      <c r="E39" s="17"/>
    </row>
    <row r="40" spans="1:6" hidden="1" x14ac:dyDescent="0.2">
      <c r="A40" s="17"/>
      <c r="B40" s="17"/>
      <c r="C40" s="17"/>
      <c r="D40" s="17"/>
    </row>
    <row r="41" spans="1:6" ht="12.75" hidden="1" customHeight="1" x14ac:dyDescent="0.2"/>
    <row r="42" spans="1:6" hidden="1" x14ac:dyDescent="0.2">
      <c r="A42" s="17"/>
      <c r="B42" s="17"/>
      <c r="C42" s="17"/>
      <c r="D42" s="17"/>
      <c r="E42" s="17"/>
    </row>
    <row r="43" spans="1:6" hidden="1" x14ac:dyDescent="0.2">
      <c r="A43" s="17"/>
      <c r="B43" s="17"/>
      <c r="C43" s="17"/>
      <c r="D43" s="17"/>
      <c r="E43" s="17"/>
    </row>
    <row r="44" spans="1:6" hidden="1" x14ac:dyDescent="0.2">
      <c r="A44" s="17"/>
      <c r="B44" s="17"/>
      <c r="C44" s="17"/>
      <c r="D44" s="17"/>
      <c r="E44" s="17"/>
    </row>
    <row r="45" spans="1:6" hidden="1" x14ac:dyDescent="0.2">
      <c r="A45" s="17"/>
      <c r="B45" s="17"/>
      <c r="C45" s="17"/>
      <c r="D45" s="17"/>
      <c r="E45" s="17"/>
    </row>
    <row r="46" spans="1:6" hidden="1" x14ac:dyDescent="0.2">
      <c r="A46" s="17"/>
      <c r="B46" s="17"/>
      <c r="C46" s="17"/>
      <c r="D46" s="17"/>
      <c r="E46" s="17"/>
    </row>
    <row r="47" spans="1:6" x14ac:dyDescent="0.2"/>
    <row r="48" spans="1:6"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sheetData>
  <sheetProtection sheet="1" formatCells="0" insertRows="0" deleteRows="0"/>
  <mergeCells count="10">
    <mergeCell ref="D32:E32"/>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31"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30"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B11:B31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90"/>
  <sheetViews>
    <sheetView tabSelected="1" topLeftCell="A10" zoomScaleNormal="100" workbookViewId="0">
      <selection activeCell="B25" sqref="B25"/>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52" t="s">
        <v>156</v>
      </c>
      <c r="B1" s="152"/>
      <c r="C1" s="152"/>
      <c r="D1" s="152"/>
      <c r="E1" s="152"/>
      <c r="F1" s="152"/>
    </row>
    <row r="2" spans="1:6" ht="21" customHeight="1" x14ac:dyDescent="0.2">
      <c r="A2" s="3" t="s">
        <v>111</v>
      </c>
      <c r="B2" s="150" t="str">
        <f>'Summary and sign-off'!B2:F2</f>
        <v>NZ Transport Agency Waka Kotahi</v>
      </c>
      <c r="C2" s="150"/>
      <c r="D2" s="150"/>
      <c r="E2" s="150"/>
      <c r="F2" s="150"/>
    </row>
    <row r="3" spans="1:6" ht="31.5" x14ac:dyDescent="0.2">
      <c r="A3" s="3" t="s">
        <v>112</v>
      </c>
      <c r="B3" s="150" t="str">
        <f>'Summary and sign-off'!B3:F3</f>
        <v>Nicole Rosie</v>
      </c>
      <c r="C3" s="150"/>
      <c r="D3" s="150"/>
      <c r="E3" s="150"/>
      <c r="F3" s="150"/>
    </row>
    <row r="4" spans="1:6" ht="21" customHeight="1" x14ac:dyDescent="0.2">
      <c r="A4" s="3" t="s">
        <v>113</v>
      </c>
      <c r="B4" s="150">
        <f>'Summary and sign-off'!B4:F4</f>
        <v>45108</v>
      </c>
      <c r="C4" s="150"/>
      <c r="D4" s="150"/>
      <c r="E4" s="150"/>
      <c r="F4" s="150"/>
    </row>
    <row r="5" spans="1:6" ht="21" customHeight="1" x14ac:dyDescent="0.2">
      <c r="A5" s="3" t="s">
        <v>114</v>
      </c>
      <c r="B5" s="150">
        <f>'Summary and sign-off'!B5:F5</f>
        <v>45473</v>
      </c>
      <c r="C5" s="150"/>
      <c r="D5" s="150"/>
      <c r="E5" s="150"/>
      <c r="F5" s="150"/>
    </row>
    <row r="6" spans="1:6" ht="21" customHeight="1" x14ac:dyDescent="0.2">
      <c r="A6" s="3" t="s">
        <v>157</v>
      </c>
      <c r="B6" s="144" t="s">
        <v>82</v>
      </c>
      <c r="C6" s="144"/>
      <c r="D6" s="144"/>
      <c r="E6" s="144"/>
      <c r="F6" s="144"/>
    </row>
    <row r="7" spans="1:6" ht="21" customHeight="1" x14ac:dyDescent="0.2">
      <c r="A7" s="3" t="s">
        <v>56</v>
      </c>
      <c r="B7" s="144" t="s">
        <v>84</v>
      </c>
      <c r="C7" s="144"/>
      <c r="D7" s="144"/>
      <c r="E7" s="144"/>
      <c r="F7" s="144"/>
    </row>
    <row r="8" spans="1:6" ht="36" customHeight="1" x14ac:dyDescent="0.2">
      <c r="A8" s="155" t="s">
        <v>158</v>
      </c>
      <c r="B8" s="155"/>
      <c r="C8" s="155"/>
      <c r="D8" s="155"/>
      <c r="E8" s="155"/>
      <c r="F8" s="155"/>
    </row>
    <row r="9" spans="1:6" ht="36" customHeight="1" x14ac:dyDescent="0.2">
      <c r="A9" s="163" t="s">
        <v>159</v>
      </c>
      <c r="B9" s="164"/>
      <c r="C9" s="164"/>
      <c r="D9" s="164"/>
      <c r="E9" s="164"/>
      <c r="F9" s="164"/>
    </row>
    <row r="10" spans="1:6" ht="39" customHeight="1" x14ac:dyDescent="0.2">
      <c r="A10" s="24" t="s">
        <v>119</v>
      </c>
      <c r="B10" s="112" t="s">
        <v>160</v>
      </c>
      <c r="C10" s="112" t="s">
        <v>161</v>
      </c>
      <c r="D10" s="112" t="s">
        <v>162</v>
      </c>
      <c r="E10" s="112" t="s">
        <v>163</v>
      </c>
      <c r="F10" s="112" t="s">
        <v>164</v>
      </c>
    </row>
    <row r="11" spans="1:6" s="2" customFormat="1" ht="24" x14ac:dyDescent="0.2">
      <c r="A11" s="129">
        <v>45110</v>
      </c>
      <c r="B11" s="130" t="s">
        <v>284</v>
      </c>
      <c r="C11" s="131" t="s">
        <v>98</v>
      </c>
      <c r="D11" s="130" t="s">
        <v>285</v>
      </c>
      <c r="E11" s="133" t="s">
        <v>96</v>
      </c>
      <c r="F11" s="131"/>
    </row>
    <row r="12" spans="1:6" s="2" customFormat="1" x14ac:dyDescent="0.2">
      <c r="A12" s="129">
        <v>45112</v>
      </c>
      <c r="B12" s="130" t="s">
        <v>280</v>
      </c>
      <c r="C12" s="131" t="s">
        <v>98</v>
      </c>
      <c r="D12" s="130" t="s">
        <v>281</v>
      </c>
      <c r="E12" s="133" t="s">
        <v>96</v>
      </c>
      <c r="F12" s="131"/>
    </row>
    <row r="13" spans="1:6" s="2" customFormat="1" ht="24" x14ac:dyDescent="0.2">
      <c r="A13" s="129">
        <v>45141</v>
      </c>
      <c r="B13" s="130" t="s">
        <v>288</v>
      </c>
      <c r="C13" s="131" t="s">
        <v>98</v>
      </c>
      <c r="D13" s="130" t="s">
        <v>289</v>
      </c>
      <c r="E13" s="133" t="s">
        <v>96</v>
      </c>
      <c r="F13" s="131"/>
    </row>
    <row r="14" spans="1:6" s="2" customFormat="1" x14ac:dyDescent="0.2">
      <c r="A14" s="129">
        <v>45148</v>
      </c>
      <c r="B14" s="130" t="s">
        <v>294</v>
      </c>
      <c r="C14" s="131" t="s">
        <v>98</v>
      </c>
      <c r="D14" s="130" t="s">
        <v>295</v>
      </c>
      <c r="E14" s="133" t="s">
        <v>96</v>
      </c>
      <c r="F14" s="131"/>
    </row>
    <row r="15" spans="1:6" s="2" customFormat="1" x14ac:dyDescent="0.2">
      <c r="A15" s="129">
        <v>45154</v>
      </c>
      <c r="B15" s="130" t="s">
        <v>278</v>
      </c>
      <c r="C15" s="131" t="s">
        <v>98</v>
      </c>
      <c r="D15" s="130" t="s">
        <v>279</v>
      </c>
      <c r="E15" s="133" t="s">
        <v>96</v>
      </c>
      <c r="F15" s="131"/>
    </row>
    <row r="16" spans="1:6" s="2" customFormat="1" x14ac:dyDescent="0.2">
      <c r="A16" s="129">
        <v>45161</v>
      </c>
      <c r="B16" s="130" t="s">
        <v>290</v>
      </c>
      <c r="C16" s="131" t="s">
        <v>98</v>
      </c>
      <c r="D16" s="130" t="s">
        <v>291</v>
      </c>
      <c r="E16" s="133" t="s">
        <v>96</v>
      </c>
      <c r="F16" s="131"/>
    </row>
    <row r="17" spans="1:6" s="2" customFormat="1" x14ac:dyDescent="0.2">
      <c r="A17" s="129">
        <v>45162</v>
      </c>
      <c r="B17" s="130" t="s">
        <v>286</v>
      </c>
      <c r="C17" s="131" t="s">
        <v>98</v>
      </c>
      <c r="D17" s="130" t="s">
        <v>287</v>
      </c>
      <c r="E17" s="133" t="s">
        <v>96</v>
      </c>
      <c r="F17" s="131"/>
    </row>
    <row r="18" spans="1:6" s="2" customFormat="1" x14ac:dyDescent="0.2">
      <c r="A18" s="129">
        <v>45166</v>
      </c>
      <c r="B18" s="130" t="s">
        <v>292</v>
      </c>
      <c r="C18" s="131" t="s">
        <v>98</v>
      </c>
      <c r="D18" s="130" t="s">
        <v>293</v>
      </c>
      <c r="E18" s="133" t="s">
        <v>96</v>
      </c>
      <c r="F18" s="131"/>
    </row>
    <row r="19" spans="1:6" s="2" customFormat="1" ht="36" x14ac:dyDescent="0.2">
      <c r="A19" s="129">
        <v>45173</v>
      </c>
      <c r="B19" s="130" t="s">
        <v>300</v>
      </c>
      <c r="C19" s="131" t="s">
        <v>98</v>
      </c>
      <c r="D19" s="130" t="s">
        <v>301</v>
      </c>
      <c r="E19" s="133" t="s">
        <v>96</v>
      </c>
      <c r="F19" s="131"/>
    </row>
    <row r="20" spans="1:6" s="2" customFormat="1" ht="24" x14ac:dyDescent="0.2">
      <c r="A20" s="129">
        <v>45175</v>
      </c>
      <c r="B20" s="130" t="s">
        <v>283</v>
      </c>
      <c r="C20" s="131" t="s">
        <v>98</v>
      </c>
      <c r="D20" s="130" t="s">
        <v>282</v>
      </c>
      <c r="E20" s="133" t="s">
        <v>96</v>
      </c>
      <c r="F20" s="131"/>
    </row>
    <row r="21" spans="1:6" s="2" customFormat="1" x14ac:dyDescent="0.2">
      <c r="A21" s="129">
        <v>45191</v>
      </c>
      <c r="B21" s="130" t="s">
        <v>296</v>
      </c>
      <c r="C21" s="131" t="s">
        <v>98</v>
      </c>
      <c r="D21" s="130" t="s">
        <v>297</v>
      </c>
      <c r="E21" s="133" t="s">
        <v>93</v>
      </c>
      <c r="F21" s="131"/>
    </row>
    <row r="22" spans="1:6" s="2" customFormat="1" ht="24" x14ac:dyDescent="0.2">
      <c r="A22" s="129">
        <v>45198</v>
      </c>
      <c r="B22" s="130" t="s">
        <v>298</v>
      </c>
      <c r="C22" s="131" t="s">
        <v>98</v>
      </c>
      <c r="D22" s="130" t="s">
        <v>299</v>
      </c>
      <c r="E22" s="133" t="s">
        <v>96</v>
      </c>
      <c r="F22" s="131"/>
    </row>
    <row r="23" spans="1:6" s="2" customFormat="1" ht="24" x14ac:dyDescent="0.2">
      <c r="A23" s="129">
        <v>45212</v>
      </c>
      <c r="B23" s="130" t="s">
        <v>273</v>
      </c>
      <c r="C23" s="131" t="s">
        <v>97</v>
      </c>
      <c r="D23" s="130" t="s">
        <v>274</v>
      </c>
      <c r="E23" s="132" t="s">
        <v>92</v>
      </c>
      <c r="F23" s="131"/>
    </row>
    <row r="24" spans="1:6" s="2" customFormat="1" ht="132" x14ac:dyDescent="0.2">
      <c r="A24" s="129" t="s">
        <v>272</v>
      </c>
      <c r="B24" s="130" t="s">
        <v>372</v>
      </c>
      <c r="C24" s="131" t="s">
        <v>97</v>
      </c>
      <c r="D24" s="130" t="s">
        <v>351</v>
      </c>
      <c r="E24" s="133" t="s">
        <v>350</v>
      </c>
      <c r="F24" s="131"/>
    </row>
    <row r="25" spans="1:6" s="2" customFormat="1" x14ac:dyDescent="0.2">
      <c r="A25" s="129">
        <v>45218</v>
      </c>
      <c r="B25" s="130" t="s">
        <v>302</v>
      </c>
      <c r="C25" s="131" t="s">
        <v>98</v>
      </c>
      <c r="D25" s="130" t="s">
        <v>303</v>
      </c>
      <c r="E25" s="133" t="s">
        <v>96</v>
      </c>
      <c r="F25" s="131"/>
    </row>
    <row r="26" spans="1:6" s="2" customFormat="1" x14ac:dyDescent="0.2">
      <c r="A26" s="129">
        <v>45246</v>
      </c>
      <c r="B26" s="130" t="s">
        <v>347</v>
      </c>
      <c r="C26" s="131" t="s">
        <v>97</v>
      </c>
      <c r="D26" s="131" t="s">
        <v>348</v>
      </c>
      <c r="E26" s="133" t="s">
        <v>92</v>
      </c>
      <c r="F26" s="131"/>
    </row>
    <row r="27" spans="1:6" s="2" customFormat="1" x14ac:dyDescent="0.2">
      <c r="A27" s="129">
        <v>45252</v>
      </c>
      <c r="B27" s="130" t="s">
        <v>308</v>
      </c>
      <c r="C27" s="131" t="s">
        <v>98</v>
      </c>
      <c r="D27" s="130" t="s">
        <v>309</v>
      </c>
      <c r="E27" s="133" t="s">
        <v>96</v>
      </c>
      <c r="F27" s="131"/>
    </row>
    <row r="28" spans="1:6" s="2" customFormat="1" x14ac:dyDescent="0.2">
      <c r="A28" s="129">
        <v>45252</v>
      </c>
      <c r="B28" s="130" t="s">
        <v>312</v>
      </c>
      <c r="C28" s="131" t="s">
        <v>98</v>
      </c>
      <c r="D28" s="130" t="s">
        <v>295</v>
      </c>
      <c r="E28" s="133" t="s">
        <v>96</v>
      </c>
      <c r="F28" s="131"/>
    </row>
    <row r="29" spans="1:6" s="2" customFormat="1" ht="24" x14ac:dyDescent="0.2">
      <c r="A29" s="129">
        <v>45253</v>
      </c>
      <c r="B29" s="130" t="s">
        <v>304</v>
      </c>
      <c r="C29" s="131" t="s">
        <v>98</v>
      </c>
      <c r="D29" s="130" t="s">
        <v>305</v>
      </c>
      <c r="E29" s="133" t="s">
        <v>96</v>
      </c>
      <c r="F29" s="131"/>
    </row>
    <row r="30" spans="1:6" s="2" customFormat="1" ht="24" x14ac:dyDescent="0.2">
      <c r="A30" s="129">
        <v>45258</v>
      </c>
      <c r="B30" s="130" t="s">
        <v>310</v>
      </c>
      <c r="C30" s="131" t="s">
        <v>97</v>
      </c>
      <c r="D30" s="130" t="s">
        <v>311</v>
      </c>
      <c r="E30" s="133" t="s">
        <v>92</v>
      </c>
      <c r="F30" s="131"/>
    </row>
    <row r="31" spans="1:6" s="2" customFormat="1" ht="24" x14ac:dyDescent="0.2">
      <c r="A31" s="129">
        <v>45259</v>
      </c>
      <c r="B31" s="130" t="s">
        <v>313</v>
      </c>
      <c r="C31" s="131" t="s">
        <v>97</v>
      </c>
      <c r="D31" s="131" t="s">
        <v>315</v>
      </c>
      <c r="E31" s="133" t="s">
        <v>92</v>
      </c>
      <c r="F31" s="131"/>
    </row>
    <row r="32" spans="1:6" s="2" customFormat="1" x14ac:dyDescent="0.2">
      <c r="A32" s="129">
        <v>45260</v>
      </c>
      <c r="B32" s="130" t="s">
        <v>316</v>
      </c>
      <c r="C32" s="131" t="s">
        <v>98</v>
      </c>
      <c r="D32" s="130" t="s">
        <v>297</v>
      </c>
      <c r="E32" s="133" t="s">
        <v>96</v>
      </c>
      <c r="F32" s="131"/>
    </row>
    <row r="33" spans="1:6" s="2" customFormat="1" x14ac:dyDescent="0.2">
      <c r="A33" s="129">
        <v>45264</v>
      </c>
      <c r="B33" s="130" t="s">
        <v>306</v>
      </c>
      <c r="C33" s="131" t="s">
        <v>98</v>
      </c>
      <c r="D33" s="130" t="s">
        <v>307</v>
      </c>
      <c r="E33" s="133" t="s">
        <v>96</v>
      </c>
      <c r="F33" s="131"/>
    </row>
    <row r="34" spans="1:6" s="2" customFormat="1" x14ac:dyDescent="0.2">
      <c r="A34" s="129">
        <v>45267</v>
      </c>
      <c r="B34" s="130" t="s">
        <v>317</v>
      </c>
      <c r="C34" s="131" t="s">
        <v>98</v>
      </c>
      <c r="D34" s="130" t="s">
        <v>318</v>
      </c>
      <c r="E34" s="133" t="s">
        <v>96</v>
      </c>
      <c r="F34" s="131"/>
    </row>
    <row r="35" spans="1:6" s="2" customFormat="1" x14ac:dyDescent="0.2">
      <c r="A35" s="129">
        <v>45271</v>
      </c>
      <c r="B35" s="130" t="s">
        <v>275</v>
      </c>
      <c r="C35" s="131" t="s">
        <v>97</v>
      </c>
      <c r="D35" s="130" t="s">
        <v>276</v>
      </c>
      <c r="E35" s="132" t="s">
        <v>92</v>
      </c>
      <c r="F35" s="131" t="s">
        <v>277</v>
      </c>
    </row>
    <row r="36" spans="1:6" s="2" customFormat="1" x14ac:dyDescent="0.2">
      <c r="A36" s="129">
        <v>45342</v>
      </c>
      <c r="B36" s="130" t="s">
        <v>319</v>
      </c>
      <c r="C36" s="131" t="s">
        <v>97</v>
      </c>
      <c r="D36" s="130" t="s">
        <v>320</v>
      </c>
      <c r="E36" s="133" t="s">
        <v>92</v>
      </c>
      <c r="F36" s="131"/>
    </row>
    <row r="37" spans="1:6" s="2" customFormat="1" x14ac:dyDescent="0.2">
      <c r="A37" s="129">
        <v>45342</v>
      </c>
      <c r="B37" s="130" t="s">
        <v>321</v>
      </c>
      <c r="C37" s="131" t="s">
        <v>98</v>
      </c>
      <c r="D37" s="130" t="s">
        <v>322</v>
      </c>
      <c r="E37" s="133" t="s">
        <v>96</v>
      </c>
      <c r="F37" s="131"/>
    </row>
    <row r="38" spans="1:6" s="2" customFormat="1" x14ac:dyDescent="0.2">
      <c r="A38" s="129">
        <v>45351</v>
      </c>
      <c r="B38" s="130" t="s">
        <v>323</v>
      </c>
      <c r="C38" s="131" t="s">
        <v>98</v>
      </c>
      <c r="D38" s="130" t="s">
        <v>324</v>
      </c>
      <c r="E38" s="133" t="s">
        <v>92</v>
      </c>
      <c r="F38" s="131"/>
    </row>
    <row r="39" spans="1:6" s="2" customFormat="1" ht="24" x14ac:dyDescent="0.2">
      <c r="A39" s="129">
        <v>45364</v>
      </c>
      <c r="B39" s="130" t="s">
        <v>325</v>
      </c>
      <c r="C39" s="131" t="s">
        <v>98</v>
      </c>
      <c r="D39" s="130" t="s">
        <v>326</v>
      </c>
      <c r="E39" s="133" t="s">
        <v>96</v>
      </c>
      <c r="F39" s="131"/>
    </row>
    <row r="40" spans="1:6" s="2" customFormat="1" x14ac:dyDescent="0.2">
      <c r="A40" s="134">
        <v>45365</v>
      </c>
      <c r="B40" s="130" t="s">
        <v>349</v>
      </c>
      <c r="C40" s="131" t="s">
        <v>97</v>
      </c>
      <c r="D40" s="131" t="s">
        <v>333</v>
      </c>
      <c r="E40" s="133" t="s">
        <v>92</v>
      </c>
      <c r="F40" s="131"/>
    </row>
    <row r="41" spans="1:6" s="2" customFormat="1" x14ac:dyDescent="0.2">
      <c r="A41" s="129">
        <v>45391</v>
      </c>
      <c r="B41" s="130" t="s">
        <v>331</v>
      </c>
      <c r="C41" s="131" t="s">
        <v>98</v>
      </c>
      <c r="D41" s="130" t="s">
        <v>287</v>
      </c>
      <c r="E41" s="133" t="s">
        <v>92</v>
      </c>
      <c r="F41" s="131"/>
    </row>
    <row r="42" spans="1:6" s="2" customFormat="1" x14ac:dyDescent="0.2">
      <c r="A42" s="134">
        <v>45393</v>
      </c>
      <c r="B42" s="130" t="s">
        <v>327</v>
      </c>
      <c r="C42" s="131" t="s">
        <v>314</v>
      </c>
      <c r="D42" s="131" t="s">
        <v>328</v>
      </c>
      <c r="E42" s="133" t="s">
        <v>92</v>
      </c>
      <c r="F42" s="131"/>
    </row>
    <row r="43" spans="1:6" s="2" customFormat="1" x14ac:dyDescent="0.2">
      <c r="A43" s="129">
        <v>45399</v>
      </c>
      <c r="B43" s="130" t="s">
        <v>329</v>
      </c>
      <c r="C43" s="131" t="s">
        <v>98</v>
      </c>
      <c r="D43" s="130" t="s">
        <v>330</v>
      </c>
      <c r="E43" s="133" t="s">
        <v>96</v>
      </c>
      <c r="F43" s="131"/>
    </row>
    <row r="44" spans="1:6" s="2" customFormat="1" ht="24" x14ac:dyDescent="0.2">
      <c r="A44" s="129">
        <v>45413</v>
      </c>
      <c r="B44" s="130" t="s">
        <v>332</v>
      </c>
      <c r="C44" s="131" t="s">
        <v>97</v>
      </c>
      <c r="D44" s="131" t="s">
        <v>333</v>
      </c>
      <c r="E44" s="133" t="s">
        <v>92</v>
      </c>
      <c r="F44" s="131"/>
    </row>
    <row r="45" spans="1:6" s="2" customFormat="1" x14ac:dyDescent="0.2">
      <c r="A45" s="129">
        <v>45432</v>
      </c>
      <c r="B45" s="130" t="s">
        <v>334</v>
      </c>
      <c r="C45" s="131" t="s">
        <v>97</v>
      </c>
      <c r="D45" s="130" t="s">
        <v>335</v>
      </c>
      <c r="E45" s="133" t="s">
        <v>92</v>
      </c>
      <c r="F45" s="131"/>
    </row>
    <row r="46" spans="1:6" s="2" customFormat="1" ht="36" x14ac:dyDescent="0.2">
      <c r="A46" s="129">
        <v>45435</v>
      </c>
      <c r="B46" s="130" t="s">
        <v>340</v>
      </c>
      <c r="C46" s="131" t="s">
        <v>97</v>
      </c>
      <c r="D46" s="131" t="s">
        <v>341</v>
      </c>
      <c r="E46" s="133" t="s">
        <v>92</v>
      </c>
      <c r="F46" s="131"/>
    </row>
    <row r="47" spans="1:6" s="2" customFormat="1" x14ac:dyDescent="0.2">
      <c r="A47" s="129">
        <v>45450</v>
      </c>
      <c r="B47" s="130" t="s">
        <v>336</v>
      </c>
      <c r="C47" s="131" t="s">
        <v>98</v>
      </c>
      <c r="D47" s="130" t="s">
        <v>337</v>
      </c>
      <c r="E47" s="133" t="s">
        <v>96</v>
      </c>
      <c r="F47" s="131"/>
    </row>
    <row r="48" spans="1:6" s="2" customFormat="1" x14ac:dyDescent="0.2">
      <c r="A48" s="129">
        <v>45454</v>
      </c>
      <c r="B48" s="130" t="s">
        <v>342</v>
      </c>
      <c r="C48" s="131" t="s">
        <v>98</v>
      </c>
      <c r="D48" s="131" t="s">
        <v>324</v>
      </c>
      <c r="E48" s="133" t="s">
        <v>92</v>
      </c>
      <c r="F48" s="131"/>
    </row>
    <row r="49" spans="1:7" s="2" customFormat="1" x14ac:dyDescent="0.2">
      <c r="A49" s="129">
        <v>45461</v>
      </c>
      <c r="B49" s="130" t="s">
        <v>338</v>
      </c>
      <c r="C49" s="131" t="s">
        <v>98</v>
      </c>
      <c r="D49" s="130" t="s">
        <v>339</v>
      </c>
      <c r="E49" s="133" t="s">
        <v>96</v>
      </c>
      <c r="F49" s="131"/>
    </row>
    <row r="50" spans="1:7" s="2" customFormat="1" x14ac:dyDescent="0.2">
      <c r="A50" s="129">
        <v>45463</v>
      </c>
      <c r="B50" s="130" t="s">
        <v>345</v>
      </c>
      <c r="C50" s="131" t="s">
        <v>98</v>
      </c>
      <c r="D50" s="131" t="s">
        <v>346</v>
      </c>
      <c r="E50" s="133" t="s">
        <v>96</v>
      </c>
      <c r="F50" s="131"/>
    </row>
    <row r="51" spans="1:7" s="2" customFormat="1" x14ac:dyDescent="0.2">
      <c r="A51" s="129">
        <v>45469</v>
      </c>
      <c r="B51" s="130" t="s">
        <v>343</v>
      </c>
      <c r="C51" s="131" t="s">
        <v>98</v>
      </c>
      <c r="D51" s="131" t="s">
        <v>344</v>
      </c>
      <c r="E51" s="133" t="s">
        <v>92</v>
      </c>
      <c r="F51" s="131"/>
    </row>
    <row r="52" spans="1:7" s="2" customFormat="1" hidden="1" x14ac:dyDescent="0.2">
      <c r="A52" s="94"/>
      <c r="B52" s="99"/>
      <c r="C52" s="101"/>
      <c r="D52" s="99"/>
      <c r="E52" s="102"/>
      <c r="F52" s="100"/>
    </row>
    <row r="53" spans="1:7" ht="34.5" customHeight="1" x14ac:dyDescent="0.2">
      <c r="A53" s="113" t="s">
        <v>165</v>
      </c>
      <c r="B53" s="114" t="s">
        <v>166</v>
      </c>
      <c r="C53" s="115">
        <f>C54+C55</f>
        <v>40</v>
      </c>
      <c r="D53" s="116" t="str">
        <f>IF(SUBTOTAL(3,C11:C52)=SUBTOTAL(103,C11:C52),'Summary and sign-off'!$A$48,'Summary and sign-off'!$A$49)</f>
        <v>Check - there are no hidden rows with data</v>
      </c>
      <c r="E53" s="151" t="str">
        <f>IF('Summary and sign-off'!F60='Summary and sign-off'!F54,'Summary and sign-off'!A52,'Summary and sign-off'!A50)</f>
        <v>Check - each entry provides sufficient information</v>
      </c>
      <c r="F53" s="151"/>
      <c r="G53" s="2"/>
    </row>
    <row r="54" spans="1:7" ht="25.5" customHeight="1" x14ac:dyDescent="0.25">
      <c r="A54" s="54"/>
      <c r="B54" s="55" t="s">
        <v>97</v>
      </c>
      <c r="C54" s="56">
        <f>COUNTIF(C11:C52,'Summary and sign-off'!A45)</f>
        <v>11</v>
      </c>
      <c r="D54" s="14"/>
      <c r="E54" s="15"/>
      <c r="F54" s="16"/>
    </row>
    <row r="55" spans="1:7" ht="25.5" customHeight="1" x14ac:dyDescent="0.25">
      <c r="A55" s="54"/>
      <c r="B55" s="55" t="s">
        <v>98</v>
      </c>
      <c r="C55" s="56">
        <f>COUNTIF(C11:C52,'Summary and sign-off'!A46)</f>
        <v>29</v>
      </c>
      <c r="D55" s="14"/>
      <c r="E55" s="15"/>
      <c r="F55" s="16"/>
    </row>
    <row r="56" spans="1:7" x14ac:dyDescent="0.2">
      <c r="A56" s="17"/>
      <c r="B56" s="18"/>
      <c r="C56" s="17"/>
      <c r="D56" s="19"/>
      <c r="E56" s="19"/>
      <c r="F56" s="17"/>
    </row>
    <row r="57" spans="1:7" x14ac:dyDescent="0.2">
      <c r="A57" s="18" t="s">
        <v>155</v>
      </c>
      <c r="B57" s="18"/>
      <c r="C57" s="18"/>
      <c r="D57" s="18"/>
      <c r="E57" s="18"/>
      <c r="F57" s="18"/>
    </row>
    <row r="58" spans="1:7" ht="12.6" customHeight="1" x14ac:dyDescent="0.2">
      <c r="A58" s="20" t="s">
        <v>133</v>
      </c>
      <c r="B58" s="17"/>
      <c r="C58" s="17"/>
      <c r="D58" s="17"/>
      <c r="E58" s="17"/>
    </row>
    <row r="59" spans="1:7" x14ac:dyDescent="0.2">
      <c r="A59" s="20" t="s">
        <v>80</v>
      </c>
      <c r="B59" s="19"/>
      <c r="C59" s="17"/>
      <c r="D59" s="17"/>
      <c r="E59" s="17"/>
      <c r="F59" s="17"/>
    </row>
    <row r="60" spans="1:7" x14ac:dyDescent="0.2">
      <c r="A60" s="20" t="s">
        <v>167</v>
      </c>
      <c r="B60" s="21"/>
      <c r="C60" s="21"/>
      <c r="D60" s="21"/>
      <c r="E60" s="21"/>
      <c r="F60" s="21"/>
    </row>
    <row r="61" spans="1:7" ht="12.75" customHeight="1" x14ac:dyDescent="0.2">
      <c r="A61" s="20" t="s">
        <v>168</v>
      </c>
      <c r="B61" s="17"/>
      <c r="C61" s="17"/>
      <c r="D61" s="17"/>
      <c r="E61" s="17"/>
      <c r="F61" s="17"/>
    </row>
    <row r="62" spans="1:7" ht="12.95" customHeight="1" x14ac:dyDescent="0.2">
      <c r="A62" s="20" t="s">
        <v>169</v>
      </c>
      <c r="B62" s="17"/>
      <c r="C62" s="17"/>
      <c r="D62" s="17"/>
      <c r="E62" s="17"/>
      <c r="F62" s="17"/>
    </row>
    <row r="63" spans="1:7" x14ac:dyDescent="0.2">
      <c r="A63" s="20" t="s">
        <v>170</v>
      </c>
      <c r="C63" s="17"/>
      <c r="D63" s="17"/>
      <c r="E63" s="17"/>
      <c r="F63" s="17"/>
    </row>
    <row r="64" spans="1:7" ht="12.75" customHeight="1" x14ac:dyDescent="0.2">
      <c r="A64" s="20" t="s">
        <v>148</v>
      </c>
      <c r="B64" s="20"/>
      <c r="C64" s="22"/>
      <c r="D64" s="22"/>
      <c r="E64" s="22"/>
      <c r="F64" s="22"/>
    </row>
    <row r="65" spans="1:6" ht="12.75" customHeight="1" x14ac:dyDescent="0.2">
      <c r="A65" s="20"/>
      <c r="B65" s="20"/>
      <c r="C65" s="22"/>
      <c r="D65" s="22"/>
      <c r="E65" s="22"/>
      <c r="F65" s="22"/>
    </row>
    <row r="66" spans="1:6" ht="12.75" hidden="1" customHeight="1" x14ac:dyDescent="0.2">
      <c r="A66" s="20"/>
      <c r="B66" s="20"/>
      <c r="C66" s="22"/>
      <c r="D66" s="22"/>
      <c r="E66" s="22"/>
      <c r="F66" s="22"/>
    </row>
    <row r="67" spans="1:6" x14ac:dyDescent="0.2"/>
    <row r="68" spans="1:6" x14ac:dyDescent="0.2"/>
    <row r="69" spans="1:6" hidden="1" x14ac:dyDescent="0.2">
      <c r="A69" s="18"/>
      <c r="B69" s="18"/>
      <c r="C69" s="18"/>
      <c r="D69" s="18"/>
      <c r="E69" s="18"/>
      <c r="F69" s="18"/>
    </row>
    <row r="70" spans="1:6" hidden="1" x14ac:dyDescent="0.2">
      <c r="A70" s="18"/>
      <c r="B70" s="18"/>
      <c r="C70" s="18"/>
      <c r="D70" s="18"/>
      <c r="E70" s="18"/>
      <c r="F70" s="18"/>
    </row>
    <row r="71" spans="1:6" hidden="1" x14ac:dyDescent="0.2">
      <c r="A71" s="18"/>
      <c r="B71" s="18"/>
      <c r="C71" s="18"/>
      <c r="D71" s="18"/>
      <c r="E71" s="18"/>
      <c r="F71" s="18"/>
    </row>
    <row r="72" spans="1:6" hidden="1" x14ac:dyDescent="0.2">
      <c r="A72" s="18"/>
      <c r="B72" s="18"/>
      <c r="C72" s="18"/>
      <c r="D72" s="18"/>
      <c r="E72" s="18"/>
      <c r="F72" s="18"/>
    </row>
    <row r="73" spans="1:6" hidden="1" x14ac:dyDescent="0.2">
      <c r="A73" s="18"/>
      <c r="B73" s="18"/>
      <c r="C73" s="18"/>
      <c r="D73" s="18"/>
      <c r="E73" s="18"/>
      <c r="F73" s="18"/>
    </row>
    <row r="74" spans="1:6" x14ac:dyDescent="0.2"/>
    <row r="75" spans="1:6" x14ac:dyDescent="0.2"/>
    <row r="76" spans="1:6" x14ac:dyDescent="0.2"/>
    <row r="77" spans="1:6" x14ac:dyDescent="0.2"/>
    <row r="78" spans="1:6" x14ac:dyDescent="0.2"/>
    <row r="79" spans="1:6" x14ac:dyDescent="0.2"/>
    <row r="80" spans="1:6" x14ac:dyDescent="0.2"/>
    <row r="81" x14ac:dyDescent="0.2"/>
    <row r="82" x14ac:dyDescent="0.2"/>
    <row r="83" x14ac:dyDescent="0.2"/>
    <row r="84" x14ac:dyDescent="0.2"/>
    <row r="85" x14ac:dyDescent="0.2"/>
    <row r="86" x14ac:dyDescent="0.2"/>
    <row r="87" x14ac:dyDescent="0.2"/>
    <row r="88" x14ac:dyDescent="0.2"/>
    <row r="89" x14ac:dyDescent="0.2"/>
    <row r="90" x14ac:dyDescent="0.2"/>
  </sheetData>
  <sheetProtection sheet="1" formatCells="0" insertRows="0" deleteRows="0"/>
  <dataConsolidate/>
  <mergeCells count="10">
    <mergeCell ref="E53:F53"/>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52 A11:A50"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51"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C11:C52</xm:sqref>
        </x14:dataValidation>
        <x14:dataValidation type="list" errorStyle="information" operator="greaterThan" allowBlank="1" showInputMessage="1" prompt="Provide specific $ value if possible" xr:uid="{00000000-0002-0000-0500-000003000000}">
          <x14:formula1>
            <xm:f>'Summary and sign-off'!$A$39:$A$44</xm:f>
          </x14:formula1>
          <xm:sqref>E11:E52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539" ma:contentTypeDescription="" ma:contentTypeScope="" ma:versionID="aa8d61ab23ba349dbdbf6e771bd21625">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Props1.xml><?xml version="1.0" encoding="utf-8"?>
<ds:datastoreItem xmlns:ds="http://schemas.openxmlformats.org/officeDocument/2006/customXml" ds:itemID="{D79D72C4-64B1-41DC-903A-2759D151F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4.xml><?xml version="1.0" encoding="utf-8"?>
<ds:datastoreItem xmlns:ds="http://schemas.openxmlformats.org/officeDocument/2006/customXml" ds:itemID="{F579D7F4-D0D7-4BCB-BBEA-E7C37A64913E}">
  <ds:schemaRefs>
    <ds:schemaRef ds:uri="http://schemas.microsoft.com/office/2006/metadata/properties"/>
    <ds:schemaRef ds:uri="http://schemas.microsoft.com/office/infopath/2007/PartnerControls"/>
    <ds:schemaRef ds:uri="12165527-d881-4234-97f9-ee139a3f0c3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Dee Fisher</cp:lastModifiedBy>
  <cp:revision/>
  <dcterms:created xsi:type="dcterms:W3CDTF">2010-10-17T20:59:02Z</dcterms:created>
  <dcterms:modified xsi:type="dcterms:W3CDTF">2024-07-26T01:03:08Z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